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scar\Desktop\Ingresos - SIGAF\AI ---\Insumos\data\Respaldo anterior SIGAF\"/>
    </mc:Choice>
  </mc:AlternateContent>
  <xr:revisionPtr revIDLastSave="0" documentId="13_ncr:1_{15CFA03A-D6E6-48BA-888E-D88F0D64253B}" xr6:coauthVersionLast="45" xr6:coauthVersionMax="45" xr10:uidLastSave="{00000000-0000-0000-0000-000000000000}"/>
  <bookViews>
    <workbookView xWindow="-120" yWindow="-120" windowWidth="29040" windowHeight="15840" tabRatio="598" firstSheet="1" xr2:uid="{00000000-000D-0000-FFFF-FFFF00000000}"/>
  </bookViews>
  <sheets>
    <sheet name="Base de datos" sheetId="1" r:id="rId1"/>
    <sheet name="Guía de consulta" sheetId="27" r:id="rId2"/>
    <sheet name="Nombres" sheetId="2" state="hidden" r:id="rId3"/>
    <sheet name="Serie bimestral" sheetId="31" r:id="rId4"/>
    <sheet name="Serie trimestral" sheetId="13" r:id="rId5"/>
    <sheet name="Mensual y estacionalidad" sheetId="11" r:id="rId6"/>
    <sheet name="Grafico variaciones" sheetId="12" r:id="rId7"/>
    <sheet name="Graf_Acum_12_meses" sheetId="20" r:id="rId8"/>
    <sheet name="Carga tributaria" sheetId="22" r:id="rId9"/>
    <sheet name="Principales ingresos_anual" sheetId="23" r:id="rId10"/>
    <sheet name="PIB" sheetId="10" r:id="rId11"/>
    <sheet name="Semestral y anual" sheetId="29" r:id="rId12"/>
    <sheet name="Totalidad" sheetId="32" r:id="rId13"/>
    <sheet name="Evaluación de pronóstico 2019" sheetId="33" r:id="rId14"/>
    <sheet name="ISR_Esc_Piso" sheetId="39" r:id="rId15"/>
  </sheets>
  <externalReferences>
    <externalReference r:id="rId16"/>
  </externalReferences>
  <definedNames>
    <definedName name="_xlnm._FilterDatabase" localSheetId="0" hidden="1">'Base de datos'!$A$1:$R$2620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</pivotCaches>
</workbook>
</file>

<file path=xl/calcChain.xml><?xml version="1.0" encoding="utf-8"?>
<calcChain xmlns="http://schemas.openxmlformats.org/spreadsheetml/2006/main">
  <c r="D26" i="22" l="1"/>
  <c r="C201" i="11"/>
  <c r="C204" i="11"/>
  <c r="C203" i="11"/>
  <c r="C199" i="11"/>
  <c r="C195" i="11"/>
  <c r="C191" i="11"/>
  <c r="C198" i="11"/>
  <c r="C194" i="11"/>
  <c r="C197" i="11"/>
  <c r="C189" i="11"/>
  <c r="C196" i="11"/>
  <c r="C188" i="11"/>
  <c r="C202" i="11"/>
  <c r="C190" i="11"/>
  <c r="C193" i="11"/>
  <c r="C200" i="11"/>
  <c r="C192" i="11"/>
  <c r="C26" i="22"/>
  <c r="G200" i="11" l="1"/>
  <c r="G193" i="11"/>
  <c r="G202" i="11"/>
  <c r="G196" i="11"/>
  <c r="G197" i="11"/>
  <c r="G194" i="11"/>
  <c r="G198" i="11"/>
  <c r="G195" i="11"/>
  <c r="G199" i="11"/>
  <c r="G203" i="11"/>
  <c r="G204" i="11"/>
  <c r="G201" i="11"/>
  <c r="E26" i="22"/>
  <c r="I216" i="20"/>
  <c r="B17" i="39" l="1"/>
  <c r="C32" i="13"/>
  <c r="B18" i="39" l="1"/>
  <c r="R21" i="39"/>
  <c r="R45" i="39" l="1"/>
  <c r="B42" i="39"/>
  <c r="B20" i="39"/>
  <c r="B19" i="39"/>
  <c r="C18" i="39"/>
  <c r="D18" i="39"/>
  <c r="E18" i="39"/>
  <c r="F18" i="39"/>
  <c r="G18" i="39"/>
  <c r="C17" i="39"/>
  <c r="D17" i="39"/>
  <c r="E17" i="39"/>
  <c r="F17" i="39"/>
  <c r="G17" i="39"/>
  <c r="E21" i="39"/>
  <c r="F21" i="39"/>
  <c r="G21" i="39"/>
  <c r="E20" i="39"/>
  <c r="F20" i="39"/>
  <c r="G20" i="39"/>
  <c r="E19" i="39"/>
  <c r="F19" i="39"/>
  <c r="G19" i="39"/>
  <c r="BJ28" i="39" l="1"/>
  <c r="BI28" i="39"/>
  <c r="BH28" i="39"/>
  <c r="BG28" i="39"/>
  <c r="BF28" i="39"/>
  <c r="BE28" i="39"/>
  <c r="BD28" i="39"/>
  <c r="BC28" i="39"/>
  <c r="BB28" i="39"/>
  <c r="BA28" i="39"/>
  <c r="AZ28" i="39"/>
  <c r="AY28" i="39"/>
  <c r="BJ15" i="39"/>
  <c r="BI15" i="39"/>
  <c r="BH15" i="39"/>
  <c r="BG15" i="39"/>
  <c r="BF15" i="39"/>
  <c r="BE15" i="39"/>
  <c r="BD15" i="39"/>
  <c r="BC15" i="39"/>
  <c r="BB15" i="39"/>
  <c r="BA15" i="39"/>
  <c r="AZ15" i="39"/>
  <c r="AY15" i="39"/>
  <c r="AR31" i="39"/>
  <c r="AQ31" i="39"/>
  <c r="AP31" i="39"/>
  <c r="AO31" i="39"/>
  <c r="AN31" i="39"/>
  <c r="AM31" i="39"/>
  <c r="AL31" i="39"/>
  <c r="AK31" i="39"/>
  <c r="AJ31" i="39"/>
  <c r="AI31" i="39"/>
  <c r="AH31" i="39"/>
  <c r="AG31" i="39"/>
  <c r="AR30" i="39"/>
  <c r="AQ30" i="39"/>
  <c r="AP30" i="39"/>
  <c r="AO30" i="39"/>
  <c r="AN30" i="39"/>
  <c r="AM30" i="39"/>
  <c r="AL30" i="39"/>
  <c r="AK30" i="39"/>
  <c r="AJ30" i="39"/>
  <c r="AI30" i="39"/>
  <c r="AH30" i="39"/>
  <c r="AG30" i="39"/>
  <c r="AH16" i="39"/>
  <c r="AI16" i="39"/>
  <c r="AJ16" i="39"/>
  <c r="AK16" i="39"/>
  <c r="AL16" i="39"/>
  <c r="AM16" i="39"/>
  <c r="AN16" i="39"/>
  <c r="AO16" i="39"/>
  <c r="AP16" i="39"/>
  <c r="AQ16" i="39"/>
  <c r="AR16" i="39"/>
  <c r="AG16" i="39"/>
  <c r="AH15" i="39"/>
  <c r="AI15" i="39"/>
  <c r="AJ15" i="39"/>
  <c r="AK15" i="39"/>
  <c r="AL15" i="39"/>
  <c r="AM15" i="39"/>
  <c r="AN15" i="39"/>
  <c r="AO15" i="39"/>
  <c r="AP15" i="39"/>
  <c r="AQ15" i="39"/>
  <c r="AR15" i="39"/>
  <c r="AG15" i="39"/>
  <c r="S48" i="39"/>
  <c r="T48" i="39"/>
  <c r="U48" i="39"/>
  <c r="V48" i="39"/>
  <c r="W48" i="39"/>
  <c r="X48" i="39"/>
  <c r="Y48" i="39"/>
  <c r="Z48" i="39"/>
  <c r="AA48" i="39"/>
  <c r="AB48" i="39"/>
  <c r="AC48" i="39"/>
  <c r="R48" i="39"/>
  <c r="S47" i="39"/>
  <c r="T47" i="39"/>
  <c r="U47" i="39"/>
  <c r="V47" i="39"/>
  <c r="W47" i="39"/>
  <c r="X47" i="39"/>
  <c r="Y47" i="39"/>
  <c r="Z47" i="39"/>
  <c r="AA47" i="39"/>
  <c r="AB47" i="39"/>
  <c r="AC47" i="39"/>
  <c r="R47" i="39"/>
  <c r="S46" i="39"/>
  <c r="T46" i="39"/>
  <c r="U46" i="39"/>
  <c r="V46" i="39"/>
  <c r="W46" i="39"/>
  <c r="X46" i="39"/>
  <c r="Y46" i="39"/>
  <c r="Z46" i="39"/>
  <c r="AA46" i="39"/>
  <c r="AB46" i="39"/>
  <c r="AC46" i="39"/>
  <c r="R46" i="39"/>
  <c r="S45" i="39"/>
  <c r="T45" i="39"/>
  <c r="U45" i="39"/>
  <c r="V45" i="39"/>
  <c r="W45" i="39"/>
  <c r="X45" i="39"/>
  <c r="Y45" i="39"/>
  <c r="Z45" i="39"/>
  <c r="AA45" i="39"/>
  <c r="AB45" i="39"/>
  <c r="AC45" i="39"/>
  <c r="W24" i="39"/>
  <c r="U24" i="39"/>
  <c r="V24" i="39"/>
  <c r="U23" i="39"/>
  <c r="V23" i="39"/>
  <c r="W23" i="39"/>
  <c r="U22" i="39"/>
  <c r="V22" i="39"/>
  <c r="W22" i="39"/>
  <c r="U21" i="39"/>
  <c r="V21" i="39"/>
  <c r="W21" i="39"/>
  <c r="S24" i="39"/>
  <c r="T24" i="39"/>
  <c r="R24" i="39"/>
  <c r="S23" i="39"/>
  <c r="T23" i="39"/>
  <c r="R23" i="39"/>
  <c r="S21" i="39"/>
  <c r="T21" i="39"/>
  <c r="S22" i="39"/>
  <c r="T22" i="39"/>
  <c r="R22" i="39"/>
  <c r="C46" i="39"/>
  <c r="D46" i="39"/>
  <c r="E46" i="39"/>
  <c r="F46" i="39"/>
  <c r="G46" i="39"/>
  <c r="H46" i="39"/>
  <c r="I46" i="39"/>
  <c r="J46" i="39"/>
  <c r="K46" i="39"/>
  <c r="L46" i="39"/>
  <c r="M46" i="39"/>
  <c r="B46" i="39"/>
  <c r="C45" i="39"/>
  <c r="D45" i="39"/>
  <c r="E45" i="39"/>
  <c r="F45" i="39"/>
  <c r="G45" i="39"/>
  <c r="H45" i="39"/>
  <c r="I45" i="39"/>
  <c r="J45" i="39"/>
  <c r="K45" i="39"/>
  <c r="L45" i="39"/>
  <c r="M45" i="39"/>
  <c r="B45" i="39"/>
  <c r="C44" i="39"/>
  <c r="D44" i="39"/>
  <c r="E44" i="39"/>
  <c r="F44" i="39"/>
  <c r="G44" i="39"/>
  <c r="H44" i="39"/>
  <c r="I44" i="39"/>
  <c r="J44" i="39"/>
  <c r="K44" i="39"/>
  <c r="L44" i="39"/>
  <c r="M44" i="39"/>
  <c r="B44" i="39"/>
  <c r="C43" i="39"/>
  <c r="D43" i="39"/>
  <c r="E43" i="39"/>
  <c r="F43" i="39"/>
  <c r="G43" i="39"/>
  <c r="H43" i="39"/>
  <c r="I43" i="39"/>
  <c r="J43" i="39"/>
  <c r="K43" i="39"/>
  <c r="L43" i="39"/>
  <c r="M43" i="39"/>
  <c r="B43" i="39"/>
  <c r="C42" i="39"/>
  <c r="D42" i="39"/>
  <c r="E42" i="39"/>
  <c r="F42" i="39"/>
  <c r="G42" i="39"/>
  <c r="H42" i="39"/>
  <c r="I42" i="39"/>
  <c r="J42" i="39"/>
  <c r="K42" i="39"/>
  <c r="L42" i="39"/>
  <c r="M42" i="39"/>
  <c r="C21" i="39"/>
  <c r="D21" i="39"/>
  <c r="B21" i="39"/>
  <c r="C20" i="39"/>
  <c r="D20" i="39"/>
  <c r="C19" i="39"/>
  <c r="D19" i="39"/>
  <c r="P252" i="33" l="1"/>
  <c r="O252" i="33"/>
  <c r="N252" i="33"/>
  <c r="M252" i="33"/>
  <c r="L252" i="33"/>
  <c r="K252" i="33"/>
  <c r="J252" i="33"/>
  <c r="I252" i="33"/>
  <c r="H252" i="33"/>
  <c r="G252" i="33"/>
  <c r="F252" i="33"/>
  <c r="E252" i="33"/>
  <c r="P251" i="33"/>
  <c r="O251" i="33"/>
  <c r="N251" i="33"/>
  <c r="M251" i="33"/>
  <c r="L251" i="33"/>
  <c r="K251" i="33"/>
  <c r="J251" i="33"/>
  <c r="I251" i="33"/>
  <c r="H251" i="33"/>
  <c r="G251" i="33"/>
  <c r="F251" i="33"/>
  <c r="E251" i="33"/>
  <c r="P250" i="33"/>
  <c r="O250" i="33"/>
  <c r="O249" i="33" s="1"/>
  <c r="O248" i="33" s="1"/>
  <c r="O247" i="33" s="1"/>
  <c r="O246" i="33" s="1"/>
  <c r="N250" i="33"/>
  <c r="M250" i="33"/>
  <c r="L250" i="33"/>
  <c r="L249" i="33" s="1"/>
  <c r="L248" i="33" s="1"/>
  <c r="L247" i="33" s="1"/>
  <c r="L246" i="33" s="1"/>
  <c r="K250" i="33"/>
  <c r="J250" i="33"/>
  <c r="I250" i="33"/>
  <c r="H250" i="33"/>
  <c r="G250" i="33"/>
  <c r="G249" i="33" s="1"/>
  <c r="G248" i="33" s="1"/>
  <c r="G247" i="33" s="1"/>
  <c r="G246" i="33" s="1"/>
  <c r="F250" i="33"/>
  <c r="F249" i="33" s="1"/>
  <c r="F248" i="33" s="1"/>
  <c r="F247" i="33" s="1"/>
  <c r="F246" i="33" s="1"/>
  <c r="E250" i="33"/>
  <c r="P249" i="33"/>
  <c r="P248" i="33" s="1"/>
  <c r="P247" i="33" s="1"/>
  <c r="P246" i="33" s="1"/>
  <c r="K249" i="33"/>
  <c r="K248" i="33" s="1"/>
  <c r="K247" i="33" s="1"/>
  <c r="K246" i="33" s="1"/>
  <c r="J249" i="33"/>
  <c r="J248" i="33" s="1"/>
  <c r="J247" i="33" s="1"/>
  <c r="J246" i="33" s="1"/>
  <c r="I249" i="33"/>
  <c r="I248" i="33" s="1"/>
  <c r="I247" i="33" s="1"/>
  <c r="I246" i="33" s="1"/>
  <c r="D249" i="33"/>
  <c r="C249" i="33"/>
  <c r="C248" i="33" s="1"/>
  <c r="C247" i="33" s="1"/>
  <c r="C246" i="33" s="1"/>
  <c r="P245" i="33"/>
  <c r="P244" i="33" s="1"/>
  <c r="P243" i="33" s="1"/>
  <c r="O245" i="33"/>
  <c r="O244" i="33" s="1"/>
  <c r="O243" i="33" s="1"/>
  <c r="N245" i="33"/>
  <c r="N244" i="33" s="1"/>
  <c r="N243" i="33" s="1"/>
  <c r="M245" i="33"/>
  <c r="M244" i="33" s="1"/>
  <c r="M243" i="33" s="1"/>
  <c r="L245" i="33"/>
  <c r="L244" i="33" s="1"/>
  <c r="L243" i="33" s="1"/>
  <c r="K245" i="33"/>
  <c r="K244" i="33" s="1"/>
  <c r="K243" i="33" s="1"/>
  <c r="J245" i="33"/>
  <c r="J244" i="33" s="1"/>
  <c r="J243" i="33" s="1"/>
  <c r="I245" i="33"/>
  <c r="I244" i="33" s="1"/>
  <c r="I243" i="33" s="1"/>
  <c r="H245" i="33"/>
  <c r="H244" i="33" s="1"/>
  <c r="H243" i="33" s="1"/>
  <c r="G245" i="33"/>
  <c r="G244" i="33" s="1"/>
  <c r="G243" i="33" s="1"/>
  <c r="F245" i="33"/>
  <c r="F244" i="33" s="1"/>
  <c r="F243" i="33" s="1"/>
  <c r="E245" i="33"/>
  <c r="E244" i="33" s="1"/>
  <c r="E243" i="33" s="1"/>
  <c r="D244" i="33"/>
  <c r="C244" i="33"/>
  <c r="C243" i="33" s="1"/>
  <c r="P242" i="33"/>
  <c r="O242" i="33"/>
  <c r="N242" i="33"/>
  <c r="M242" i="33"/>
  <c r="L242" i="33"/>
  <c r="K242" i="33"/>
  <c r="J242" i="33"/>
  <c r="I242" i="33"/>
  <c r="H242" i="33"/>
  <c r="G242" i="33"/>
  <c r="F242" i="33"/>
  <c r="E242" i="33"/>
  <c r="P241" i="33"/>
  <c r="O241" i="33"/>
  <c r="N241" i="33"/>
  <c r="M241" i="33"/>
  <c r="L241" i="33"/>
  <c r="K241" i="33"/>
  <c r="J241" i="33"/>
  <c r="I241" i="33"/>
  <c r="H241" i="33"/>
  <c r="G241" i="33"/>
  <c r="F241" i="33"/>
  <c r="E241" i="33"/>
  <c r="P240" i="33"/>
  <c r="O240" i="33"/>
  <c r="N240" i="33"/>
  <c r="M240" i="33"/>
  <c r="L240" i="33"/>
  <c r="K240" i="33"/>
  <c r="J240" i="33"/>
  <c r="I240" i="33"/>
  <c r="H240" i="33"/>
  <c r="G240" i="33"/>
  <c r="F240" i="33"/>
  <c r="E240" i="33"/>
  <c r="P239" i="33"/>
  <c r="O239" i="33"/>
  <c r="N239" i="33"/>
  <c r="M239" i="33"/>
  <c r="L239" i="33"/>
  <c r="K239" i="33"/>
  <c r="J239" i="33"/>
  <c r="I239" i="33"/>
  <c r="H239" i="33"/>
  <c r="G239" i="33"/>
  <c r="F239" i="33"/>
  <c r="E239" i="33"/>
  <c r="P238" i="33"/>
  <c r="P237" i="33" s="1"/>
  <c r="P236" i="33" s="1"/>
  <c r="O238" i="33"/>
  <c r="O237" i="33" s="1"/>
  <c r="O236" i="33" s="1"/>
  <c r="N238" i="33"/>
  <c r="M238" i="33"/>
  <c r="M237" i="33" s="1"/>
  <c r="M236" i="33" s="1"/>
  <c r="L238" i="33"/>
  <c r="K238" i="33"/>
  <c r="J238" i="33"/>
  <c r="J237" i="33" s="1"/>
  <c r="J236" i="33" s="1"/>
  <c r="I238" i="33"/>
  <c r="I237" i="33" s="1"/>
  <c r="I236" i="33" s="1"/>
  <c r="H238" i="33"/>
  <c r="H237" i="33" s="1"/>
  <c r="H236" i="33" s="1"/>
  <c r="G238" i="33"/>
  <c r="G237" i="33" s="1"/>
  <c r="G236" i="33" s="1"/>
  <c r="F238" i="33"/>
  <c r="E238" i="33"/>
  <c r="E237" i="33" s="1"/>
  <c r="E236" i="33" s="1"/>
  <c r="D236" i="33"/>
  <c r="C236" i="33"/>
  <c r="P235" i="33"/>
  <c r="O235" i="33"/>
  <c r="N235" i="33"/>
  <c r="M235" i="33"/>
  <c r="L235" i="33"/>
  <c r="K235" i="33"/>
  <c r="J235" i="33"/>
  <c r="I235" i="33"/>
  <c r="H235" i="33"/>
  <c r="G235" i="33"/>
  <c r="F235" i="33"/>
  <c r="E235" i="33"/>
  <c r="P234" i="33"/>
  <c r="O234" i="33"/>
  <c r="N234" i="33"/>
  <c r="M234" i="33"/>
  <c r="L234" i="33"/>
  <c r="K234" i="33"/>
  <c r="J234" i="33"/>
  <c r="I234" i="33"/>
  <c r="H234" i="33"/>
  <c r="G234" i="33"/>
  <c r="F234" i="33"/>
  <c r="E234" i="33"/>
  <c r="P233" i="33"/>
  <c r="O233" i="33"/>
  <c r="N233" i="33"/>
  <c r="M233" i="33"/>
  <c r="L233" i="33"/>
  <c r="K233" i="33"/>
  <c r="J233" i="33"/>
  <c r="I233" i="33"/>
  <c r="H233" i="33"/>
  <c r="G233" i="33"/>
  <c r="F233" i="33"/>
  <c r="E233" i="33"/>
  <c r="P232" i="33"/>
  <c r="O232" i="33"/>
  <c r="N232" i="33"/>
  <c r="M232" i="33"/>
  <c r="L232" i="33"/>
  <c r="K232" i="33"/>
  <c r="J232" i="33"/>
  <c r="I232" i="33"/>
  <c r="H232" i="33"/>
  <c r="G232" i="33"/>
  <c r="F232" i="33"/>
  <c r="E232" i="33"/>
  <c r="P231" i="33"/>
  <c r="O231" i="33"/>
  <c r="N231" i="33"/>
  <c r="M231" i="33"/>
  <c r="L231" i="33"/>
  <c r="K231" i="33"/>
  <c r="J231" i="33"/>
  <c r="I231" i="33"/>
  <c r="H231" i="33"/>
  <c r="G231" i="33"/>
  <c r="F231" i="33"/>
  <c r="E231" i="33"/>
  <c r="P230" i="33"/>
  <c r="O230" i="33"/>
  <c r="N230" i="33"/>
  <c r="M230" i="33"/>
  <c r="L230" i="33"/>
  <c r="L229" i="33" s="1"/>
  <c r="L228" i="33" s="1"/>
  <c r="K230" i="33"/>
  <c r="K229" i="33" s="1"/>
  <c r="K228" i="33" s="1"/>
  <c r="J230" i="33"/>
  <c r="J229" i="33" s="1"/>
  <c r="J228" i="33" s="1"/>
  <c r="I230" i="33"/>
  <c r="I229" i="33" s="1"/>
  <c r="I228" i="33" s="1"/>
  <c r="H230" i="33"/>
  <c r="G230" i="33"/>
  <c r="F230" i="33"/>
  <c r="E230" i="33"/>
  <c r="P229" i="33"/>
  <c r="P228" i="33" s="1"/>
  <c r="O229" i="33"/>
  <c r="O228" i="33" s="1"/>
  <c r="N229" i="33"/>
  <c r="N228" i="33" s="1"/>
  <c r="D228" i="33"/>
  <c r="C228" i="33"/>
  <c r="P227" i="33"/>
  <c r="P226" i="33" s="1"/>
  <c r="O227" i="33"/>
  <c r="O226" i="33" s="1"/>
  <c r="N227" i="33"/>
  <c r="N226" i="33" s="1"/>
  <c r="M227" i="33"/>
  <c r="M226" i="33" s="1"/>
  <c r="L227" i="33"/>
  <c r="L226" i="33" s="1"/>
  <c r="K227" i="33"/>
  <c r="K226" i="33" s="1"/>
  <c r="J227" i="33"/>
  <c r="J226" i="33" s="1"/>
  <c r="I227" i="33"/>
  <c r="I226" i="33" s="1"/>
  <c r="H227" i="33"/>
  <c r="H226" i="33" s="1"/>
  <c r="G227" i="33"/>
  <c r="G226" i="33" s="1"/>
  <c r="F227" i="33"/>
  <c r="F226" i="33" s="1"/>
  <c r="E227" i="33"/>
  <c r="E226" i="33" s="1"/>
  <c r="D226" i="33"/>
  <c r="C226" i="33"/>
  <c r="P225" i="33"/>
  <c r="O225" i="33"/>
  <c r="N225" i="33"/>
  <c r="M225" i="33"/>
  <c r="L225" i="33"/>
  <c r="K225" i="33"/>
  <c r="J225" i="33"/>
  <c r="I225" i="33"/>
  <c r="H225" i="33"/>
  <c r="G225" i="33"/>
  <c r="F225" i="33"/>
  <c r="E225" i="33"/>
  <c r="P224" i="33"/>
  <c r="O224" i="33"/>
  <c r="N224" i="33"/>
  <c r="M224" i="33"/>
  <c r="L224" i="33"/>
  <c r="K224" i="33"/>
  <c r="J224" i="33"/>
  <c r="I224" i="33"/>
  <c r="H224" i="33"/>
  <c r="G224" i="33"/>
  <c r="F224" i="33"/>
  <c r="E224" i="33"/>
  <c r="P223" i="33"/>
  <c r="O223" i="33"/>
  <c r="N223" i="33"/>
  <c r="M223" i="33"/>
  <c r="L223" i="33"/>
  <c r="K223" i="33"/>
  <c r="J223" i="33"/>
  <c r="I223" i="33"/>
  <c r="H223" i="33"/>
  <c r="G223" i="33"/>
  <c r="F223" i="33"/>
  <c r="E223" i="33"/>
  <c r="P222" i="33"/>
  <c r="O222" i="33"/>
  <c r="N222" i="33"/>
  <c r="M222" i="33"/>
  <c r="L222" i="33"/>
  <c r="K222" i="33"/>
  <c r="J222" i="33"/>
  <c r="I222" i="33"/>
  <c r="H222" i="33"/>
  <c r="G222" i="33"/>
  <c r="F222" i="33"/>
  <c r="E222" i="33"/>
  <c r="P221" i="33"/>
  <c r="O221" i="33"/>
  <c r="N221" i="33"/>
  <c r="M221" i="33"/>
  <c r="L221" i="33"/>
  <c r="K221" i="33"/>
  <c r="J221" i="33"/>
  <c r="I221" i="33"/>
  <c r="H221" i="33"/>
  <c r="G221" i="33"/>
  <c r="F221" i="33"/>
  <c r="E221" i="33"/>
  <c r="P220" i="33"/>
  <c r="O220" i="33"/>
  <c r="N220" i="33"/>
  <c r="M220" i="33"/>
  <c r="L220" i="33"/>
  <c r="K220" i="33"/>
  <c r="J220" i="33"/>
  <c r="I220" i="33"/>
  <c r="H220" i="33"/>
  <c r="G220" i="33"/>
  <c r="F220" i="33"/>
  <c r="E220" i="33"/>
  <c r="P219" i="33"/>
  <c r="O219" i="33"/>
  <c r="N219" i="33"/>
  <c r="M219" i="33"/>
  <c r="L219" i="33"/>
  <c r="K219" i="33"/>
  <c r="J219" i="33"/>
  <c r="I219" i="33"/>
  <c r="H219" i="33"/>
  <c r="G219" i="33"/>
  <c r="F219" i="33"/>
  <c r="E219" i="33"/>
  <c r="P218" i="33"/>
  <c r="O218" i="33"/>
  <c r="N218" i="33"/>
  <c r="M218" i="33"/>
  <c r="L218" i="33"/>
  <c r="K218" i="33"/>
  <c r="J218" i="33"/>
  <c r="I218" i="33"/>
  <c r="H218" i="33"/>
  <c r="G218" i="33"/>
  <c r="F218" i="33"/>
  <c r="E218" i="33"/>
  <c r="P217" i="33"/>
  <c r="O217" i="33"/>
  <c r="N217" i="33"/>
  <c r="M217" i="33"/>
  <c r="L217" i="33"/>
  <c r="K217" i="33"/>
  <c r="J217" i="33"/>
  <c r="I217" i="33"/>
  <c r="H217" i="33"/>
  <c r="G217" i="33"/>
  <c r="F217" i="33"/>
  <c r="E217" i="33"/>
  <c r="P216" i="33"/>
  <c r="O216" i="33"/>
  <c r="N216" i="33"/>
  <c r="M216" i="33"/>
  <c r="L216" i="33"/>
  <c r="K216" i="33"/>
  <c r="J216" i="33"/>
  <c r="I216" i="33"/>
  <c r="H216" i="33"/>
  <c r="G216" i="33"/>
  <c r="F216" i="33"/>
  <c r="E216" i="33"/>
  <c r="P215" i="33"/>
  <c r="O215" i="33"/>
  <c r="N215" i="33"/>
  <c r="M215" i="33"/>
  <c r="L215" i="33"/>
  <c r="K215" i="33"/>
  <c r="J215" i="33"/>
  <c r="I215" i="33"/>
  <c r="H215" i="33"/>
  <c r="G215" i="33"/>
  <c r="F215" i="33"/>
  <c r="E215" i="33"/>
  <c r="P214" i="33"/>
  <c r="O214" i="33"/>
  <c r="N214" i="33"/>
  <c r="M214" i="33"/>
  <c r="L214" i="33"/>
  <c r="K214" i="33"/>
  <c r="J214" i="33"/>
  <c r="I214" i="33"/>
  <c r="H214" i="33"/>
  <c r="G214" i="33"/>
  <c r="F214" i="33"/>
  <c r="E214" i="33"/>
  <c r="P213" i="33"/>
  <c r="O213" i="33"/>
  <c r="N213" i="33"/>
  <c r="M213" i="33"/>
  <c r="L213" i="33"/>
  <c r="K213" i="33"/>
  <c r="J213" i="33"/>
  <c r="I213" i="33"/>
  <c r="H213" i="33"/>
  <c r="G213" i="33"/>
  <c r="F213" i="33"/>
  <c r="E213" i="33"/>
  <c r="P212" i="33"/>
  <c r="O212" i="33"/>
  <c r="N212" i="33"/>
  <c r="M212" i="33"/>
  <c r="L212" i="33"/>
  <c r="K212" i="33"/>
  <c r="J212" i="33"/>
  <c r="I212" i="33"/>
  <c r="H212" i="33"/>
  <c r="G212" i="33"/>
  <c r="F212" i="33"/>
  <c r="E212" i="33"/>
  <c r="P211" i="33"/>
  <c r="O211" i="33"/>
  <c r="N211" i="33"/>
  <c r="M211" i="33"/>
  <c r="L211" i="33"/>
  <c r="K211" i="33"/>
  <c r="J211" i="33"/>
  <c r="I211" i="33"/>
  <c r="H211" i="33"/>
  <c r="G211" i="33"/>
  <c r="F211" i="33"/>
  <c r="E211" i="33"/>
  <c r="P210" i="33"/>
  <c r="P209" i="33" s="1"/>
  <c r="P208" i="33" s="1"/>
  <c r="O210" i="33"/>
  <c r="O209" i="33" s="1"/>
  <c r="N210" i="33"/>
  <c r="M210" i="33"/>
  <c r="L210" i="33"/>
  <c r="L209" i="33" s="1"/>
  <c r="L208" i="33" s="1"/>
  <c r="K210" i="33"/>
  <c r="J210" i="33"/>
  <c r="J209" i="33" s="1"/>
  <c r="J208" i="33" s="1"/>
  <c r="I210" i="33"/>
  <c r="H210" i="33"/>
  <c r="H209" i="33" s="1"/>
  <c r="H208" i="33" s="1"/>
  <c r="G210" i="33"/>
  <c r="G209" i="33" s="1"/>
  <c r="G208" i="33" s="1"/>
  <c r="F210" i="33"/>
  <c r="E210" i="33"/>
  <c r="E209" i="33" s="1"/>
  <c r="E208" i="33" s="1"/>
  <c r="D208" i="33"/>
  <c r="C208" i="33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P197" i="33"/>
  <c r="O197" i="33"/>
  <c r="N197" i="33"/>
  <c r="M197" i="33"/>
  <c r="L197" i="33"/>
  <c r="K197" i="33"/>
  <c r="J197" i="33"/>
  <c r="I197" i="33"/>
  <c r="H197" i="33"/>
  <c r="G197" i="33"/>
  <c r="F197" i="33"/>
  <c r="E197" i="33"/>
  <c r="P196" i="33"/>
  <c r="P195" i="33" s="1"/>
  <c r="P194" i="33" s="1"/>
  <c r="O196" i="33"/>
  <c r="O195" i="33" s="1"/>
  <c r="O194" i="33" s="1"/>
  <c r="N196" i="33"/>
  <c r="N195" i="33" s="1"/>
  <c r="N194" i="33" s="1"/>
  <c r="M196" i="33"/>
  <c r="L196" i="33"/>
  <c r="L195" i="33" s="1"/>
  <c r="L194" i="33" s="1"/>
  <c r="K196" i="33"/>
  <c r="J196" i="33"/>
  <c r="J195" i="33" s="1"/>
  <c r="J194" i="33" s="1"/>
  <c r="I196" i="33"/>
  <c r="I195" i="33" s="1"/>
  <c r="I194" i="33" s="1"/>
  <c r="H196" i="33"/>
  <c r="H195" i="33" s="1"/>
  <c r="H194" i="33" s="1"/>
  <c r="G196" i="33"/>
  <c r="G195" i="33" s="1"/>
  <c r="G194" i="33" s="1"/>
  <c r="F196" i="33"/>
  <c r="E196" i="33"/>
  <c r="D195" i="33"/>
  <c r="C195" i="33"/>
  <c r="C194" i="33" s="1"/>
  <c r="C193" i="33" s="1"/>
  <c r="C192" i="33" s="1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P190" i="33"/>
  <c r="P189" i="33" s="1"/>
  <c r="O190" i="33"/>
  <c r="N190" i="33"/>
  <c r="N189" i="33" s="1"/>
  <c r="M190" i="33"/>
  <c r="L190" i="33"/>
  <c r="L189" i="33" s="1"/>
  <c r="K190" i="33"/>
  <c r="J190" i="33"/>
  <c r="I190" i="33"/>
  <c r="I189" i="33" s="1"/>
  <c r="H190" i="33"/>
  <c r="H189" i="33" s="1"/>
  <c r="G190" i="33"/>
  <c r="F190" i="33"/>
  <c r="F189" i="33" s="1"/>
  <c r="E190" i="33"/>
  <c r="D189" i="33"/>
  <c r="P188" i="33"/>
  <c r="P187" i="33" s="1"/>
  <c r="O188" i="33"/>
  <c r="O187" i="33" s="1"/>
  <c r="N188" i="33"/>
  <c r="N187" i="33" s="1"/>
  <c r="M188" i="33"/>
  <c r="M187" i="33" s="1"/>
  <c r="L188" i="33"/>
  <c r="L187" i="33" s="1"/>
  <c r="K188" i="33"/>
  <c r="K187" i="33" s="1"/>
  <c r="J188" i="33"/>
  <c r="J187" i="33" s="1"/>
  <c r="I188" i="33"/>
  <c r="I187" i="33" s="1"/>
  <c r="H188" i="33"/>
  <c r="H187" i="33" s="1"/>
  <c r="G188" i="33"/>
  <c r="G187" i="33" s="1"/>
  <c r="F188" i="33"/>
  <c r="F187" i="33" s="1"/>
  <c r="E188" i="33"/>
  <c r="E187" i="33" s="1"/>
  <c r="D187" i="33"/>
  <c r="P186" i="33"/>
  <c r="P185" i="33" s="1"/>
  <c r="P184" i="33" s="1"/>
  <c r="O186" i="33"/>
  <c r="O185" i="33" s="1"/>
  <c r="O184" i="33" s="1"/>
  <c r="N186" i="33"/>
  <c r="N185" i="33" s="1"/>
  <c r="N184" i="33" s="1"/>
  <c r="M186" i="33"/>
  <c r="M185" i="33" s="1"/>
  <c r="M184" i="33" s="1"/>
  <c r="L186" i="33"/>
  <c r="L185" i="33" s="1"/>
  <c r="L184" i="33" s="1"/>
  <c r="K186" i="33"/>
  <c r="K185" i="33" s="1"/>
  <c r="K184" i="33" s="1"/>
  <c r="J186" i="33"/>
  <c r="J185" i="33" s="1"/>
  <c r="J184" i="33" s="1"/>
  <c r="I186" i="33"/>
  <c r="I185" i="33" s="1"/>
  <c r="I184" i="33" s="1"/>
  <c r="H186" i="33"/>
  <c r="H185" i="33" s="1"/>
  <c r="H184" i="33" s="1"/>
  <c r="G186" i="33"/>
  <c r="G185" i="33" s="1"/>
  <c r="G184" i="33" s="1"/>
  <c r="F186" i="33"/>
  <c r="F185" i="33" s="1"/>
  <c r="F184" i="33" s="1"/>
  <c r="E186" i="33"/>
  <c r="E185" i="33" s="1"/>
  <c r="E184" i="33" s="1"/>
  <c r="D185" i="33"/>
  <c r="D184" i="33" s="1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P178" i="33"/>
  <c r="O178" i="33"/>
  <c r="N178" i="33"/>
  <c r="N177" i="33" s="1"/>
  <c r="M178" i="33"/>
  <c r="M177" i="33" s="1"/>
  <c r="L178" i="33"/>
  <c r="L177" i="33" s="1"/>
  <c r="K178" i="33"/>
  <c r="J178" i="33"/>
  <c r="I178" i="33"/>
  <c r="H178" i="33"/>
  <c r="G178" i="33"/>
  <c r="F178" i="33"/>
  <c r="E178" i="33"/>
  <c r="E177" i="33" s="1"/>
  <c r="D177" i="33"/>
  <c r="P176" i="33"/>
  <c r="O176" i="33"/>
  <c r="N176" i="33"/>
  <c r="M176" i="33"/>
  <c r="L176" i="33"/>
  <c r="K176" i="33"/>
  <c r="J176" i="33"/>
  <c r="I176" i="33"/>
  <c r="H176" i="33"/>
  <c r="G176" i="33"/>
  <c r="F176" i="33"/>
  <c r="E176" i="33"/>
  <c r="P175" i="33"/>
  <c r="O175" i="33"/>
  <c r="N175" i="33"/>
  <c r="N174" i="33" s="1"/>
  <c r="M175" i="33"/>
  <c r="M174" i="33" s="1"/>
  <c r="L175" i="33"/>
  <c r="L174" i="33" s="1"/>
  <c r="K175" i="33"/>
  <c r="J175" i="33"/>
  <c r="I175" i="33"/>
  <c r="H175" i="33"/>
  <c r="G175" i="33"/>
  <c r="F175" i="33"/>
  <c r="F174" i="33" s="1"/>
  <c r="E175" i="33"/>
  <c r="E174" i="33" s="1"/>
  <c r="D174" i="33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P172" i="33"/>
  <c r="O172" i="33"/>
  <c r="N172" i="33"/>
  <c r="N171" i="33" s="1"/>
  <c r="M172" i="33"/>
  <c r="M171" i="33" s="1"/>
  <c r="L172" i="33"/>
  <c r="K172" i="33"/>
  <c r="K171" i="33" s="1"/>
  <c r="J172" i="33"/>
  <c r="I172" i="33"/>
  <c r="I171" i="33" s="1"/>
  <c r="H172" i="33"/>
  <c r="G172" i="33"/>
  <c r="F172" i="33"/>
  <c r="F171" i="33" s="1"/>
  <c r="E172" i="33"/>
  <c r="E171" i="33" s="1"/>
  <c r="D171" i="33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P167" i="33"/>
  <c r="O167" i="33"/>
  <c r="O166" i="33" s="1"/>
  <c r="O165" i="33" s="1"/>
  <c r="N167" i="33"/>
  <c r="N166" i="33" s="1"/>
  <c r="N165" i="33" s="1"/>
  <c r="M167" i="33"/>
  <c r="M166" i="33" s="1"/>
  <c r="M165" i="33" s="1"/>
  <c r="L167" i="33"/>
  <c r="L166" i="33" s="1"/>
  <c r="L165" i="33" s="1"/>
  <c r="K167" i="33"/>
  <c r="K166" i="33" s="1"/>
  <c r="K165" i="33" s="1"/>
  <c r="J167" i="33"/>
  <c r="J166" i="33" s="1"/>
  <c r="J165" i="33" s="1"/>
  <c r="I167" i="33"/>
  <c r="I166" i="33" s="1"/>
  <c r="I165" i="33" s="1"/>
  <c r="H167" i="33"/>
  <c r="H166" i="33" s="1"/>
  <c r="H165" i="33" s="1"/>
  <c r="G167" i="33"/>
  <c r="G166" i="33" s="1"/>
  <c r="G165" i="33" s="1"/>
  <c r="F167" i="33"/>
  <c r="F166" i="33" s="1"/>
  <c r="F165" i="33" s="1"/>
  <c r="E167" i="33"/>
  <c r="E166" i="33" s="1"/>
  <c r="E165" i="33" s="1"/>
  <c r="P166" i="33"/>
  <c r="P165" i="33" s="1"/>
  <c r="D166" i="33"/>
  <c r="D165" i="33" s="1"/>
  <c r="P164" i="33"/>
  <c r="O164" i="33"/>
  <c r="O163" i="33" s="1"/>
  <c r="N164" i="33"/>
  <c r="N163" i="33" s="1"/>
  <c r="M164" i="33"/>
  <c r="M163" i="33" s="1"/>
  <c r="L164" i="33"/>
  <c r="L163" i="33" s="1"/>
  <c r="K164" i="33"/>
  <c r="K163" i="33" s="1"/>
  <c r="J164" i="33"/>
  <c r="J163" i="33" s="1"/>
  <c r="I164" i="33"/>
  <c r="I163" i="33" s="1"/>
  <c r="H164" i="33"/>
  <c r="H163" i="33" s="1"/>
  <c r="G164" i="33"/>
  <c r="G163" i="33" s="1"/>
  <c r="F164" i="33"/>
  <c r="F163" i="33" s="1"/>
  <c r="E164" i="33"/>
  <c r="E163" i="33" s="1"/>
  <c r="P163" i="33"/>
  <c r="D163" i="33"/>
  <c r="C163" i="33"/>
  <c r="C162" i="33" s="1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P158" i="33"/>
  <c r="P157" i="33" s="1"/>
  <c r="O158" i="33"/>
  <c r="N158" i="33"/>
  <c r="M158" i="33"/>
  <c r="L158" i="33"/>
  <c r="K158" i="33"/>
  <c r="J158" i="33"/>
  <c r="J157" i="33" s="1"/>
  <c r="I158" i="33"/>
  <c r="I157" i="33" s="1"/>
  <c r="H158" i="33"/>
  <c r="G158" i="33"/>
  <c r="F158" i="33"/>
  <c r="E158" i="33"/>
  <c r="D157" i="33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P155" i="33"/>
  <c r="O155" i="33"/>
  <c r="N155" i="33"/>
  <c r="M155" i="33"/>
  <c r="L155" i="33"/>
  <c r="K155" i="33"/>
  <c r="K154" i="33" s="1"/>
  <c r="J155" i="33"/>
  <c r="J154" i="33" s="1"/>
  <c r="I155" i="33"/>
  <c r="I154" i="33" s="1"/>
  <c r="H155" i="33"/>
  <c r="G155" i="33"/>
  <c r="F155" i="33"/>
  <c r="E155" i="33"/>
  <c r="D154" i="33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P149" i="33"/>
  <c r="O149" i="33"/>
  <c r="N149" i="33"/>
  <c r="M149" i="33"/>
  <c r="L149" i="33"/>
  <c r="K149" i="33"/>
  <c r="K148" i="33" s="1"/>
  <c r="J149" i="33"/>
  <c r="J148" i="33" s="1"/>
  <c r="I149" i="33"/>
  <c r="H149" i="33"/>
  <c r="G149" i="33"/>
  <c r="F149" i="33"/>
  <c r="E149" i="33"/>
  <c r="E148" i="33" s="1"/>
  <c r="D148" i="33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P146" i="33"/>
  <c r="O146" i="33"/>
  <c r="N146" i="33"/>
  <c r="M146" i="33"/>
  <c r="L146" i="33"/>
  <c r="K146" i="33"/>
  <c r="K145" i="33" s="1"/>
  <c r="J146" i="33"/>
  <c r="I146" i="33"/>
  <c r="H146" i="33"/>
  <c r="G146" i="33"/>
  <c r="F146" i="33"/>
  <c r="E146" i="33"/>
  <c r="D145" i="33"/>
  <c r="C143" i="33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P141" i="33"/>
  <c r="O141" i="33"/>
  <c r="O139" i="33" s="1"/>
  <c r="N141" i="33"/>
  <c r="M141" i="33"/>
  <c r="L141" i="33"/>
  <c r="K141" i="33"/>
  <c r="J141" i="33"/>
  <c r="I141" i="33"/>
  <c r="H141" i="33"/>
  <c r="G141" i="33"/>
  <c r="G139" i="33" s="1"/>
  <c r="F141" i="33"/>
  <c r="E141" i="33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39" i="33"/>
  <c r="P138" i="33"/>
  <c r="P137" i="33" s="1"/>
  <c r="O138" i="33"/>
  <c r="O137" i="33" s="1"/>
  <c r="N138" i="33"/>
  <c r="N137" i="33" s="1"/>
  <c r="M138" i="33"/>
  <c r="M137" i="33" s="1"/>
  <c r="L138" i="33"/>
  <c r="L137" i="33" s="1"/>
  <c r="K138" i="33"/>
  <c r="K137" i="33" s="1"/>
  <c r="J138" i="33"/>
  <c r="J137" i="33" s="1"/>
  <c r="I138" i="33"/>
  <c r="I137" i="33" s="1"/>
  <c r="H138" i="33"/>
  <c r="H137" i="33" s="1"/>
  <c r="G138" i="33"/>
  <c r="G137" i="33" s="1"/>
  <c r="F138" i="33"/>
  <c r="F137" i="33" s="1"/>
  <c r="E138" i="33"/>
  <c r="E137" i="33" s="1"/>
  <c r="D137" i="33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P135" i="33"/>
  <c r="P134" i="33" s="1"/>
  <c r="O135" i="33"/>
  <c r="O134" i="33" s="1"/>
  <c r="N135" i="33"/>
  <c r="M135" i="33"/>
  <c r="L135" i="33"/>
  <c r="K135" i="33"/>
  <c r="J135" i="33"/>
  <c r="J134" i="33" s="1"/>
  <c r="I135" i="33"/>
  <c r="H135" i="33"/>
  <c r="H134" i="33" s="1"/>
  <c r="G135" i="33"/>
  <c r="G134" i="33" s="1"/>
  <c r="F135" i="33"/>
  <c r="E135" i="33"/>
  <c r="D134" i="33"/>
  <c r="P132" i="33"/>
  <c r="P131" i="33" s="1"/>
  <c r="P130" i="33" s="1"/>
  <c r="O132" i="33"/>
  <c r="O131" i="33" s="1"/>
  <c r="O130" i="33" s="1"/>
  <c r="N132" i="33"/>
  <c r="N131" i="33" s="1"/>
  <c r="N130" i="33" s="1"/>
  <c r="M132" i="33"/>
  <c r="M131" i="33" s="1"/>
  <c r="M130" i="33" s="1"/>
  <c r="L132" i="33"/>
  <c r="L131" i="33" s="1"/>
  <c r="L130" i="33" s="1"/>
  <c r="K132" i="33"/>
  <c r="K131" i="33" s="1"/>
  <c r="K130" i="33" s="1"/>
  <c r="J132" i="33"/>
  <c r="J131" i="33" s="1"/>
  <c r="J130" i="33" s="1"/>
  <c r="I132" i="33"/>
  <c r="I131" i="33" s="1"/>
  <c r="I130" i="33" s="1"/>
  <c r="H132" i="33"/>
  <c r="H131" i="33" s="1"/>
  <c r="H130" i="33" s="1"/>
  <c r="G132" i="33"/>
  <c r="G131" i="33" s="1"/>
  <c r="G130" i="33" s="1"/>
  <c r="F132" i="33"/>
  <c r="F131" i="33" s="1"/>
  <c r="F130" i="33" s="1"/>
  <c r="E132" i="33"/>
  <c r="E131" i="33" s="1"/>
  <c r="D131" i="33"/>
  <c r="D130" i="33" s="1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P128" i="33"/>
  <c r="P127" i="33" s="1"/>
  <c r="O128" i="33"/>
  <c r="N128" i="33"/>
  <c r="M128" i="33"/>
  <c r="L128" i="33"/>
  <c r="K128" i="33"/>
  <c r="J128" i="33"/>
  <c r="I128" i="33"/>
  <c r="I127" i="33" s="1"/>
  <c r="H128" i="33"/>
  <c r="H127" i="33" s="1"/>
  <c r="G128" i="33"/>
  <c r="F128" i="33"/>
  <c r="E128" i="33"/>
  <c r="E127" i="33" s="1"/>
  <c r="D127" i="33"/>
  <c r="P126" i="33"/>
  <c r="P125" i="33" s="1"/>
  <c r="O126" i="33"/>
  <c r="O125" i="33" s="1"/>
  <c r="N126" i="33"/>
  <c r="N125" i="33" s="1"/>
  <c r="M126" i="33"/>
  <c r="M125" i="33" s="1"/>
  <c r="L126" i="33"/>
  <c r="L125" i="33" s="1"/>
  <c r="K126" i="33"/>
  <c r="K125" i="33" s="1"/>
  <c r="J126" i="33"/>
  <c r="J125" i="33" s="1"/>
  <c r="I126" i="33"/>
  <c r="I125" i="33" s="1"/>
  <c r="H126" i="33"/>
  <c r="H125" i="33" s="1"/>
  <c r="G126" i="33"/>
  <c r="G125" i="33" s="1"/>
  <c r="F126" i="33"/>
  <c r="F125" i="33" s="1"/>
  <c r="E126" i="33"/>
  <c r="E125" i="33" s="1"/>
  <c r="D125" i="33"/>
  <c r="C123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P119" i="33"/>
  <c r="P118" i="33" s="1"/>
  <c r="O119" i="33"/>
  <c r="N119" i="33"/>
  <c r="M119" i="33"/>
  <c r="M118" i="33" s="1"/>
  <c r="L119" i="33"/>
  <c r="K119" i="33"/>
  <c r="J119" i="33"/>
  <c r="I119" i="33"/>
  <c r="H119" i="33"/>
  <c r="G119" i="33"/>
  <c r="G118" i="33" s="1"/>
  <c r="F119" i="33"/>
  <c r="E119" i="33"/>
  <c r="E118" i="33" s="1"/>
  <c r="D118" i="33"/>
  <c r="P117" i="33"/>
  <c r="P116" i="33" s="1"/>
  <c r="O117" i="33"/>
  <c r="O116" i="33" s="1"/>
  <c r="N117" i="33"/>
  <c r="N116" i="33" s="1"/>
  <c r="M117" i="33"/>
  <c r="M116" i="33" s="1"/>
  <c r="L117" i="33"/>
  <c r="L116" i="33" s="1"/>
  <c r="K117" i="33"/>
  <c r="K116" i="33" s="1"/>
  <c r="J117" i="33"/>
  <c r="J116" i="33" s="1"/>
  <c r="I117" i="33"/>
  <c r="I116" i="33" s="1"/>
  <c r="H117" i="33"/>
  <c r="H116" i="33" s="1"/>
  <c r="G117" i="33"/>
  <c r="G116" i="33" s="1"/>
  <c r="F117" i="33"/>
  <c r="F116" i="33" s="1"/>
  <c r="E117" i="33"/>
  <c r="E116" i="33" s="1"/>
  <c r="D116" i="33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P114" i="33"/>
  <c r="O114" i="33"/>
  <c r="N114" i="33"/>
  <c r="M114" i="33"/>
  <c r="M113" i="33" s="1"/>
  <c r="L114" i="33"/>
  <c r="L113" i="33" s="1"/>
  <c r="K114" i="33"/>
  <c r="J114" i="33"/>
  <c r="I114" i="33"/>
  <c r="H114" i="33"/>
  <c r="G114" i="33"/>
  <c r="F114" i="33"/>
  <c r="E114" i="33"/>
  <c r="E113" i="33" s="1"/>
  <c r="D113" i="33"/>
  <c r="P109" i="33"/>
  <c r="P108" i="33" s="1"/>
  <c r="O109" i="33"/>
  <c r="O108" i="33" s="1"/>
  <c r="N109" i="33"/>
  <c r="N108" i="33" s="1"/>
  <c r="M109" i="33"/>
  <c r="M108" i="33" s="1"/>
  <c r="L109" i="33"/>
  <c r="L108" i="33" s="1"/>
  <c r="K109" i="33"/>
  <c r="K108" i="33" s="1"/>
  <c r="J109" i="33"/>
  <c r="J108" i="33" s="1"/>
  <c r="I109" i="33"/>
  <c r="I108" i="33" s="1"/>
  <c r="H109" i="33"/>
  <c r="H108" i="33" s="1"/>
  <c r="G109" i="33"/>
  <c r="G108" i="33" s="1"/>
  <c r="F109" i="33"/>
  <c r="F108" i="33" s="1"/>
  <c r="E109" i="33"/>
  <c r="E108" i="33" s="1"/>
  <c r="D108" i="33"/>
  <c r="P107" i="33"/>
  <c r="P106" i="33" s="1"/>
  <c r="O107" i="33"/>
  <c r="O106" i="33" s="1"/>
  <c r="N107" i="33"/>
  <c r="N106" i="33" s="1"/>
  <c r="M107" i="33"/>
  <c r="M106" i="33" s="1"/>
  <c r="L107" i="33"/>
  <c r="L106" i="33" s="1"/>
  <c r="K107" i="33"/>
  <c r="K106" i="33" s="1"/>
  <c r="J107" i="33"/>
  <c r="J106" i="33" s="1"/>
  <c r="I107" i="33"/>
  <c r="I106" i="33" s="1"/>
  <c r="H107" i="33"/>
  <c r="H106" i="33" s="1"/>
  <c r="G107" i="33"/>
  <c r="G106" i="33" s="1"/>
  <c r="F107" i="33"/>
  <c r="F106" i="33" s="1"/>
  <c r="E107" i="33"/>
  <c r="E106" i="33" s="1"/>
  <c r="D106" i="33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P101" i="33"/>
  <c r="P100" i="33" s="1"/>
  <c r="O101" i="33"/>
  <c r="N101" i="33"/>
  <c r="M101" i="33"/>
  <c r="L101" i="33"/>
  <c r="K101" i="33"/>
  <c r="J101" i="33"/>
  <c r="J100" i="33" s="1"/>
  <c r="J99" i="33" s="1"/>
  <c r="I101" i="33"/>
  <c r="I100" i="33" s="1"/>
  <c r="I99" i="33" s="1"/>
  <c r="H101" i="33"/>
  <c r="H100" i="33" s="1"/>
  <c r="H99" i="33" s="1"/>
  <c r="G101" i="33"/>
  <c r="F101" i="33"/>
  <c r="E101" i="33"/>
  <c r="D100" i="33"/>
  <c r="D99" i="33" s="1"/>
  <c r="C99" i="33"/>
  <c r="P98" i="33"/>
  <c r="P97" i="33" s="1"/>
  <c r="O98" i="33"/>
  <c r="O97" i="33" s="1"/>
  <c r="N98" i="33"/>
  <c r="N97" i="33" s="1"/>
  <c r="M98" i="33"/>
  <c r="M97" i="33" s="1"/>
  <c r="L98" i="33"/>
  <c r="L97" i="33" s="1"/>
  <c r="K98" i="33"/>
  <c r="K97" i="33" s="1"/>
  <c r="J98" i="33"/>
  <c r="J97" i="33" s="1"/>
  <c r="I98" i="33"/>
  <c r="I97" i="33" s="1"/>
  <c r="H98" i="33"/>
  <c r="H97" i="33" s="1"/>
  <c r="G98" i="33"/>
  <c r="G97" i="33" s="1"/>
  <c r="F98" i="33"/>
  <c r="F97" i="33" s="1"/>
  <c r="E98" i="33"/>
  <c r="E97" i="33" s="1"/>
  <c r="D97" i="33"/>
  <c r="C97" i="33"/>
  <c r="P96" i="33"/>
  <c r="O96" i="33"/>
  <c r="N96" i="33"/>
  <c r="M96" i="33"/>
  <c r="L96" i="33"/>
  <c r="K96" i="33"/>
  <c r="J96" i="33"/>
  <c r="I96" i="33"/>
  <c r="H96" i="33"/>
  <c r="G96" i="33"/>
  <c r="F96" i="33"/>
  <c r="E96" i="33"/>
  <c r="P95" i="33"/>
  <c r="P94" i="33" s="1"/>
  <c r="O95" i="33"/>
  <c r="O94" i="33" s="1"/>
  <c r="N95" i="33"/>
  <c r="M95" i="33"/>
  <c r="L95" i="33"/>
  <c r="K95" i="33"/>
  <c r="J95" i="33"/>
  <c r="I95" i="33"/>
  <c r="I94" i="33" s="1"/>
  <c r="H95" i="33"/>
  <c r="H94" i="33" s="1"/>
  <c r="G95" i="33"/>
  <c r="G94" i="33" s="1"/>
  <c r="F95" i="33"/>
  <c r="E95" i="33"/>
  <c r="D94" i="33"/>
  <c r="C94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P91" i="33"/>
  <c r="O91" i="33"/>
  <c r="N91" i="33"/>
  <c r="M91" i="33"/>
  <c r="L91" i="33"/>
  <c r="K91" i="33"/>
  <c r="J91" i="33"/>
  <c r="I91" i="33"/>
  <c r="H91" i="33"/>
  <c r="G91" i="33"/>
  <c r="F91" i="33"/>
  <c r="E91" i="33"/>
  <c r="P90" i="33"/>
  <c r="P89" i="33" s="1"/>
  <c r="O90" i="33"/>
  <c r="N90" i="33"/>
  <c r="M90" i="33"/>
  <c r="M89" i="33" s="1"/>
  <c r="L90" i="33"/>
  <c r="K90" i="33"/>
  <c r="J90" i="33"/>
  <c r="I90" i="33"/>
  <c r="H90" i="33"/>
  <c r="G90" i="33"/>
  <c r="G89" i="33" s="1"/>
  <c r="F90" i="33"/>
  <c r="E90" i="33"/>
  <c r="E89" i="33" s="1"/>
  <c r="D89" i="33"/>
  <c r="C89" i="33"/>
  <c r="P88" i="33"/>
  <c r="P87" i="33" s="1"/>
  <c r="O88" i="33"/>
  <c r="N88" i="33"/>
  <c r="N87" i="33" s="1"/>
  <c r="M88" i="33"/>
  <c r="M87" i="33" s="1"/>
  <c r="L88" i="33"/>
  <c r="L87" i="33" s="1"/>
  <c r="K88" i="33"/>
  <c r="J88" i="33"/>
  <c r="J87" i="33" s="1"/>
  <c r="I88" i="33"/>
  <c r="I87" i="33" s="1"/>
  <c r="H88" i="33"/>
  <c r="H87" i="33" s="1"/>
  <c r="G88" i="33"/>
  <c r="G87" i="33" s="1"/>
  <c r="F88" i="33"/>
  <c r="F87" i="33" s="1"/>
  <c r="E88" i="33"/>
  <c r="E87" i="33" s="1"/>
  <c r="D87" i="33"/>
  <c r="C87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5" i="33"/>
  <c r="C85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P82" i="33"/>
  <c r="O82" i="33"/>
  <c r="O81" i="33" s="1"/>
  <c r="O80" i="33" s="1"/>
  <c r="N82" i="33"/>
  <c r="N81" i="33" s="1"/>
  <c r="N80" i="33" s="1"/>
  <c r="M82" i="33"/>
  <c r="M81" i="33" s="1"/>
  <c r="M80" i="33" s="1"/>
  <c r="L82" i="33"/>
  <c r="L81" i="33" s="1"/>
  <c r="L80" i="33" s="1"/>
  <c r="K82" i="33"/>
  <c r="J82" i="33"/>
  <c r="I82" i="33"/>
  <c r="H82" i="33"/>
  <c r="G82" i="33"/>
  <c r="G81" i="33" s="1"/>
  <c r="G80" i="33" s="1"/>
  <c r="F82" i="33"/>
  <c r="F81" i="33" s="1"/>
  <c r="F80" i="33" s="1"/>
  <c r="E82" i="33"/>
  <c r="E81" i="33" s="1"/>
  <c r="P81" i="33"/>
  <c r="P80" i="33" s="1"/>
  <c r="D81" i="33"/>
  <c r="D80" i="33" s="1"/>
  <c r="C80" i="33"/>
  <c r="P79" i="33"/>
  <c r="O79" i="33"/>
  <c r="N79" i="33"/>
  <c r="M79" i="33"/>
  <c r="L79" i="33"/>
  <c r="K79" i="33"/>
  <c r="J79" i="33"/>
  <c r="I79" i="33"/>
  <c r="H79" i="33"/>
  <c r="G79" i="33"/>
  <c r="F79" i="33"/>
  <c r="E79" i="33"/>
  <c r="P78" i="33"/>
  <c r="O78" i="33"/>
  <c r="N78" i="33"/>
  <c r="M78" i="33"/>
  <c r="L78" i="33"/>
  <c r="K78" i="33"/>
  <c r="J78" i="33"/>
  <c r="I78" i="33"/>
  <c r="H78" i="33"/>
  <c r="H77" i="33" s="1"/>
  <c r="G78" i="33"/>
  <c r="F78" i="33"/>
  <c r="E78" i="33"/>
  <c r="D77" i="33"/>
  <c r="C77" i="33"/>
  <c r="P76" i="33"/>
  <c r="P75" i="33" s="1"/>
  <c r="O76" i="33"/>
  <c r="O75" i="33" s="1"/>
  <c r="N76" i="33"/>
  <c r="N75" i="33" s="1"/>
  <c r="M76" i="33"/>
  <c r="M75" i="33" s="1"/>
  <c r="L76" i="33"/>
  <c r="L75" i="33" s="1"/>
  <c r="K76" i="33"/>
  <c r="K75" i="33" s="1"/>
  <c r="J76" i="33"/>
  <c r="J75" i="33" s="1"/>
  <c r="I76" i="33"/>
  <c r="I75" i="33" s="1"/>
  <c r="H76" i="33"/>
  <c r="H75" i="33" s="1"/>
  <c r="G76" i="33"/>
  <c r="G75" i="33" s="1"/>
  <c r="F76" i="33"/>
  <c r="F75" i="33" s="1"/>
  <c r="E76" i="33"/>
  <c r="E75" i="33" s="1"/>
  <c r="D75" i="33"/>
  <c r="C75" i="33"/>
  <c r="P74" i="33"/>
  <c r="P73" i="33" s="1"/>
  <c r="O74" i="33"/>
  <c r="O73" i="33" s="1"/>
  <c r="N74" i="33"/>
  <c r="N73" i="33" s="1"/>
  <c r="M74" i="33"/>
  <c r="M73" i="33" s="1"/>
  <c r="L74" i="33"/>
  <c r="L73" i="33" s="1"/>
  <c r="K74" i="33"/>
  <c r="K73" i="33" s="1"/>
  <c r="J74" i="33"/>
  <c r="J73" i="33" s="1"/>
  <c r="I74" i="33"/>
  <c r="I73" i="33" s="1"/>
  <c r="H74" i="33"/>
  <c r="H73" i="33" s="1"/>
  <c r="G74" i="33"/>
  <c r="G73" i="33" s="1"/>
  <c r="F74" i="33"/>
  <c r="F73" i="33" s="1"/>
  <c r="E74" i="33"/>
  <c r="E73" i="33" s="1"/>
  <c r="D73" i="33"/>
  <c r="C73" i="33"/>
  <c r="P72" i="33"/>
  <c r="O72" i="33"/>
  <c r="N72" i="33"/>
  <c r="M72" i="33"/>
  <c r="L72" i="33"/>
  <c r="K72" i="33"/>
  <c r="J72" i="33"/>
  <c r="I72" i="33"/>
  <c r="H72" i="33"/>
  <c r="G72" i="33"/>
  <c r="F72" i="33"/>
  <c r="E72" i="33"/>
  <c r="P71" i="33"/>
  <c r="P70" i="33" s="1"/>
  <c r="O71" i="33"/>
  <c r="N71" i="33"/>
  <c r="M71" i="33"/>
  <c r="M70" i="33" s="1"/>
  <c r="L71" i="33"/>
  <c r="K71" i="33"/>
  <c r="J71" i="33"/>
  <c r="I71" i="33"/>
  <c r="H71" i="33"/>
  <c r="G71" i="33"/>
  <c r="F71" i="33"/>
  <c r="E71" i="33"/>
  <c r="E70" i="33" s="1"/>
  <c r="D70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P68" i="33"/>
  <c r="P67" i="33" s="1"/>
  <c r="O68" i="33"/>
  <c r="O67" i="33" s="1"/>
  <c r="N68" i="33"/>
  <c r="M68" i="33"/>
  <c r="L68" i="33"/>
  <c r="K68" i="33"/>
  <c r="J68" i="33"/>
  <c r="I68" i="33"/>
  <c r="I67" i="33" s="1"/>
  <c r="H68" i="33"/>
  <c r="H67" i="33" s="1"/>
  <c r="G68" i="33"/>
  <c r="G67" i="33" s="1"/>
  <c r="F68" i="33"/>
  <c r="E68" i="33"/>
  <c r="D67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3" i="33"/>
  <c r="C63" i="33"/>
  <c r="C62" i="33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P58" i="33"/>
  <c r="O58" i="33"/>
  <c r="N58" i="33"/>
  <c r="M58" i="33"/>
  <c r="L58" i="33"/>
  <c r="L57" i="33" s="1"/>
  <c r="K58" i="33"/>
  <c r="K57" i="33" s="1"/>
  <c r="J58" i="33"/>
  <c r="J57" i="33" s="1"/>
  <c r="I58" i="33"/>
  <c r="H58" i="33"/>
  <c r="G58" i="33"/>
  <c r="F58" i="33"/>
  <c r="E58" i="33"/>
  <c r="D57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P55" i="33"/>
  <c r="O55" i="33"/>
  <c r="N55" i="33"/>
  <c r="N54" i="33" s="1"/>
  <c r="M55" i="33"/>
  <c r="M54" i="33" s="1"/>
  <c r="L55" i="33"/>
  <c r="K55" i="33"/>
  <c r="J55" i="33"/>
  <c r="I55" i="33"/>
  <c r="H55" i="33"/>
  <c r="G55" i="33"/>
  <c r="F55" i="33"/>
  <c r="F54" i="33" s="1"/>
  <c r="E55" i="33"/>
  <c r="D54" i="33"/>
  <c r="C53" i="33"/>
  <c r="P51" i="33"/>
  <c r="P50" i="33" s="1"/>
  <c r="O51" i="33"/>
  <c r="O50" i="33" s="1"/>
  <c r="N51" i="33"/>
  <c r="N50" i="33" s="1"/>
  <c r="M51" i="33"/>
  <c r="M50" i="33" s="1"/>
  <c r="L51" i="33"/>
  <c r="L50" i="33" s="1"/>
  <c r="K51" i="33"/>
  <c r="K50" i="33" s="1"/>
  <c r="J51" i="33"/>
  <c r="J50" i="33" s="1"/>
  <c r="I51" i="33"/>
  <c r="I50" i="33" s="1"/>
  <c r="H51" i="33"/>
  <c r="H50" i="33" s="1"/>
  <c r="G51" i="33"/>
  <c r="G50" i="33" s="1"/>
  <c r="F51" i="33"/>
  <c r="F50" i="33" s="1"/>
  <c r="E51" i="33"/>
  <c r="E50" i="33" s="1"/>
  <c r="D50" i="33"/>
  <c r="C50" i="33"/>
  <c r="P49" i="33"/>
  <c r="P48" i="33" s="1"/>
  <c r="O49" i="33"/>
  <c r="O48" i="33" s="1"/>
  <c r="N49" i="33"/>
  <c r="N48" i="33" s="1"/>
  <c r="M49" i="33"/>
  <c r="M48" i="33" s="1"/>
  <c r="L49" i="33"/>
  <c r="L48" i="33" s="1"/>
  <c r="K49" i="33"/>
  <c r="K48" i="33" s="1"/>
  <c r="J49" i="33"/>
  <c r="J48" i="33" s="1"/>
  <c r="I49" i="33"/>
  <c r="I48" i="33" s="1"/>
  <c r="H49" i="33"/>
  <c r="H48" i="33" s="1"/>
  <c r="G49" i="33"/>
  <c r="G48" i="33" s="1"/>
  <c r="F49" i="33"/>
  <c r="F48" i="33" s="1"/>
  <c r="E49" i="33"/>
  <c r="E48" i="33" s="1"/>
  <c r="D48" i="33"/>
  <c r="C48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P46" i="33"/>
  <c r="O46" i="33"/>
  <c r="N46" i="33"/>
  <c r="M46" i="33"/>
  <c r="L46" i="33"/>
  <c r="L45" i="33" s="1"/>
  <c r="K46" i="33"/>
  <c r="K45" i="33" s="1"/>
  <c r="J46" i="33"/>
  <c r="I46" i="33"/>
  <c r="I45" i="33" s="1"/>
  <c r="H46" i="33"/>
  <c r="G46" i="33"/>
  <c r="F46" i="33"/>
  <c r="E46" i="33"/>
  <c r="D45" i="33"/>
  <c r="C45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P43" i="33"/>
  <c r="P42" i="33" s="1"/>
  <c r="O43" i="33"/>
  <c r="N43" i="33"/>
  <c r="N42" i="33" s="1"/>
  <c r="M43" i="33"/>
  <c r="M42" i="33" s="1"/>
  <c r="L43" i="33"/>
  <c r="L42" i="33" s="1"/>
  <c r="K43" i="33"/>
  <c r="J43" i="33"/>
  <c r="I43" i="33"/>
  <c r="H43" i="33"/>
  <c r="G43" i="33"/>
  <c r="F43" i="33"/>
  <c r="E43" i="33"/>
  <c r="D42" i="33"/>
  <c r="C42" i="33"/>
  <c r="P41" i="33"/>
  <c r="P40" i="33" s="1"/>
  <c r="O41" i="33"/>
  <c r="O40" i="33" s="1"/>
  <c r="N41" i="33"/>
  <c r="N40" i="33" s="1"/>
  <c r="M41" i="33"/>
  <c r="M40" i="33" s="1"/>
  <c r="L41" i="33"/>
  <c r="L40" i="33" s="1"/>
  <c r="K41" i="33"/>
  <c r="K40" i="33" s="1"/>
  <c r="J41" i="33"/>
  <c r="J40" i="33" s="1"/>
  <c r="I41" i="33"/>
  <c r="I40" i="33" s="1"/>
  <c r="H41" i="33"/>
  <c r="H40" i="33" s="1"/>
  <c r="G41" i="33"/>
  <c r="G40" i="33" s="1"/>
  <c r="F41" i="33"/>
  <c r="F40" i="33" s="1"/>
  <c r="E41" i="33"/>
  <c r="E40" i="33" s="1"/>
  <c r="D40" i="33"/>
  <c r="C40" i="33"/>
  <c r="P38" i="33"/>
  <c r="P37" i="33" s="1"/>
  <c r="O38" i="33"/>
  <c r="O37" i="33" s="1"/>
  <c r="N38" i="33"/>
  <c r="N37" i="33" s="1"/>
  <c r="M38" i="33"/>
  <c r="M37" i="33" s="1"/>
  <c r="L38" i="33"/>
  <c r="L37" i="33" s="1"/>
  <c r="K38" i="33"/>
  <c r="K37" i="33" s="1"/>
  <c r="J38" i="33"/>
  <c r="J37" i="33" s="1"/>
  <c r="I38" i="33"/>
  <c r="I37" i="33" s="1"/>
  <c r="H38" i="33"/>
  <c r="H37" i="33" s="1"/>
  <c r="G38" i="33"/>
  <c r="G37" i="33" s="1"/>
  <c r="F38" i="33"/>
  <c r="F37" i="33" s="1"/>
  <c r="E38" i="33"/>
  <c r="E37" i="33" s="1"/>
  <c r="D37" i="33"/>
  <c r="P36" i="33"/>
  <c r="P35" i="33" s="1"/>
  <c r="O36" i="33"/>
  <c r="O35" i="33" s="1"/>
  <c r="N36" i="33"/>
  <c r="N35" i="33" s="1"/>
  <c r="M36" i="33"/>
  <c r="M35" i="33" s="1"/>
  <c r="L36" i="33"/>
  <c r="L35" i="33" s="1"/>
  <c r="K36" i="33"/>
  <c r="K35" i="33" s="1"/>
  <c r="J36" i="33"/>
  <c r="J35" i="33" s="1"/>
  <c r="I36" i="33"/>
  <c r="I35" i="33" s="1"/>
  <c r="H36" i="33"/>
  <c r="H35" i="33" s="1"/>
  <c r="G36" i="33"/>
  <c r="G35" i="33" s="1"/>
  <c r="F36" i="33"/>
  <c r="F35" i="33" s="1"/>
  <c r="E36" i="33"/>
  <c r="E35" i="33" s="1"/>
  <c r="D35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P29" i="33"/>
  <c r="O29" i="33"/>
  <c r="O28" i="33" s="1"/>
  <c r="N29" i="33"/>
  <c r="M29" i="33"/>
  <c r="M28" i="33" s="1"/>
  <c r="L29" i="33"/>
  <c r="K29" i="33"/>
  <c r="J29" i="33"/>
  <c r="I29" i="33"/>
  <c r="H29" i="33"/>
  <c r="G29" i="33"/>
  <c r="F29" i="33"/>
  <c r="E29" i="33"/>
  <c r="D28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P25" i="33"/>
  <c r="O25" i="33"/>
  <c r="N25" i="33"/>
  <c r="M25" i="33"/>
  <c r="L25" i="33"/>
  <c r="K25" i="33"/>
  <c r="J25" i="33"/>
  <c r="I25" i="33"/>
  <c r="G25" i="33"/>
  <c r="F25" i="33"/>
  <c r="E25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2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P16" i="33"/>
  <c r="P15" i="33" s="1"/>
  <c r="O16" i="33"/>
  <c r="N16" i="33"/>
  <c r="N15" i="33" s="1"/>
  <c r="M16" i="33"/>
  <c r="L16" i="33"/>
  <c r="K16" i="33"/>
  <c r="J16" i="33"/>
  <c r="I16" i="33"/>
  <c r="I15" i="33" s="1"/>
  <c r="H16" i="33"/>
  <c r="H15" i="33" s="1"/>
  <c r="G16" i="33"/>
  <c r="F16" i="33"/>
  <c r="F15" i="33" s="1"/>
  <c r="E16" i="33"/>
  <c r="D15" i="33"/>
  <c r="D24" i="22"/>
  <c r="D23" i="22"/>
  <c r="D22" i="22"/>
  <c r="D21" i="22"/>
  <c r="D20" i="22"/>
  <c r="D19" i="22"/>
  <c r="D17" i="22"/>
  <c r="D16" i="22"/>
  <c r="D15" i="22"/>
  <c r="D14" i="22"/>
  <c r="D13" i="22"/>
  <c r="D25" i="22"/>
  <c r="D18" i="22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N30" i="20"/>
  <c r="N25" i="20"/>
  <c r="N20" i="20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168" i="11"/>
  <c r="A168" i="11"/>
  <c r="E167" i="11"/>
  <c r="A167" i="11"/>
  <c r="E166" i="11"/>
  <c r="A166" i="11"/>
  <c r="E165" i="11"/>
  <c r="A165" i="11"/>
  <c r="E164" i="11"/>
  <c r="A164" i="11"/>
  <c r="E163" i="11"/>
  <c r="A163" i="11"/>
  <c r="E162" i="11"/>
  <c r="A162" i="11"/>
  <c r="E161" i="11"/>
  <c r="A161" i="11"/>
  <c r="E160" i="11"/>
  <c r="A160" i="11"/>
  <c r="E159" i="11"/>
  <c r="A159" i="11"/>
  <c r="E158" i="11"/>
  <c r="A158" i="11"/>
  <c r="E157" i="11"/>
  <c r="A157" i="11"/>
  <c r="E156" i="11"/>
  <c r="A156" i="11"/>
  <c r="E155" i="11"/>
  <c r="A155" i="11"/>
  <c r="E154" i="11"/>
  <c r="A154" i="11"/>
  <c r="E153" i="11"/>
  <c r="A153" i="11"/>
  <c r="E152" i="11"/>
  <c r="A152" i="11"/>
  <c r="E151" i="11"/>
  <c r="A151" i="11"/>
  <c r="E150" i="11"/>
  <c r="A150" i="11"/>
  <c r="E149" i="11"/>
  <c r="A149" i="11"/>
  <c r="E148" i="11"/>
  <c r="A148" i="11"/>
  <c r="E147" i="11"/>
  <c r="A147" i="11"/>
  <c r="E146" i="11"/>
  <c r="A146" i="11"/>
  <c r="E145" i="11"/>
  <c r="A145" i="11"/>
  <c r="E144" i="11"/>
  <c r="A144" i="11"/>
  <c r="E143" i="11"/>
  <c r="A143" i="11"/>
  <c r="E142" i="11"/>
  <c r="A142" i="11"/>
  <c r="E141" i="11"/>
  <c r="A141" i="11"/>
  <c r="E140" i="11"/>
  <c r="A140" i="11"/>
  <c r="E139" i="11"/>
  <c r="A139" i="11"/>
  <c r="E138" i="11"/>
  <c r="A138" i="11"/>
  <c r="E137" i="11"/>
  <c r="A137" i="11"/>
  <c r="E136" i="11"/>
  <c r="A136" i="11"/>
  <c r="E135" i="11"/>
  <c r="A135" i="11"/>
  <c r="E134" i="11"/>
  <c r="A134" i="11"/>
  <c r="E133" i="11"/>
  <c r="A133" i="11"/>
  <c r="E132" i="11"/>
  <c r="A132" i="11"/>
  <c r="E131" i="11"/>
  <c r="A131" i="11"/>
  <c r="E130" i="11"/>
  <c r="A130" i="11"/>
  <c r="E129" i="11"/>
  <c r="A129" i="11"/>
  <c r="E128" i="11"/>
  <c r="A128" i="11"/>
  <c r="E127" i="11"/>
  <c r="A127" i="11"/>
  <c r="E126" i="11"/>
  <c r="A126" i="11"/>
  <c r="E125" i="11"/>
  <c r="A125" i="11"/>
  <c r="E124" i="11"/>
  <c r="A124" i="11"/>
  <c r="E123" i="11"/>
  <c r="A123" i="11"/>
  <c r="E122" i="11"/>
  <c r="A122" i="11"/>
  <c r="E121" i="11"/>
  <c r="A121" i="11"/>
  <c r="E120" i="11"/>
  <c r="A120" i="11"/>
  <c r="E119" i="11"/>
  <c r="A119" i="11"/>
  <c r="E118" i="11"/>
  <c r="A118" i="11"/>
  <c r="E117" i="11"/>
  <c r="A117" i="11"/>
  <c r="E116" i="11"/>
  <c r="A116" i="11"/>
  <c r="E115" i="11"/>
  <c r="A115" i="11"/>
  <c r="E114" i="11"/>
  <c r="A114" i="11"/>
  <c r="E113" i="11"/>
  <c r="A113" i="11"/>
  <c r="E112" i="11"/>
  <c r="A112" i="11"/>
  <c r="E111" i="11"/>
  <c r="A111" i="11"/>
  <c r="E110" i="11"/>
  <c r="A110" i="11"/>
  <c r="E109" i="11"/>
  <c r="A109" i="11"/>
  <c r="E108" i="11"/>
  <c r="A108" i="11"/>
  <c r="E107" i="11"/>
  <c r="A107" i="11"/>
  <c r="E106" i="11"/>
  <c r="A106" i="11"/>
  <c r="E105" i="11"/>
  <c r="A105" i="11"/>
  <c r="E104" i="11"/>
  <c r="A104" i="11"/>
  <c r="E103" i="11"/>
  <c r="A103" i="11"/>
  <c r="E102" i="11"/>
  <c r="A102" i="11"/>
  <c r="E101" i="11"/>
  <c r="A101" i="11"/>
  <c r="E100" i="11"/>
  <c r="A100" i="11"/>
  <c r="E99" i="11"/>
  <c r="A99" i="11"/>
  <c r="E98" i="11"/>
  <c r="A98" i="11"/>
  <c r="E97" i="11"/>
  <c r="A97" i="11"/>
  <c r="E96" i="11"/>
  <c r="A96" i="11"/>
  <c r="E95" i="11"/>
  <c r="A95" i="11"/>
  <c r="E94" i="11"/>
  <c r="A94" i="11"/>
  <c r="E93" i="11"/>
  <c r="A93" i="11"/>
  <c r="E92" i="11"/>
  <c r="A92" i="11"/>
  <c r="E91" i="11"/>
  <c r="A91" i="11"/>
  <c r="E90" i="11"/>
  <c r="A90" i="11"/>
  <c r="E89" i="11"/>
  <c r="A89" i="11"/>
  <c r="E88" i="11"/>
  <c r="A88" i="11"/>
  <c r="E87" i="11"/>
  <c r="A87" i="11"/>
  <c r="E86" i="11"/>
  <c r="A86" i="11"/>
  <c r="E85" i="11"/>
  <c r="A85" i="11"/>
  <c r="E84" i="11"/>
  <c r="A84" i="11"/>
  <c r="E83" i="11"/>
  <c r="A83" i="11"/>
  <c r="E82" i="11"/>
  <c r="A82" i="11"/>
  <c r="E81" i="11"/>
  <c r="A81" i="11"/>
  <c r="E80" i="11"/>
  <c r="A80" i="11"/>
  <c r="E79" i="11"/>
  <c r="A79" i="11"/>
  <c r="E78" i="11"/>
  <c r="A78" i="11"/>
  <c r="E77" i="11"/>
  <c r="A77" i="11"/>
  <c r="E76" i="11"/>
  <c r="A76" i="11"/>
  <c r="E75" i="11"/>
  <c r="A75" i="11"/>
  <c r="E74" i="11"/>
  <c r="A74" i="11"/>
  <c r="E73" i="11"/>
  <c r="A73" i="11"/>
  <c r="E49" i="23"/>
  <c r="J53" i="23"/>
  <c r="D57" i="23"/>
  <c r="G53" i="23"/>
  <c r="E58" i="23"/>
  <c r="E53" i="23"/>
  <c r="L54" i="23"/>
  <c r="H55" i="23"/>
  <c r="L55" i="23"/>
  <c r="D49" i="23"/>
  <c r="K54" i="23"/>
  <c r="G49" i="23"/>
  <c r="I49" i="23"/>
  <c r="G58" i="23"/>
  <c r="D194" i="20"/>
  <c r="G200" i="12"/>
  <c r="C58" i="23"/>
  <c r="H54" i="23"/>
  <c r="D89" i="13"/>
  <c r="F56" i="23"/>
  <c r="G198" i="12"/>
  <c r="D88" i="13"/>
  <c r="F53" i="23"/>
  <c r="D202" i="20"/>
  <c r="G204" i="12"/>
  <c r="G54" i="23"/>
  <c r="D195" i="20"/>
  <c r="I56" i="23"/>
  <c r="F58" i="23"/>
  <c r="F55" i="23"/>
  <c r="L56" i="23"/>
  <c r="M58" i="23"/>
  <c r="J58" i="23"/>
  <c r="D201" i="20"/>
  <c r="K53" i="23"/>
  <c r="D197" i="20"/>
  <c r="G55" i="23"/>
  <c r="J54" i="23"/>
  <c r="L49" i="23"/>
  <c r="K56" i="23"/>
  <c r="K55" i="23"/>
  <c r="G203" i="12"/>
  <c r="D54" i="23"/>
  <c r="H57" i="23"/>
  <c r="G202" i="12"/>
  <c r="D193" i="20"/>
  <c r="H56" i="23"/>
  <c r="D58" i="23"/>
  <c r="D200" i="20"/>
  <c r="M53" i="23"/>
  <c r="I58" i="23"/>
  <c r="D53" i="23"/>
  <c r="F57" i="23"/>
  <c r="I55" i="23"/>
  <c r="G199" i="12"/>
  <c r="L58" i="23"/>
  <c r="C55" i="23"/>
  <c r="B55" i="23"/>
  <c r="B49" i="23"/>
  <c r="G195" i="12"/>
  <c r="D192" i="20"/>
  <c r="E55" i="23"/>
  <c r="G57" i="23"/>
  <c r="C56" i="23"/>
  <c r="E57" i="23"/>
  <c r="M57" i="23"/>
  <c r="I54" i="23"/>
  <c r="C49" i="23"/>
  <c r="H58" i="23"/>
  <c r="D199" i="20"/>
  <c r="G56" i="23"/>
  <c r="E54" i="23"/>
  <c r="D90" i="13"/>
  <c r="B53" i="23"/>
  <c r="B58" i="23"/>
  <c r="M56" i="23"/>
  <c r="D87" i="13"/>
  <c r="H49" i="23"/>
  <c r="G201" i="12"/>
  <c r="G194" i="12"/>
  <c r="K57" i="23"/>
  <c r="J49" i="23"/>
  <c r="J56" i="23"/>
  <c r="G193" i="12"/>
  <c r="F54" i="23"/>
  <c r="D203" i="20"/>
  <c r="B56" i="23"/>
  <c r="D196" i="20"/>
  <c r="K58" i="23"/>
  <c r="L53" i="23"/>
  <c r="D56" i="23"/>
  <c r="M54" i="23"/>
  <c r="G196" i="12"/>
  <c r="J57" i="23"/>
  <c r="C54" i="23"/>
  <c r="K49" i="23"/>
  <c r="C53" i="23"/>
  <c r="D198" i="20"/>
  <c r="F49" i="23"/>
  <c r="E56" i="23"/>
  <c r="L57" i="23"/>
  <c r="D55" i="23"/>
  <c r="I57" i="23"/>
  <c r="M49" i="23"/>
  <c r="J55" i="23"/>
  <c r="B57" i="23"/>
  <c r="I53" i="23"/>
  <c r="B54" i="23"/>
  <c r="H53" i="23"/>
  <c r="G197" i="12"/>
  <c r="C57" i="23"/>
  <c r="M55" i="23"/>
  <c r="L118" i="33" l="1"/>
  <c r="F177" i="33"/>
  <c r="K42" i="33"/>
  <c r="P99" i="33"/>
  <c r="P93" i="33" s="1"/>
  <c r="K157" i="33"/>
  <c r="K153" i="33" s="1"/>
  <c r="D14" i="33"/>
  <c r="D153" i="33"/>
  <c r="D105" i="33"/>
  <c r="J15" i="33"/>
  <c r="I28" i="33"/>
  <c r="F148" i="33"/>
  <c r="N148" i="33"/>
  <c r="E154" i="33"/>
  <c r="G177" i="33"/>
  <c r="O177" i="33"/>
  <c r="K237" i="33"/>
  <c r="K236" i="33" s="1"/>
  <c r="M45" i="33"/>
  <c r="M39" i="33" s="1"/>
  <c r="N57" i="33"/>
  <c r="N53" i="33" s="1"/>
  <c r="L63" i="33"/>
  <c r="L62" i="33" s="1"/>
  <c r="K77" i="33"/>
  <c r="H81" i="33"/>
  <c r="H80" i="33" s="1"/>
  <c r="K94" i="33"/>
  <c r="G113" i="33"/>
  <c r="G112" i="33" s="1"/>
  <c r="G111" i="33" s="1"/>
  <c r="G110" i="33" s="1"/>
  <c r="O113" i="33"/>
  <c r="J127" i="33"/>
  <c r="J139" i="33"/>
  <c r="J133" i="33" s="1"/>
  <c r="H145" i="33"/>
  <c r="P145" i="33"/>
  <c r="L157" i="33"/>
  <c r="I174" i="33"/>
  <c r="P177" i="33"/>
  <c r="I209" i="33"/>
  <c r="I208" i="33" s="1"/>
  <c r="I193" i="33" s="1"/>
  <c r="I192" i="33" s="1"/>
  <c r="F229" i="33"/>
  <c r="F228" i="33" s="1"/>
  <c r="L237" i="33"/>
  <c r="L236" i="33" s="1"/>
  <c r="L193" i="33" s="1"/>
  <c r="L192" i="33" s="1"/>
  <c r="K28" i="33"/>
  <c r="F45" i="33"/>
  <c r="N45" i="33"/>
  <c r="N39" i="33" s="1"/>
  <c r="H54" i="33"/>
  <c r="P54" i="33"/>
  <c r="M63" i="33"/>
  <c r="M62" i="33" s="1"/>
  <c r="L77" i="33"/>
  <c r="H113" i="33"/>
  <c r="J118" i="33"/>
  <c r="K127" i="33"/>
  <c r="K124" i="33" s="1"/>
  <c r="E134" i="33"/>
  <c r="M134" i="33"/>
  <c r="K139" i="33"/>
  <c r="I145" i="33"/>
  <c r="I144" i="33" s="1"/>
  <c r="H148" i="33"/>
  <c r="P148" i="33"/>
  <c r="O154" i="33"/>
  <c r="E157" i="33"/>
  <c r="M157" i="33"/>
  <c r="L28" i="33"/>
  <c r="I54" i="33"/>
  <c r="H57" i="33"/>
  <c r="F63" i="33"/>
  <c r="F62" i="33" s="1"/>
  <c r="N63" i="33"/>
  <c r="N62" i="33" s="1"/>
  <c r="E77" i="33"/>
  <c r="M77" i="33"/>
  <c r="K89" i="33"/>
  <c r="E94" i="33"/>
  <c r="E100" i="33"/>
  <c r="E99" i="33" s="1"/>
  <c r="K118" i="33"/>
  <c r="F134" i="33"/>
  <c r="N134" i="33"/>
  <c r="L139" i="33"/>
  <c r="J145" i="33"/>
  <c r="J144" i="33" s="1"/>
  <c r="I148" i="33"/>
  <c r="H154" i="33"/>
  <c r="P154" i="33"/>
  <c r="L171" i="33"/>
  <c r="L169" i="33" s="1"/>
  <c r="L168" i="33" s="1"/>
  <c r="K174" i="33"/>
  <c r="J177" i="33"/>
  <c r="G189" i="33"/>
  <c r="O189" i="33"/>
  <c r="F237" i="33"/>
  <c r="F236" i="33" s="1"/>
  <c r="N237" i="33"/>
  <c r="N236" i="33" s="1"/>
  <c r="E249" i="33"/>
  <c r="E248" i="33" s="1"/>
  <c r="J42" i="33"/>
  <c r="O63" i="33"/>
  <c r="O62" i="33" s="1"/>
  <c r="N67" i="33"/>
  <c r="L70" i="33"/>
  <c r="F77" i="33"/>
  <c r="N77" i="33"/>
  <c r="L89" i="33"/>
  <c r="F94" i="33"/>
  <c r="P57" i="33"/>
  <c r="M249" i="33"/>
  <c r="M248" i="33" s="1"/>
  <c r="M247" i="33" s="1"/>
  <c r="M246" i="33" s="1"/>
  <c r="F201" i="20"/>
  <c r="D169" i="33"/>
  <c r="D53" i="33"/>
  <c r="D66" i="33"/>
  <c r="D112" i="33"/>
  <c r="D111" i="33" s="1"/>
  <c r="D124" i="33"/>
  <c r="D162" i="33"/>
  <c r="D144" i="33"/>
  <c r="C93" i="33"/>
  <c r="F200" i="20"/>
  <c r="F207" i="20" s="1"/>
  <c r="J89" i="33"/>
  <c r="O208" i="33"/>
  <c r="O193" i="33" s="1"/>
  <c r="O192" i="33" s="1"/>
  <c r="F199" i="20"/>
  <c r="F206" i="20" s="1"/>
  <c r="F192" i="20"/>
  <c r="N249" i="33"/>
  <c r="N248" i="33" s="1"/>
  <c r="N247" i="33" s="1"/>
  <c r="N246" i="33" s="1"/>
  <c r="K63" i="33"/>
  <c r="K62" i="33" s="1"/>
  <c r="P113" i="33"/>
  <c r="P112" i="33" s="1"/>
  <c r="P111" i="33" s="1"/>
  <c r="P110" i="33" s="1"/>
  <c r="P153" i="33"/>
  <c r="P53" i="33"/>
  <c r="H22" i="33"/>
  <c r="L85" i="33"/>
  <c r="K144" i="33"/>
  <c r="K177" i="33"/>
  <c r="M209" i="33"/>
  <c r="M208" i="33" s="1"/>
  <c r="G57" i="33"/>
  <c r="G28" i="33"/>
  <c r="H70" i="33"/>
  <c r="H66" i="33" s="1"/>
  <c r="O85" i="33"/>
  <c r="H89" i="33"/>
  <c r="M100" i="33"/>
  <c r="M99" i="33" s="1"/>
  <c r="F127" i="33"/>
  <c r="F124" i="33" s="1"/>
  <c r="N127" i="33"/>
  <c r="N124" i="33" s="1"/>
  <c r="M145" i="33"/>
  <c r="M148" i="33"/>
  <c r="M154" i="33"/>
  <c r="H157" i="33"/>
  <c r="J171" i="33"/>
  <c r="H177" i="33"/>
  <c r="I42" i="33"/>
  <c r="I39" i="33" s="1"/>
  <c r="O57" i="33"/>
  <c r="H63" i="33"/>
  <c r="H62" i="33" s="1"/>
  <c r="P63" i="33"/>
  <c r="P62" i="33" s="1"/>
  <c r="K113" i="33"/>
  <c r="K112" i="33" s="1"/>
  <c r="K111" i="33" s="1"/>
  <c r="K110" i="33" s="1"/>
  <c r="L54" i="33"/>
  <c r="L53" i="33" s="1"/>
  <c r="I77" i="33"/>
  <c r="I81" i="33"/>
  <c r="I80" i="33" s="1"/>
  <c r="K85" i="33"/>
  <c r="H28" i="33"/>
  <c r="G42" i="33"/>
  <c r="O42" i="33"/>
  <c r="O118" i="33"/>
  <c r="O112" i="33" s="1"/>
  <c r="O111" i="33" s="1"/>
  <c r="O110" i="33" s="1"/>
  <c r="F139" i="33"/>
  <c r="N139" i="33"/>
  <c r="H174" i="33"/>
  <c r="P174" i="33"/>
  <c r="I177" i="33"/>
  <c r="G229" i="33"/>
  <c r="G228" i="33" s="1"/>
  <c r="G193" i="33" s="1"/>
  <c r="G192" i="33" s="1"/>
  <c r="P77" i="33"/>
  <c r="P66" i="33" s="1"/>
  <c r="O89" i="33"/>
  <c r="M127" i="33"/>
  <c r="M124" i="33" s="1"/>
  <c r="P45" i="33"/>
  <c r="P39" i="33" s="1"/>
  <c r="F57" i="33"/>
  <c r="F53" i="33" s="1"/>
  <c r="E67" i="33"/>
  <c r="E66" i="33" s="1"/>
  <c r="M67" i="33"/>
  <c r="K81" i="33"/>
  <c r="K80" i="33" s="1"/>
  <c r="M94" i="33"/>
  <c r="H118" i="33"/>
  <c r="K134" i="33"/>
  <c r="K133" i="33" s="1"/>
  <c r="G154" i="33"/>
  <c r="H171" i="33"/>
  <c r="H169" i="33" s="1"/>
  <c r="H168" i="33" s="1"/>
  <c r="P171" i="33"/>
  <c r="P169" i="33" s="1"/>
  <c r="P168" i="33" s="1"/>
  <c r="H229" i="33"/>
  <c r="H228" i="33" s="1"/>
  <c r="H193" i="33" s="1"/>
  <c r="H192" i="33" s="1"/>
  <c r="E203" i="20"/>
  <c r="F195" i="20"/>
  <c r="K15" i="33"/>
  <c r="O15" i="33"/>
  <c r="N28" i="33"/>
  <c r="D39" i="33"/>
  <c r="E45" i="33"/>
  <c r="K54" i="33"/>
  <c r="K53" i="33" s="1"/>
  <c r="O54" i="33"/>
  <c r="I63" i="33"/>
  <c r="I62" i="33" s="1"/>
  <c r="E63" i="33"/>
  <c r="E62" i="33" s="1"/>
  <c r="L67" i="33"/>
  <c r="L66" i="33" s="1"/>
  <c r="L61" i="33" s="1"/>
  <c r="L60" i="33" s="1"/>
  <c r="J81" i="33"/>
  <c r="J80" i="33" s="1"/>
  <c r="O87" i="33"/>
  <c r="L94" i="33"/>
  <c r="F100" i="33"/>
  <c r="F99" i="33" s="1"/>
  <c r="F93" i="33" s="1"/>
  <c r="N100" i="33"/>
  <c r="N99" i="33" s="1"/>
  <c r="J113" i="33"/>
  <c r="J112" i="33" s="1"/>
  <c r="J111" i="33" s="1"/>
  <c r="J110" i="33" s="1"/>
  <c r="F113" i="33"/>
  <c r="N113" i="33"/>
  <c r="E139" i="33"/>
  <c r="M139" i="33"/>
  <c r="I139" i="33"/>
  <c r="F145" i="33"/>
  <c r="F144" i="33" s="1"/>
  <c r="N145" i="33"/>
  <c r="F154" i="33"/>
  <c r="N154" i="33"/>
  <c r="G157" i="33"/>
  <c r="O157" i="33"/>
  <c r="L22" i="33"/>
  <c r="P28" i="33"/>
  <c r="I70" i="33"/>
  <c r="C66" i="33"/>
  <c r="C61" i="33" s="1"/>
  <c r="C60" i="33" s="1"/>
  <c r="C52" i="33" s="1"/>
  <c r="J77" i="33"/>
  <c r="I89" i="33"/>
  <c r="G100" i="33"/>
  <c r="G99" i="33" s="1"/>
  <c r="G93" i="33" s="1"/>
  <c r="O100" i="33"/>
  <c r="O99" i="33" s="1"/>
  <c r="O93" i="33" s="1"/>
  <c r="K100" i="33"/>
  <c r="K99" i="33" s="1"/>
  <c r="J105" i="33"/>
  <c r="I118" i="33"/>
  <c r="G127" i="33"/>
  <c r="G124" i="33" s="1"/>
  <c r="O127" i="33"/>
  <c r="O124" i="33" s="1"/>
  <c r="L134" i="33"/>
  <c r="L133" i="33" s="1"/>
  <c r="G145" i="33"/>
  <c r="O145" i="33"/>
  <c r="G148" i="33"/>
  <c r="O148" i="33"/>
  <c r="J174" i="33"/>
  <c r="E189" i="33"/>
  <c r="M189" i="33"/>
  <c r="M195" i="33"/>
  <c r="M194" i="33" s="1"/>
  <c r="Q34" i="33"/>
  <c r="T34" i="33" s="1"/>
  <c r="F209" i="33"/>
  <c r="F208" i="33" s="1"/>
  <c r="N209" i="33"/>
  <c r="N208" i="33" s="1"/>
  <c r="J153" i="33"/>
  <c r="Q29" i="33"/>
  <c r="R29" i="33" s="1"/>
  <c r="F42" i="33"/>
  <c r="G45" i="33"/>
  <c r="O45" i="33"/>
  <c r="E54" i="33"/>
  <c r="G63" i="33"/>
  <c r="G62" i="33" s="1"/>
  <c r="J67" i="33"/>
  <c r="F67" i="33"/>
  <c r="F70" i="33"/>
  <c r="N70" i="33"/>
  <c r="G77" i="33"/>
  <c r="O77" i="33"/>
  <c r="F89" i="33"/>
  <c r="N89" i="33"/>
  <c r="J94" i="33"/>
  <c r="N94" i="33"/>
  <c r="L100" i="33"/>
  <c r="L99" i="33" s="1"/>
  <c r="G105" i="33"/>
  <c r="F118" i="33"/>
  <c r="N118" i="33"/>
  <c r="L127" i="33"/>
  <c r="L124" i="33" s="1"/>
  <c r="I134" i="33"/>
  <c r="L145" i="33"/>
  <c r="L148" i="33"/>
  <c r="L154" i="33"/>
  <c r="G171" i="33"/>
  <c r="O171" i="33"/>
  <c r="G174" i="33"/>
  <c r="O174" i="33"/>
  <c r="J189" i="33"/>
  <c r="F28" i="33"/>
  <c r="H45" i="33"/>
  <c r="Q58" i="33"/>
  <c r="T58" i="33" s="1"/>
  <c r="M57" i="33"/>
  <c r="M53" i="33" s="1"/>
  <c r="G70" i="33"/>
  <c r="G66" i="33" s="1"/>
  <c r="O70" i="33"/>
  <c r="O66" i="33" s="1"/>
  <c r="O61" i="33" s="1"/>
  <c r="O60" i="33" s="1"/>
  <c r="K70" i="33"/>
  <c r="I113" i="33"/>
  <c r="H139" i="33"/>
  <c r="H133" i="33" s="1"/>
  <c r="P139" i="33"/>
  <c r="P133" i="33" s="1"/>
  <c r="F157" i="33"/>
  <c r="N157" i="33"/>
  <c r="F162" i="33"/>
  <c r="N162" i="33"/>
  <c r="K189" i="33"/>
  <c r="K195" i="33"/>
  <c r="K194" i="33" s="1"/>
  <c r="K209" i="33"/>
  <c r="K208" i="33" s="1"/>
  <c r="E229" i="33"/>
  <c r="E228" i="33" s="1"/>
  <c r="M229" i="33"/>
  <c r="M228" i="33" s="1"/>
  <c r="H249" i="33"/>
  <c r="H248" i="33" s="1"/>
  <c r="H247" i="33" s="1"/>
  <c r="H246" i="33" s="1"/>
  <c r="H200" i="12"/>
  <c r="F193" i="20"/>
  <c r="H201" i="12"/>
  <c r="F203" i="20"/>
  <c r="H198" i="12"/>
  <c r="F198" i="20"/>
  <c r="H202" i="12"/>
  <c r="F196" i="20"/>
  <c r="H203" i="12"/>
  <c r="H197" i="12"/>
  <c r="F197" i="20"/>
  <c r="H199" i="12"/>
  <c r="F194" i="20"/>
  <c r="J193" i="12"/>
  <c r="F202" i="20"/>
  <c r="H194" i="12"/>
  <c r="H195" i="12"/>
  <c r="H196" i="12"/>
  <c r="H204" i="12"/>
  <c r="L15" i="33"/>
  <c r="G15" i="33"/>
  <c r="J22" i="33"/>
  <c r="N169" i="33"/>
  <c r="N168" i="33" s="1"/>
  <c r="J45" i="33"/>
  <c r="F22" i="33"/>
  <c r="N22" i="33"/>
  <c r="P193" i="33"/>
  <c r="P192" i="33" s="1"/>
  <c r="Q30" i="33"/>
  <c r="S30" i="33" s="1"/>
  <c r="Q32" i="33"/>
  <c r="S32" i="33" s="1"/>
  <c r="G54" i="33"/>
  <c r="I93" i="33"/>
  <c r="J124" i="33"/>
  <c r="E15" i="33"/>
  <c r="M15" i="33"/>
  <c r="K22" i="33"/>
  <c r="P22" i="33"/>
  <c r="J28" i="33"/>
  <c r="H42" i="33"/>
  <c r="J193" i="33"/>
  <c r="J192" i="33" s="1"/>
  <c r="C39" i="33"/>
  <c r="N105" i="33"/>
  <c r="E145" i="33"/>
  <c r="E144" i="33" s="1"/>
  <c r="F169" i="33"/>
  <c r="F168" i="33" s="1"/>
  <c r="J162" i="33"/>
  <c r="J54" i="33"/>
  <c r="J53" i="33" s="1"/>
  <c r="K67" i="33"/>
  <c r="K87" i="33"/>
  <c r="G85" i="33"/>
  <c r="F105" i="33"/>
  <c r="C122" i="33"/>
  <c r="C121" i="33" s="1"/>
  <c r="D133" i="33"/>
  <c r="H85" i="33"/>
  <c r="P85" i="33"/>
  <c r="I124" i="33"/>
  <c r="P162" i="33"/>
  <c r="E169" i="33"/>
  <c r="M169" i="33"/>
  <c r="M168" i="33" s="1"/>
  <c r="Q31" i="33"/>
  <c r="R31" i="33" s="1"/>
  <c r="Q33" i="33"/>
  <c r="T33" i="33" s="1"/>
  <c r="I57" i="33"/>
  <c r="I53" i="33" s="1"/>
  <c r="Q59" i="33"/>
  <c r="T59" i="33" s="1"/>
  <c r="J63" i="33"/>
  <c r="J62" i="33" s="1"/>
  <c r="J70" i="33"/>
  <c r="F195" i="33"/>
  <c r="F194" i="33" s="1"/>
  <c r="H162" i="33"/>
  <c r="E57" i="33"/>
  <c r="Q24" i="33"/>
  <c r="S24" i="33" s="1"/>
  <c r="K39" i="33"/>
  <c r="Q43" i="33"/>
  <c r="S43" i="33" s="1"/>
  <c r="Q44" i="33"/>
  <c r="T44" i="33" s="1"/>
  <c r="Q48" i="33"/>
  <c r="T48" i="33" s="1"/>
  <c r="Q49" i="33"/>
  <c r="T49" i="33" s="1"/>
  <c r="Q88" i="33"/>
  <c r="R88" i="33" s="1"/>
  <c r="I85" i="33"/>
  <c r="M85" i="33"/>
  <c r="Q128" i="33"/>
  <c r="S128" i="33" s="1"/>
  <c r="Q129" i="33"/>
  <c r="R129" i="33" s="1"/>
  <c r="Q175" i="33"/>
  <c r="Q176" i="33"/>
  <c r="T176" i="33" s="1"/>
  <c r="Q23" i="33"/>
  <c r="R23" i="33" s="1"/>
  <c r="E42" i="33"/>
  <c r="O22" i="33"/>
  <c r="L39" i="33"/>
  <c r="F85" i="33"/>
  <c r="J85" i="33"/>
  <c r="N85" i="33"/>
  <c r="L105" i="33"/>
  <c r="P105" i="33"/>
  <c r="H105" i="33"/>
  <c r="Q119" i="33"/>
  <c r="T119" i="33" s="1"/>
  <c r="Q120" i="33"/>
  <c r="R120" i="33" s="1"/>
  <c r="Q245" i="33"/>
  <c r="S245" i="33" s="1"/>
  <c r="I105" i="33"/>
  <c r="M105" i="33"/>
  <c r="L112" i="33"/>
  <c r="L111" i="33" s="1"/>
  <c r="L110" i="33" s="1"/>
  <c r="Q131" i="33"/>
  <c r="R131" i="33" s="1"/>
  <c r="Q132" i="33"/>
  <c r="R132" i="33" s="1"/>
  <c r="Q137" i="33"/>
  <c r="T137" i="33" s="1"/>
  <c r="Q138" i="33"/>
  <c r="R138" i="33" s="1"/>
  <c r="Q35" i="33"/>
  <c r="R35" i="33" s="1"/>
  <c r="Q25" i="33"/>
  <c r="S25" i="33" s="1"/>
  <c r="M22" i="33"/>
  <c r="Q27" i="33"/>
  <c r="R27" i="33" s="1"/>
  <c r="I22" i="33"/>
  <c r="Q55" i="33"/>
  <c r="R55" i="33" s="1"/>
  <c r="Q56" i="33"/>
  <c r="T56" i="33" s="1"/>
  <c r="Q71" i="33"/>
  <c r="S71" i="33" s="1"/>
  <c r="Q72" i="33"/>
  <c r="S72" i="33" s="1"/>
  <c r="Q75" i="33"/>
  <c r="T75" i="33" s="1"/>
  <c r="Q76" i="33"/>
  <c r="T76" i="33" s="1"/>
  <c r="Q95" i="33"/>
  <c r="T95" i="33" s="1"/>
  <c r="Q96" i="33"/>
  <c r="T96" i="33" s="1"/>
  <c r="J93" i="33"/>
  <c r="K105" i="33"/>
  <c r="O105" i="33"/>
  <c r="Q125" i="33"/>
  <c r="T125" i="33" s="1"/>
  <c r="Q126" i="33"/>
  <c r="S126" i="33" s="1"/>
  <c r="E28" i="33"/>
  <c r="L162" i="33"/>
  <c r="Q64" i="33"/>
  <c r="T64" i="33" s="1"/>
  <c r="Q65" i="33"/>
  <c r="T65" i="33" s="1"/>
  <c r="Q73" i="33"/>
  <c r="R73" i="33" s="1"/>
  <c r="Q74" i="33"/>
  <c r="S74" i="33" s="1"/>
  <c r="Q78" i="33"/>
  <c r="R78" i="33" s="1"/>
  <c r="Q79" i="33"/>
  <c r="R79" i="33" s="1"/>
  <c r="Q82" i="33"/>
  <c r="T82" i="33" s="1"/>
  <c r="Q83" i="33"/>
  <c r="S83" i="33" s="1"/>
  <c r="Q97" i="33"/>
  <c r="S97" i="33" s="1"/>
  <c r="Q98" i="33"/>
  <c r="S98" i="33" s="1"/>
  <c r="Q106" i="33"/>
  <c r="T106" i="33" s="1"/>
  <c r="Q36" i="33"/>
  <c r="S36" i="33" s="1"/>
  <c r="Q16" i="33"/>
  <c r="R16" i="33" s="1"/>
  <c r="Q17" i="33"/>
  <c r="S17" i="33" s="1"/>
  <c r="Q18" i="33"/>
  <c r="R18" i="33" s="1"/>
  <c r="Q19" i="33"/>
  <c r="T19" i="33" s="1"/>
  <c r="Q20" i="33"/>
  <c r="T20" i="33" s="1"/>
  <c r="Q21" i="33"/>
  <c r="S21" i="33" s="1"/>
  <c r="G22" i="33"/>
  <c r="Q37" i="33"/>
  <c r="R37" i="33" s="1"/>
  <c r="Q46" i="33"/>
  <c r="T46" i="33" s="1"/>
  <c r="Q47" i="33"/>
  <c r="S47" i="33" s="1"/>
  <c r="Q50" i="33"/>
  <c r="R50" i="33" s="1"/>
  <c r="Q51" i="33"/>
  <c r="R51" i="33" s="1"/>
  <c r="Q68" i="33"/>
  <c r="T68" i="33" s="1"/>
  <c r="Q69" i="33"/>
  <c r="S69" i="33" s="1"/>
  <c r="E80" i="33"/>
  <c r="E85" i="33"/>
  <c r="Q86" i="33"/>
  <c r="T86" i="33" s="1"/>
  <c r="Q90" i="33"/>
  <c r="T90" i="33" s="1"/>
  <c r="Q91" i="33"/>
  <c r="S91" i="33" s="1"/>
  <c r="Q92" i="33"/>
  <c r="R92" i="33" s="1"/>
  <c r="H93" i="33"/>
  <c r="Q101" i="33"/>
  <c r="R101" i="33" s="1"/>
  <c r="Q102" i="33"/>
  <c r="S102" i="33" s="1"/>
  <c r="Q103" i="33"/>
  <c r="T103" i="33" s="1"/>
  <c r="Q104" i="33"/>
  <c r="R104" i="33" s="1"/>
  <c r="E112" i="33"/>
  <c r="E111" i="33" s="1"/>
  <c r="E110" i="33" s="1"/>
  <c r="M112" i="33"/>
  <c r="M111" i="33" s="1"/>
  <c r="M110" i="33" s="1"/>
  <c r="Q114" i="33"/>
  <c r="R114" i="33" s="1"/>
  <c r="Q115" i="33"/>
  <c r="T115" i="33" s="1"/>
  <c r="G162" i="33"/>
  <c r="K162" i="33"/>
  <c r="O162" i="33"/>
  <c r="Q185" i="33"/>
  <c r="S185" i="33" s="1"/>
  <c r="Q186" i="33"/>
  <c r="R186" i="33" s="1"/>
  <c r="Q210" i="33"/>
  <c r="T210" i="33" s="1"/>
  <c r="Q211" i="33"/>
  <c r="T211" i="33" s="1"/>
  <c r="Q212" i="33"/>
  <c r="S212" i="33" s="1"/>
  <c r="Q213" i="33"/>
  <c r="T213" i="33" s="1"/>
  <c r="Q214" i="33"/>
  <c r="T214" i="33" s="1"/>
  <c r="Q215" i="33"/>
  <c r="S215" i="33" s="1"/>
  <c r="Q216" i="33"/>
  <c r="S216" i="33" s="1"/>
  <c r="Q217" i="33"/>
  <c r="T217" i="33" s="1"/>
  <c r="Q218" i="33"/>
  <c r="T218" i="33" s="1"/>
  <c r="Q219" i="33"/>
  <c r="S219" i="33" s="1"/>
  <c r="Q220" i="33"/>
  <c r="S220" i="33" s="1"/>
  <c r="Q221" i="33"/>
  <c r="T221" i="33" s="1"/>
  <c r="Q222" i="33"/>
  <c r="R222" i="33" s="1"/>
  <c r="Q223" i="33"/>
  <c r="T223" i="33" s="1"/>
  <c r="Q224" i="33"/>
  <c r="R224" i="33" s="1"/>
  <c r="Q225" i="33"/>
  <c r="T225" i="33" s="1"/>
  <c r="Q230" i="33"/>
  <c r="T230" i="33" s="1"/>
  <c r="Q231" i="33"/>
  <c r="T231" i="33" s="1"/>
  <c r="Q232" i="33"/>
  <c r="S232" i="33" s="1"/>
  <c r="Q233" i="33"/>
  <c r="T233" i="33" s="1"/>
  <c r="Q234" i="33"/>
  <c r="S234" i="33" s="1"/>
  <c r="Q235" i="33"/>
  <c r="T235" i="33" s="1"/>
  <c r="Q250" i="33"/>
  <c r="S250" i="33" s="1"/>
  <c r="Q251" i="33"/>
  <c r="S251" i="33" s="1"/>
  <c r="Q252" i="33"/>
  <c r="S252" i="33" s="1"/>
  <c r="G133" i="33"/>
  <c r="O133" i="33"/>
  <c r="Q140" i="33"/>
  <c r="S140" i="33" s="1"/>
  <c r="Q141" i="33"/>
  <c r="T141" i="33" s="1"/>
  <c r="Q142" i="33"/>
  <c r="R142" i="33" s="1"/>
  <c r="Q147" i="33"/>
  <c r="R147" i="33" s="1"/>
  <c r="Q178" i="33"/>
  <c r="T178" i="33" s="1"/>
  <c r="Q179" i="33"/>
  <c r="R179" i="33" s="1"/>
  <c r="Q180" i="33"/>
  <c r="R180" i="33" s="1"/>
  <c r="Q181" i="33"/>
  <c r="T181" i="33" s="1"/>
  <c r="Q182" i="33"/>
  <c r="S182" i="33" s="1"/>
  <c r="Q183" i="33"/>
  <c r="T183" i="33" s="1"/>
  <c r="Q187" i="33"/>
  <c r="T187" i="33" s="1"/>
  <c r="Q188" i="33"/>
  <c r="R188" i="33" s="1"/>
  <c r="Q108" i="33"/>
  <c r="T108" i="33" s="1"/>
  <c r="Q109" i="33"/>
  <c r="R109" i="33" s="1"/>
  <c r="F112" i="33"/>
  <c r="F111" i="33" s="1"/>
  <c r="F110" i="33" s="1"/>
  <c r="Q116" i="33"/>
  <c r="R116" i="33" s="1"/>
  <c r="Q117" i="33"/>
  <c r="S117" i="33" s="1"/>
  <c r="H124" i="33"/>
  <c r="P124" i="33"/>
  <c r="Q149" i="33"/>
  <c r="S149" i="33" s="1"/>
  <c r="Q150" i="33"/>
  <c r="R150" i="33" s="1"/>
  <c r="Q151" i="33"/>
  <c r="R151" i="33" s="1"/>
  <c r="Q152" i="33"/>
  <c r="S152" i="33" s="1"/>
  <c r="I153" i="33"/>
  <c r="Q155" i="33"/>
  <c r="R155" i="33" s="1"/>
  <c r="Q156" i="33"/>
  <c r="S156" i="33" s="1"/>
  <c r="Q163" i="33"/>
  <c r="R163" i="33" s="1"/>
  <c r="I162" i="33"/>
  <c r="M162" i="33"/>
  <c r="Q164" i="33"/>
  <c r="S164" i="33" s="1"/>
  <c r="Q166" i="33"/>
  <c r="R166" i="33" s="1"/>
  <c r="Q167" i="33"/>
  <c r="R167" i="33" s="1"/>
  <c r="Q170" i="33"/>
  <c r="S170" i="33" s="1"/>
  <c r="Q190" i="33"/>
  <c r="R190" i="33" s="1"/>
  <c r="Q191" i="33"/>
  <c r="S191" i="33" s="1"/>
  <c r="Q196" i="33"/>
  <c r="T196" i="33" s="1"/>
  <c r="Q197" i="33"/>
  <c r="S197" i="33" s="1"/>
  <c r="Q198" i="33"/>
  <c r="T198" i="33" s="1"/>
  <c r="Q199" i="33"/>
  <c r="S199" i="33" s="1"/>
  <c r="Q200" i="33"/>
  <c r="T200" i="33" s="1"/>
  <c r="Q201" i="33"/>
  <c r="S201" i="33" s="1"/>
  <c r="Q202" i="33"/>
  <c r="R202" i="33" s="1"/>
  <c r="Q203" i="33"/>
  <c r="S203" i="33" s="1"/>
  <c r="Q204" i="33"/>
  <c r="T204" i="33" s="1"/>
  <c r="Q205" i="33"/>
  <c r="S205" i="33" s="1"/>
  <c r="Q206" i="33"/>
  <c r="T206" i="33" s="1"/>
  <c r="Q207" i="33"/>
  <c r="T207" i="33" s="1"/>
  <c r="Q226" i="33"/>
  <c r="T226" i="33" s="1"/>
  <c r="Q227" i="33"/>
  <c r="R227" i="33" s="1"/>
  <c r="Q238" i="33"/>
  <c r="R238" i="33" s="1"/>
  <c r="Q239" i="33"/>
  <c r="S239" i="33" s="1"/>
  <c r="Q240" i="33"/>
  <c r="T240" i="33" s="1"/>
  <c r="Q241" i="33"/>
  <c r="T241" i="33" s="1"/>
  <c r="Q242" i="33"/>
  <c r="R242" i="33" s="1"/>
  <c r="Q135" i="33"/>
  <c r="T135" i="33" s="1"/>
  <c r="Q136" i="33"/>
  <c r="T136" i="33" s="1"/>
  <c r="R137" i="33"/>
  <c r="Q158" i="33"/>
  <c r="T158" i="33" s="1"/>
  <c r="Q159" i="33"/>
  <c r="S159" i="33" s="1"/>
  <c r="Q160" i="33"/>
  <c r="T160" i="33" s="1"/>
  <c r="Q161" i="33"/>
  <c r="S161" i="33" s="1"/>
  <c r="Q165" i="33"/>
  <c r="T165" i="33" s="1"/>
  <c r="Q172" i="33"/>
  <c r="S172" i="33" s="1"/>
  <c r="Q173" i="33"/>
  <c r="T173" i="33" s="1"/>
  <c r="T35" i="33"/>
  <c r="T36" i="33"/>
  <c r="T37" i="33"/>
  <c r="S27" i="33"/>
  <c r="R32" i="33"/>
  <c r="R34" i="33"/>
  <c r="Q41" i="33"/>
  <c r="E22" i="33"/>
  <c r="Q38" i="33"/>
  <c r="S50" i="33"/>
  <c r="S90" i="33"/>
  <c r="R91" i="33"/>
  <c r="Q40" i="33"/>
  <c r="T71" i="33"/>
  <c r="S49" i="33"/>
  <c r="R59" i="33"/>
  <c r="C84" i="33"/>
  <c r="D62" i="33"/>
  <c r="S137" i="33"/>
  <c r="S138" i="33"/>
  <c r="D93" i="33"/>
  <c r="E105" i="33"/>
  <c r="Q107" i="33"/>
  <c r="D110" i="33"/>
  <c r="R106" i="33"/>
  <c r="T116" i="33"/>
  <c r="D123" i="33"/>
  <c r="E130" i="33"/>
  <c r="Q130" i="33" s="1"/>
  <c r="R130" i="33" s="1"/>
  <c r="T175" i="33"/>
  <c r="S175" i="33"/>
  <c r="R175" i="33"/>
  <c r="E124" i="33"/>
  <c r="D143" i="33"/>
  <c r="Q146" i="33"/>
  <c r="D168" i="33"/>
  <c r="Q184" i="33"/>
  <c r="R184" i="33" s="1"/>
  <c r="E162" i="33"/>
  <c r="D194" i="33"/>
  <c r="R230" i="33"/>
  <c r="Q248" i="33"/>
  <c r="E247" i="33"/>
  <c r="E195" i="33"/>
  <c r="Q243" i="33"/>
  <c r="T245" i="33"/>
  <c r="Q244" i="33"/>
  <c r="R244" i="33" s="1"/>
  <c r="Q249" i="33"/>
  <c r="D243" i="33"/>
  <c r="D248" i="33"/>
  <c r="G50" i="23"/>
  <c r="E50" i="23"/>
  <c r="B52" i="23"/>
  <c r="H50" i="23"/>
  <c r="J52" i="23"/>
  <c r="G52" i="23"/>
  <c r="K52" i="23"/>
  <c r="D52" i="23"/>
  <c r="E52" i="23"/>
  <c r="M52" i="23"/>
  <c r="L52" i="23"/>
  <c r="H52" i="23"/>
  <c r="L50" i="23"/>
  <c r="F52" i="23"/>
  <c r="M50" i="23"/>
  <c r="F50" i="23"/>
  <c r="I52" i="23"/>
  <c r="K50" i="23"/>
  <c r="D50" i="23"/>
  <c r="B50" i="23"/>
  <c r="C50" i="23"/>
  <c r="C52" i="23"/>
  <c r="J50" i="23"/>
  <c r="I50" i="23"/>
  <c r="R170" i="33" l="1"/>
  <c r="I133" i="33"/>
  <c r="F39" i="33"/>
  <c r="R240" i="33"/>
  <c r="R215" i="33"/>
  <c r="S56" i="33"/>
  <c r="S51" i="33"/>
  <c r="S79" i="33"/>
  <c r="S34" i="33"/>
  <c r="R36" i="33"/>
  <c r="O153" i="33"/>
  <c r="N144" i="33"/>
  <c r="E93" i="33"/>
  <c r="P144" i="33"/>
  <c r="T78" i="33"/>
  <c r="E39" i="33"/>
  <c r="M66" i="33"/>
  <c r="M61" i="33" s="1"/>
  <c r="M60" i="33" s="1"/>
  <c r="H144" i="33"/>
  <c r="G84" i="33"/>
  <c r="K169" i="33"/>
  <c r="K168" i="33" s="1"/>
  <c r="F133" i="33"/>
  <c r="M153" i="33"/>
  <c r="E153" i="33"/>
  <c r="E143" i="33" s="1"/>
  <c r="I66" i="33"/>
  <c r="I61" i="33" s="1"/>
  <c r="I60" i="33" s="1"/>
  <c r="I52" i="33" s="1"/>
  <c r="H53" i="33"/>
  <c r="R211" i="33"/>
  <c r="S95" i="33"/>
  <c r="T27" i="33"/>
  <c r="H14" i="33"/>
  <c r="Q236" i="33"/>
  <c r="R236" i="33" s="1"/>
  <c r="R245" i="33"/>
  <c r="R235" i="33"/>
  <c r="T219" i="33"/>
  <c r="S179" i="33"/>
  <c r="S131" i="33"/>
  <c r="R71" i="33"/>
  <c r="S33" i="33"/>
  <c r="R223" i="33"/>
  <c r="T109" i="33"/>
  <c r="R231" i="33"/>
  <c r="R219" i="33"/>
  <c r="T128" i="33"/>
  <c r="R49" i="33"/>
  <c r="I14" i="33"/>
  <c r="T220" i="33"/>
  <c r="T212" i="33"/>
  <c r="R56" i="33"/>
  <c r="T31" i="33"/>
  <c r="J169" i="33"/>
  <c r="J168" i="33" s="1"/>
  <c r="I169" i="33"/>
  <c r="I168" i="33" s="1"/>
  <c r="H153" i="33"/>
  <c r="H143" i="33" s="1"/>
  <c r="T250" i="33"/>
  <c r="T232" i="33"/>
  <c r="S224" i="33"/>
  <c r="R220" i="33"/>
  <c r="R216" i="33"/>
  <c r="S211" i="33"/>
  <c r="S180" i="33"/>
  <c r="T142" i="33"/>
  <c r="S59" i="33"/>
  <c r="T69" i="33"/>
  <c r="R65" i="33"/>
  <c r="S23" i="33"/>
  <c r="S37" i="33"/>
  <c r="Q237" i="33"/>
  <c r="S237" i="33" s="1"/>
  <c r="F14" i="33"/>
  <c r="N66" i="33"/>
  <c r="N61" i="33" s="1"/>
  <c r="N60" i="33" s="1"/>
  <c r="N52" i="33" s="1"/>
  <c r="H112" i="33"/>
  <c r="H111" i="33" s="1"/>
  <c r="H110" i="33" s="1"/>
  <c r="S231" i="33"/>
  <c r="S223" i="33"/>
  <c r="T215" i="33"/>
  <c r="T179" i="33"/>
  <c r="S109" i="33"/>
  <c r="T131" i="33"/>
  <c r="S106" i="33"/>
  <c r="S104" i="33"/>
  <c r="R69" i="33"/>
  <c r="G53" i="33"/>
  <c r="J39" i="33"/>
  <c r="L153" i="33"/>
  <c r="N193" i="33"/>
  <c r="N192" i="33" s="1"/>
  <c r="K93" i="33"/>
  <c r="K84" i="33" s="1"/>
  <c r="M133" i="33"/>
  <c r="M123" i="33" s="1"/>
  <c r="S235" i="33"/>
  <c r="E133" i="33"/>
  <c r="N133" i="33"/>
  <c r="N123" i="33" s="1"/>
  <c r="R90" i="33"/>
  <c r="R206" i="33"/>
  <c r="R183" i="33"/>
  <c r="H197" i="20"/>
  <c r="J204" i="20" s="1"/>
  <c r="I192" i="20"/>
  <c r="F205" i="20"/>
  <c r="F208" i="20" s="1"/>
  <c r="I208" i="20"/>
  <c r="I210" i="20" s="1"/>
  <c r="I211" i="20" s="1"/>
  <c r="S202" i="33"/>
  <c r="R198" i="33"/>
  <c r="S35" i="33"/>
  <c r="K14" i="33"/>
  <c r="T152" i="33"/>
  <c r="S240" i="33"/>
  <c r="T236" i="33"/>
  <c r="R199" i="33"/>
  <c r="R214" i="33"/>
  <c r="S190" i="33"/>
  <c r="S18" i="33"/>
  <c r="T202" i="33"/>
  <c r="R239" i="33"/>
  <c r="R205" i="33"/>
  <c r="T222" i="33"/>
  <c r="S210" i="33"/>
  <c r="R159" i="33"/>
  <c r="T155" i="33"/>
  <c r="R126" i="33"/>
  <c r="S116" i="33"/>
  <c r="T102" i="33"/>
  <c r="T18" i="33"/>
  <c r="R48" i="33"/>
  <c r="R197" i="33"/>
  <c r="S155" i="33"/>
  <c r="R119" i="33"/>
  <c r="S48" i="33"/>
  <c r="R102" i="33"/>
  <c r="T50" i="33"/>
  <c r="S227" i="33"/>
  <c r="T252" i="33"/>
  <c r="S218" i="33"/>
  <c r="T170" i="33"/>
  <c r="T161" i="33"/>
  <c r="O39" i="33"/>
  <c r="R233" i="33"/>
  <c r="S217" i="33"/>
  <c r="T138" i="33"/>
  <c r="T30" i="33"/>
  <c r="R181" i="33"/>
  <c r="T24" i="33"/>
  <c r="T251" i="33"/>
  <c r="S150" i="33"/>
  <c r="S147" i="33"/>
  <c r="S186" i="33"/>
  <c r="S132" i="33"/>
  <c r="S101" i="33"/>
  <c r="K143" i="33"/>
  <c r="T239" i="33"/>
  <c r="S206" i="33"/>
  <c r="R201" i="33"/>
  <c r="S196" i="33"/>
  <c r="R158" i="33"/>
  <c r="R165" i="33"/>
  <c r="T151" i="33"/>
  <c r="S183" i="33"/>
  <c r="S19" i="33"/>
  <c r="N14" i="33"/>
  <c r="L144" i="33"/>
  <c r="L143" i="33" s="1"/>
  <c r="N93" i="33"/>
  <c r="N84" i="33" s="1"/>
  <c r="R135" i="33"/>
  <c r="T227" i="33"/>
  <c r="T205" i="33"/>
  <c r="T201" i="33"/>
  <c r="T197" i="33"/>
  <c r="T159" i="33"/>
  <c r="T164" i="33"/>
  <c r="S151" i="33"/>
  <c r="S135" i="33"/>
  <c r="T117" i="33"/>
  <c r="F123" i="33"/>
  <c r="O84" i="33"/>
  <c r="Q94" i="33"/>
  <c r="S94" i="33" s="1"/>
  <c r="S165" i="33"/>
  <c r="T150" i="33"/>
  <c r="S181" i="33"/>
  <c r="T147" i="33"/>
  <c r="T186" i="33"/>
  <c r="S120" i="33"/>
  <c r="R96" i="33"/>
  <c r="T47" i="33"/>
  <c r="K123" i="33"/>
  <c r="P84" i="33"/>
  <c r="P143" i="33"/>
  <c r="R251" i="33"/>
  <c r="S233" i="33"/>
  <c r="R213" i="33"/>
  <c r="S158" i="33"/>
  <c r="S167" i="33"/>
  <c r="S188" i="33"/>
  <c r="T120" i="33"/>
  <c r="T43" i="33"/>
  <c r="S96" i="33"/>
  <c r="S75" i="33"/>
  <c r="T101" i="33"/>
  <c r="R75" i="33"/>
  <c r="R47" i="33"/>
  <c r="Q87" i="33"/>
  <c r="S87" i="33" s="1"/>
  <c r="S204" i="33"/>
  <c r="T167" i="33"/>
  <c r="T188" i="33"/>
  <c r="S31" i="33"/>
  <c r="T17" i="33"/>
  <c r="Q171" i="33"/>
  <c r="K193" i="33"/>
  <c r="K192" i="33" s="1"/>
  <c r="I112" i="33"/>
  <c r="I111" i="33" s="1"/>
  <c r="I110" i="33" s="1"/>
  <c r="G169" i="33"/>
  <c r="G168" i="33" s="1"/>
  <c r="G153" i="33"/>
  <c r="N112" i="33"/>
  <c r="N111" i="33" s="1"/>
  <c r="N110" i="33" s="1"/>
  <c r="H39" i="33"/>
  <c r="F153" i="33"/>
  <c r="F66" i="33"/>
  <c r="F61" i="33" s="1"/>
  <c r="F60" i="33" s="1"/>
  <c r="F52" i="33" s="1"/>
  <c r="G123" i="33"/>
  <c r="J14" i="33"/>
  <c r="S173" i="33"/>
  <c r="T191" i="33"/>
  <c r="S142" i="33"/>
  <c r="M193" i="33"/>
  <c r="M192" i="33" s="1"/>
  <c r="Q127" i="33"/>
  <c r="T127" i="33" s="1"/>
  <c r="L93" i="33"/>
  <c r="L84" i="33" s="1"/>
  <c r="R161" i="33"/>
  <c r="T224" i="33"/>
  <c r="T216" i="33"/>
  <c r="R212" i="33"/>
  <c r="R173" i="33"/>
  <c r="R187" i="33"/>
  <c r="T185" i="33"/>
  <c r="S73" i="33"/>
  <c r="Q57" i="33"/>
  <c r="R57" i="33" s="1"/>
  <c r="M14" i="33"/>
  <c r="G39" i="33"/>
  <c r="R203" i="33"/>
  <c r="S198" i="33"/>
  <c r="R160" i="33"/>
  <c r="T190" i="33"/>
  <c r="T163" i="33"/>
  <c r="S187" i="33"/>
  <c r="T180" i="33"/>
  <c r="S125" i="33"/>
  <c r="R117" i="33"/>
  <c r="R115" i="33"/>
  <c r="R43" i="33"/>
  <c r="R64" i="33"/>
  <c r="T32" i="33"/>
  <c r="Q134" i="33"/>
  <c r="P14" i="33"/>
  <c r="G61" i="33"/>
  <c r="G60" i="33" s="1"/>
  <c r="O169" i="33"/>
  <c r="O168" i="33" s="1"/>
  <c r="Q89" i="33"/>
  <c r="R89" i="33" s="1"/>
  <c r="Q54" i="33"/>
  <c r="T54" i="33" s="1"/>
  <c r="Q208" i="33"/>
  <c r="R208" i="33" s="1"/>
  <c r="Q148" i="33"/>
  <c r="R148" i="33" s="1"/>
  <c r="Q77" i="33"/>
  <c r="R77" i="33" s="1"/>
  <c r="R237" i="33"/>
  <c r="S241" i="33"/>
  <c r="S236" i="33"/>
  <c r="S207" i="33"/>
  <c r="R185" i="33"/>
  <c r="T166" i="33"/>
  <c r="T149" i="33"/>
  <c r="S136" i="33"/>
  <c r="R125" i="33"/>
  <c r="T73" i="33"/>
  <c r="S64" i="33"/>
  <c r="S20" i="33"/>
  <c r="Q118" i="33"/>
  <c r="R118" i="33" s="1"/>
  <c r="T237" i="33"/>
  <c r="T203" i="33"/>
  <c r="T199" i="33"/>
  <c r="R252" i="33"/>
  <c r="T234" i="33"/>
  <c r="S230" i="33"/>
  <c r="R218" i="33"/>
  <c r="S214" i="33"/>
  <c r="R210" i="33"/>
  <c r="R149" i="33"/>
  <c r="R178" i="33"/>
  <c r="S108" i="33"/>
  <c r="T114" i="33"/>
  <c r="S129" i="33"/>
  <c r="R72" i="33"/>
  <c r="T55" i="33"/>
  <c r="R103" i="33"/>
  <c r="T91" i="33"/>
  <c r="S46" i="33"/>
  <c r="R98" i="33"/>
  <c r="T25" i="33"/>
  <c r="R241" i="33"/>
  <c r="R207" i="33"/>
  <c r="R234" i="33"/>
  <c r="S222" i="33"/>
  <c r="R191" i="33"/>
  <c r="S166" i="33"/>
  <c r="S163" i="33"/>
  <c r="R136" i="33"/>
  <c r="T126" i="33"/>
  <c r="T140" i="33"/>
  <c r="T129" i="33"/>
  <c r="R95" i="33"/>
  <c r="T72" i="33"/>
  <c r="S103" i="33"/>
  <c r="T83" i="33"/>
  <c r="R33" i="33"/>
  <c r="Q100" i="33"/>
  <c r="T100" i="33" s="1"/>
  <c r="H61" i="33"/>
  <c r="H60" i="33" s="1"/>
  <c r="H52" i="33" s="1"/>
  <c r="O53" i="33"/>
  <c r="O52" i="33" s="1"/>
  <c r="M144" i="33"/>
  <c r="M143" i="33" s="1"/>
  <c r="T172" i="33"/>
  <c r="T182" i="33"/>
  <c r="S114" i="33"/>
  <c r="E53" i="33"/>
  <c r="S55" i="33"/>
  <c r="R46" i="33"/>
  <c r="T98" i="33"/>
  <c r="T21" i="33"/>
  <c r="Q209" i="33"/>
  <c r="T209" i="33" s="1"/>
  <c r="Q45" i="33"/>
  <c r="T45" i="33" s="1"/>
  <c r="J84" i="33"/>
  <c r="Q139" i="33"/>
  <c r="S139" i="33" s="1"/>
  <c r="Q189" i="33"/>
  <c r="R189" i="33" s="1"/>
  <c r="F143" i="33"/>
  <c r="Q113" i="33"/>
  <c r="S113" i="33" s="1"/>
  <c r="L52" i="33"/>
  <c r="Q15" i="33"/>
  <c r="S15" i="33" s="1"/>
  <c r="Q228" i="33"/>
  <c r="S228" i="33" s="1"/>
  <c r="Q174" i="33"/>
  <c r="S174" i="33" s="1"/>
  <c r="Q80" i="33"/>
  <c r="R80" i="33" s="1"/>
  <c r="P61" i="33"/>
  <c r="P60" i="33" s="1"/>
  <c r="P52" i="33" s="1"/>
  <c r="Q177" i="33"/>
  <c r="T177" i="33" s="1"/>
  <c r="M93" i="33"/>
  <c r="M84" i="33" s="1"/>
  <c r="T208" i="33"/>
  <c r="Q99" i="33"/>
  <c r="R99" i="33" s="1"/>
  <c r="S238" i="33"/>
  <c r="R200" i="33"/>
  <c r="R232" i="33"/>
  <c r="S221" i="33"/>
  <c r="R217" i="33"/>
  <c r="Q162" i="33"/>
  <c r="T162" i="33" s="1"/>
  <c r="R164" i="33"/>
  <c r="T156" i="33"/>
  <c r="R182" i="33"/>
  <c r="S178" i="33"/>
  <c r="R176" i="33"/>
  <c r="R141" i="33"/>
  <c r="S115" i="33"/>
  <c r="S88" i="33"/>
  <c r="R58" i="33"/>
  <c r="R76" i="33"/>
  <c r="T104" i="33"/>
  <c r="R82" i="33"/>
  <c r="T74" i="33"/>
  <c r="S29" i="33"/>
  <c r="S16" i="33"/>
  <c r="J66" i="33"/>
  <c r="J61" i="33" s="1"/>
  <c r="J60" i="33" s="1"/>
  <c r="J52" i="33" s="1"/>
  <c r="N153" i="33"/>
  <c r="S242" i="33"/>
  <c r="T238" i="33"/>
  <c r="S226" i="33"/>
  <c r="S200" i="33"/>
  <c r="R226" i="33"/>
  <c r="R250" i="33"/>
  <c r="S225" i="33"/>
  <c r="R221" i="33"/>
  <c r="R172" i="33"/>
  <c r="R156" i="33"/>
  <c r="R152" i="33"/>
  <c r="S176" i="33"/>
  <c r="S119" i="33"/>
  <c r="S141" i="33"/>
  <c r="R108" i="33"/>
  <c r="T132" i="33"/>
  <c r="R128" i="33"/>
  <c r="T88" i="33"/>
  <c r="S58" i="33"/>
  <c r="R44" i="33"/>
  <c r="S76" i="33"/>
  <c r="T92" i="33"/>
  <c r="R86" i="33"/>
  <c r="R97" i="33"/>
  <c r="S82" i="33"/>
  <c r="R74" i="33"/>
  <c r="R30" i="33"/>
  <c r="T29" i="33"/>
  <c r="T16" i="33"/>
  <c r="J123" i="33"/>
  <c r="L14" i="33"/>
  <c r="T242" i="33"/>
  <c r="R204" i="33"/>
  <c r="R196" i="33"/>
  <c r="E168" i="33"/>
  <c r="R225" i="33"/>
  <c r="S213" i="33"/>
  <c r="S160" i="33"/>
  <c r="Q145" i="33"/>
  <c r="R145" i="33" s="1"/>
  <c r="S44" i="33"/>
  <c r="R68" i="33"/>
  <c r="Q22" i="33"/>
  <c r="R22" i="33" s="1"/>
  <c r="Q157" i="33"/>
  <c r="Q67" i="33"/>
  <c r="Q28" i="33"/>
  <c r="Q42" i="33"/>
  <c r="S42" i="33" s="1"/>
  <c r="I123" i="33"/>
  <c r="S92" i="33"/>
  <c r="T97" i="33"/>
  <c r="S78" i="33"/>
  <c r="P123" i="33"/>
  <c r="O123" i="33"/>
  <c r="G14" i="33"/>
  <c r="Q81" i="33"/>
  <c r="C13" i="33"/>
  <c r="C12" i="33" s="1"/>
  <c r="C11" i="33" s="1"/>
  <c r="S86" i="33"/>
  <c r="S68" i="33"/>
  <c r="T51" i="33"/>
  <c r="R83" i="33"/>
  <c r="T79" i="33"/>
  <c r="S65" i="33"/>
  <c r="T23" i="33"/>
  <c r="R17" i="33"/>
  <c r="I143" i="33"/>
  <c r="Q63" i="33"/>
  <c r="F84" i="33"/>
  <c r="K66" i="33"/>
  <c r="K61" i="33" s="1"/>
  <c r="K60" i="33" s="1"/>
  <c r="K52" i="33" s="1"/>
  <c r="O144" i="33"/>
  <c r="Q105" i="33"/>
  <c r="R105" i="33" s="1"/>
  <c r="Q154" i="33"/>
  <c r="J143" i="33"/>
  <c r="Q229" i="33"/>
  <c r="H84" i="33"/>
  <c r="Q70" i="33"/>
  <c r="F193" i="33"/>
  <c r="F192" i="33" s="1"/>
  <c r="G144" i="33"/>
  <c r="Q133" i="33"/>
  <c r="R133" i="33" s="1"/>
  <c r="O14" i="33"/>
  <c r="I84" i="33"/>
  <c r="H123" i="33"/>
  <c r="J194" i="12"/>
  <c r="M52" i="33"/>
  <c r="R243" i="33"/>
  <c r="L123" i="33"/>
  <c r="Q85" i="33"/>
  <c r="E84" i="33"/>
  <c r="E194" i="33"/>
  <c r="Q195" i="33"/>
  <c r="T248" i="33"/>
  <c r="S248" i="33"/>
  <c r="T184" i="33"/>
  <c r="S184" i="33"/>
  <c r="D122" i="33"/>
  <c r="E61" i="33"/>
  <c r="Q62" i="33"/>
  <c r="R62" i="33" s="1"/>
  <c r="T40" i="33"/>
  <c r="S40" i="33"/>
  <c r="R40" i="33"/>
  <c r="E14" i="33"/>
  <c r="T249" i="33"/>
  <c r="S249" i="33"/>
  <c r="Q124" i="33"/>
  <c r="E123" i="33"/>
  <c r="D84" i="33"/>
  <c r="T244" i="33"/>
  <c r="S244" i="33"/>
  <c r="T107" i="33"/>
  <c r="S107" i="33"/>
  <c r="R107" i="33"/>
  <c r="D61" i="33"/>
  <c r="T38" i="33"/>
  <c r="S38" i="33"/>
  <c r="R38" i="33"/>
  <c r="R248" i="33"/>
  <c r="D247" i="33"/>
  <c r="R249" i="33"/>
  <c r="T243" i="33"/>
  <c r="S243" i="33"/>
  <c r="E246" i="33"/>
  <c r="Q246" i="33" s="1"/>
  <c r="Q247" i="33"/>
  <c r="D193" i="33"/>
  <c r="R146" i="33"/>
  <c r="T146" i="33"/>
  <c r="S146" i="33"/>
  <c r="T130" i="33"/>
  <c r="S130" i="33"/>
  <c r="R41" i="33"/>
  <c r="T41" i="33"/>
  <c r="S41" i="33"/>
  <c r="M59" i="23"/>
  <c r="K59" i="23"/>
  <c r="J59" i="23"/>
  <c r="C59" i="23"/>
  <c r="C13" i="22"/>
  <c r="E59" i="23"/>
  <c r="C20" i="22"/>
  <c r="C22" i="22"/>
  <c r="C21" i="22"/>
  <c r="H59" i="23"/>
  <c r="F59" i="23"/>
  <c r="C25" i="22"/>
  <c r="C24" i="22"/>
  <c r="C23" i="22"/>
  <c r="G59" i="23"/>
  <c r="C15" i="22"/>
  <c r="C14" i="22"/>
  <c r="B59" i="23"/>
  <c r="C17" i="22"/>
  <c r="C16" i="22"/>
  <c r="D59" i="23"/>
  <c r="L59" i="23"/>
  <c r="C19" i="22"/>
  <c r="I59" i="23"/>
  <c r="C18" i="22"/>
  <c r="O143" i="33" l="1"/>
  <c r="G52" i="33"/>
  <c r="M122" i="33"/>
  <c r="M121" i="33" s="1"/>
  <c r="S127" i="33"/>
  <c r="T87" i="33"/>
  <c r="K122" i="33"/>
  <c r="K121" i="33" s="1"/>
  <c r="I204" i="20"/>
  <c r="I205" i="20" s="1"/>
  <c r="H198" i="20"/>
  <c r="H209" i="20" s="1"/>
  <c r="G143" i="33"/>
  <c r="G122" i="33" s="1"/>
  <c r="G121" i="33" s="1"/>
  <c r="R87" i="33"/>
  <c r="R94" i="33"/>
  <c r="N13" i="33"/>
  <c r="T94" i="33"/>
  <c r="T189" i="33"/>
  <c r="H122" i="33"/>
  <c r="H121" i="33" s="1"/>
  <c r="P122" i="33"/>
  <c r="P121" i="33" s="1"/>
  <c r="S118" i="33"/>
  <c r="T148" i="33"/>
  <c r="Q169" i="33"/>
  <c r="R169" i="33" s="1"/>
  <c r="F122" i="33"/>
  <c r="F121" i="33" s="1"/>
  <c r="S171" i="33"/>
  <c r="R171" i="33"/>
  <c r="T171" i="33"/>
  <c r="R139" i="33"/>
  <c r="H13" i="33"/>
  <c r="S177" i="33"/>
  <c r="T80" i="33"/>
  <c r="P13" i="33"/>
  <c r="P12" i="33" s="1"/>
  <c r="P11" i="33" s="1"/>
  <c r="T133" i="33"/>
  <c r="T118" i="33"/>
  <c r="R54" i="33"/>
  <c r="T89" i="33"/>
  <c r="S99" i="33"/>
  <c r="Q168" i="33"/>
  <c r="S168" i="33" s="1"/>
  <c r="Q153" i="33"/>
  <c r="S153" i="33" s="1"/>
  <c r="S148" i="33"/>
  <c r="R15" i="33"/>
  <c r="R127" i="33"/>
  <c r="T57" i="33"/>
  <c r="Q112" i="33"/>
  <c r="T112" i="33" s="1"/>
  <c r="S54" i="33"/>
  <c r="Q39" i="33"/>
  <c r="T39" i="33" s="1"/>
  <c r="Q110" i="33"/>
  <c r="S110" i="33" s="1"/>
  <c r="O13" i="33"/>
  <c r="Q111" i="33"/>
  <c r="T111" i="33" s="1"/>
  <c r="T99" i="33"/>
  <c r="I122" i="33"/>
  <c r="I121" i="33" s="1"/>
  <c r="S209" i="33"/>
  <c r="R177" i="33"/>
  <c r="T77" i="33"/>
  <c r="S145" i="33"/>
  <c r="R228" i="33"/>
  <c r="S208" i="33"/>
  <c r="J13" i="33"/>
  <c r="Q53" i="33"/>
  <c r="S53" i="33" s="1"/>
  <c r="R45" i="33"/>
  <c r="Q93" i="33"/>
  <c r="R93" i="33" s="1"/>
  <c r="T113" i="33"/>
  <c r="R209" i="33"/>
  <c r="T22" i="33"/>
  <c r="J122" i="33"/>
  <c r="J121" i="33" s="1"/>
  <c r="R174" i="33"/>
  <c r="T15" i="33"/>
  <c r="S189" i="33"/>
  <c r="S89" i="33"/>
  <c r="T145" i="33"/>
  <c r="S80" i="33"/>
  <c r="F13" i="33"/>
  <c r="F12" i="33" s="1"/>
  <c r="F11" i="33" s="1"/>
  <c r="S57" i="33"/>
  <c r="T139" i="33"/>
  <c r="T228" i="33"/>
  <c r="S77" i="33"/>
  <c r="S134" i="33"/>
  <c r="R134" i="33"/>
  <c r="T134" i="33"/>
  <c r="G13" i="33"/>
  <c r="S22" i="33"/>
  <c r="L13" i="33"/>
  <c r="M13" i="33"/>
  <c r="M12" i="33" s="1"/>
  <c r="M11" i="33" s="1"/>
  <c r="S162" i="33"/>
  <c r="Q84" i="33"/>
  <c r="T84" i="33" s="1"/>
  <c r="R113" i="33"/>
  <c r="R162" i="33"/>
  <c r="O122" i="33"/>
  <c r="O121" i="33" s="1"/>
  <c r="N143" i="33"/>
  <c r="N122" i="33" s="1"/>
  <c r="N121" i="33" s="1"/>
  <c r="S45" i="33"/>
  <c r="T174" i="33"/>
  <c r="R100" i="33"/>
  <c r="S100" i="33"/>
  <c r="I13" i="33"/>
  <c r="S133" i="33"/>
  <c r="K13" i="33"/>
  <c r="R67" i="33"/>
  <c r="S67" i="33"/>
  <c r="T67" i="33"/>
  <c r="Q66" i="33"/>
  <c r="S157" i="33"/>
  <c r="T157" i="33"/>
  <c r="R157" i="33"/>
  <c r="R28" i="33"/>
  <c r="S28" i="33"/>
  <c r="L122" i="33"/>
  <c r="L121" i="33" s="1"/>
  <c r="T28" i="33"/>
  <c r="R42" i="33"/>
  <c r="T42" i="33"/>
  <c r="T105" i="33"/>
  <c r="R70" i="33"/>
  <c r="T70" i="33"/>
  <c r="S70" i="33"/>
  <c r="Q144" i="33"/>
  <c r="R229" i="33"/>
  <c r="T229" i="33"/>
  <c r="S229" i="33"/>
  <c r="T81" i="33"/>
  <c r="S81" i="33"/>
  <c r="R81" i="33"/>
  <c r="T63" i="33"/>
  <c r="S63" i="33"/>
  <c r="R63" i="33"/>
  <c r="S105" i="33"/>
  <c r="R154" i="33"/>
  <c r="S154" i="33"/>
  <c r="T154" i="33"/>
  <c r="J195" i="12"/>
  <c r="E13" i="22"/>
  <c r="E14" i="22"/>
  <c r="E15" i="22"/>
  <c r="E23" i="22"/>
  <c r="E24" i="22"/>
  <c r="E17" i="22"/>
  <c r="E25" i="22"/>
  <c r="E16" i="22"/>
  <c r="E22" i="22"/>
  <c r="E19" i="22"/>
  <c r="E21" i="22"/>
  <c r="E20" i="22"/>
  <c r="E18" i="22"/>
  <c r="R85" i="33"/>
  <c r="T85" i="33"/>
  <c r="S85" i="33"/>
  <c r="D192" i="33"/>
  <c r="D60" i="33"/>
  <c r="E122" i="33"/>
  <c r="Q123" i="33"/>
  <c r="S62" i="33"/>
  <c r="T62" i="33"/>
  <c r="S195" i="33"/>
  <c r="T195" i="33"/>
  <c r="R195" i="33"/>
  <c r="T247" i="33"/>
  <c r="S247" i="33"/>
  <c r="S124" i="33"/>
  <c r="T124" i="33"/>
  <c r="R124" i="33"/>
  <c r="Q61" i="33"/>
  <c r="R61" i="33" s="1"/>
  <c r="E60" i="33"/>
  <c r="D121" i="33"/>
  <c r="Q194" i="33"/>
  <c r="E193" i="33"/>
  <c r="T246" i="33"/>
  <c r="R247" i="33"/>
  <c r="D246" i="33"/>
  <c r="R246" i="33" s="1"/>
  <c r="Q14" i="33"/>
  <c r="K12" i="33" l="1"/>
  <c r="K11" i="33" s="1"/>
  <c r="N12" i="33"/>
  <c r="N11" i="33" s="1"/>
  <c r="T169" i="33"/>
  <c r="J12" i="33"/>
  <c r="J11" i="33" s="1"/>
  <c r="L12" i="33"/>
  <c r="L11" i="33" s="1"/>
  <c r="I12" i="33"/>
  <c r="I11" i="33" s="1"/>
  <c r="S169" i="33"/>
  <c r="G12" i="33"/>
  <c r="G11" i="33" s="1"/>
  <c r="H12" i="33"/>
  <c r="H11" i="33" s="1"/>
  <c r="O12" i="33"/>
  <c r="O11" i="33" s="1"/>
  <c r="T53" i="33"/>
  <c r="T153" i="33"/>
  <c r="T110" i="33"/>
  <c r="R53" i="33"/>
  <c r="R110" i="33"/>
  <c r="R153" i="33"/>
  <c r="S39" i="33"/>
  <c r="T168" i="33"/>
  <c r="R168" i="33"/>
  <c r="R39" i="33"/>
  <c r="R112" i="33"/>
  <c r="S112" i="33"/>
  <c r="Q143" i="33"/>
  <c r="R143" i="33" s="1"/>
  <c r="S111" i="33"/>
  <c r="R111" i="33"/>
  <c r="S93" i="33"/>
  <c r="T93" i="33"/>
  <c r="S84" i="33"/>
  <c r="R84" i="33"/>
  <c r="R66" i="33"/>
  <c r="T66" i="33"/>
  <c r="S66" i="33"/>
  <c r="R144" i="33"/>
  <c r="T144" i="33"/>
  <c r="S144" i="33"/>
  <c r="J196" i="12"/>
  <c r="D52" i="33"/>
  <c r="E192" i="33"/>
  <c r="Q192" i="33" s="1"/>
  <c r="Q193" i="33"/>
  <c r="Q60" i="33"/>
  <c r="E52" i="33"/>
  <c r="T123" i="33"/>
  <c r="S123" i="33"/>
  <c r="R123" i="33"/>
  <c r="S14" i="33"/>
  <c r="V14" i="33"/>
  <c r="X14" i="33" s="1"/>
  <c r="T14" i="33"/>
  <c r="R14" i="33"/>
  <c r="S194" i="33"/>
  <c r="T194" i="33"/>
  <c r="R194" i="33"/>
  <c r="T61" i="33"/>
  <c r="S61" i="33"/>
  <c r="Q122" i="33"/>
  <c r="E121" i="33"/>
  <c r="Q121" i="33" s="1"/>
  <c r="S246" i="33"/>
  <c r="S143" i="33" l="1"/>
  <c r="T143" i="33"/>
  <c r="J197" i="12"/>
  <c r="S193" i="33"/>
  <c r="T193" i="33"/>
  <c r="R193" i="33"/>
  <c r="T121" i="33"/>
  <c r="S121" i="33"/>
  <c r="T122" i="33"/>
  <c r="S122" i="33"/>
  <c r="R122" i="33"/>
  <c r="Q52" i="33"/>
  <c r="R52" i="33" s="1"/>
  <c r="E13" i="33"/>
  <c r="D13" i="33"/>
  <c r="R121" i="33"/>
  <c r="T192" i="33"/>
  <c r="S192" i="33"/>
  <c r="R192" i="33"/>
  <c r="S60" i="33"/>
  <c r="T60" i="33"/>
  <c r="R60" i="33"/>
  <c r="J198" i="12" l="1"/>
  <c r="D12" i="33"/>
  <c r="Q13" i="33"/>
  <c r="E12" i="33"/>
  <c r="T52" i="33"/>
  <c r="S52" i="33"/>
  <c r="J199" i="12" l="1"/>
  <c r="E11" i="33"/>
  <c r="Q11" i="33" s="1"/>
  <c r="Q12" i="33"/>
  <c r="T13" i="33"/>
  <c r="S13" i="33"/>
  <c r="D11" i="33"/>
  <c r="R13" i="33"/>
  <c r="R11" i="33" l="1"/>
  <c r="J200" i="12"/>
  <c r="T12" i="33"/>
  <c r="S12" i="33"/>
  <c r="R12" i="33"/>
  <c r="T11" i="33"/>
  <c r="S11" i="33"/>
  <c r="J201" i="12" l="1"/>
  <c r="J202" i="12" l="1"/>
  <c r="J203" i="12" l="1"/>
  <c r="J204" i="12" l="1"/>
  <c r="G160" i="12"/>
  <c r="C100" i="11"/>
  <c r="C180" i="11"/>
  <c r="D83" i="13"/>
  <c r="C147" i="11"/>
  <c r="D56" i="31"/>
  <c r="C177" i="11"/>
  <c r="C130" i="11"/>
  <c r="C61" i="11"/>
  <c r="G168" i="12"/>
  <c r="G118" i="12"/>
  <c r="C115" i="11"/>
  <c r="G125" i="12"/>
  <c r="G94" i="12"/>
  <c r="C79" i="11"/>
  <c r="D54" i="31"/>
  <c r="C58" i="11"/>
  <c r="G131" i="12"/>
  <c r="G158" i="12"/>
  <c r="G55" i="12"/>
  <c r="D103" i="31"/>
  <c r="C122" i="11"/>
  <c r="D42" i="13"/>
  <c r="C71" i="11"/>
  <c r="D83" i="31"/>
  <c r="C160" i="11"/>
  <c r="C110" i="11"/>
  <c r="D181" i="20"/>
  <c r="D136" i="20"/>
  <c r="D144" i="20"/>
  <c r="D157" i="20"/>
  <c r="D188" i="20"/>
  <c r="C167" i="11"/>
  <c r="C170" i="11"/>
  <c r="G37" i="12"/>
  <c r="G53" i="12"/>
  <c r="C62" i="11"/>
  <c r="C52" i="11"/>
  <c r="G86" i="12"/>
  <c r="C91" i="11"/>
  <c r="G100" i="12"/>
  <c r="G151" i="12"/>
  <c r="D71" i="31"/>
  <c r="G127" i="12"/>
  <c r="G115" i="12"/>
  <c r="G81" i="12"/>
  <c r="D39" i="31"/>
  <c r="C116" i="11"/>
  <c r="G42" i="12"/>
  <c r="C136" i="11"/>
  <c r="C74" i="11"/>
  <c r="C47" i="11"/>
  <c r="G62" i="12"/>
  <c r="G85" i="12"/>
  <c r="G181" i="12"/>
  <c r="D45" i="31"/>
  <c r="G64" i="12"/>
  <c r="G167" i="12"/>
  <c r="G189" i="12"/>
  <c r="D88" i="20"/>
  <c r="D93" i="20"/>
  <c r="D146" i="20"/>
  <c r="D53" i="20"/>
  <c r="D115" i="20"/>
  <c r="G129" i="12"/>
  <c r="C76" i="11"/>
  <c r="G105" i="12"/>
  <c r="G187" i="12"/>
  <c r="C94" i="11"/>
  <c r="G77" i="12"/>
  <c r="G147" i="12"/>
  <c r="C154" i="11"/>
  <c r="G179" i="12"/>
  <c r="D93" i="31"/>
  <c r="C75" i="11"/>
  <c r="G171" i="12"/>
  <c r="D79" i="31"/>
  <c r="C174" i="11"/>
  <c r="C178" i="11"/>
  <c r="G191" i="12"/>
  <c r="C124" i="11"/>
  <c r="C153" i="11"/>
  <c r="G79" i="12"/>
  <c r="D70" i="31"/>
  <c r="G102" i="12"/>
  <c r="D68" i="13"/>
  <c r="D43" i="31"/>
  <c r="C183" i="11"/>
  <c r="G39" i="12"/>
  <c r="C104" i="11"/>
  <c r="G174" i="12"/>
  <c r="D71" i="20"/>
  <c r="D140" i="20"/>
  <c r="D126" i="20"/>
  <c r="D104" i="20"/>
  <c r="D37" i="20"/>
  <c r="G143" i="12"/>
  <c r="D77" i="13"/>
  <c r="C164" i="11"/>
  <c r="C93" i="11"/>
  <c r="D75" i="13"/>
  <c r="D97" i="31"/>
  <c r="D59" i="20"/>
  <c r="D74" i="20"/>
  <c r="D72" i="20"/>
  <c r="D44" i="20"/>
  <c r="D132" i="20"/>
  <c r="D137" i="20"/>
  <c r="D73" i="20"/>
  <c r="D152" i="20"/>
  <c r="C87" i="11"/>
  <c r="C151" i="11"/>
  <c r="D64" i="20"/>
  <c r="D169" i="20"/>
  <c r="C145" i="11"/>
  <c r="C173" i="11"/>
  <c r="G93" i="12"/>
  <c r="G185" i="12"/>
  <c r="C42" i="11"/>
  <c r="G162" i="12"/>
  <c r="D83" i="20"/>
  <c r="D131" i="20"/>
  <c r="D78" i="20"/>
  <c r="C106" i="11"/>
  <c r="C38" i="11"/>
  <c r="C92" i="11"/>
  <c r="C56" i="11"/>
  <c r="G97" i="12"/>
  <c r="G99" i="12"/>
  <c r="D45" i="13"/>
  <c r="C127" i="11"/>
  <c r="D71" i="13"/>
  <c r="G120" i="12"/>
  <c r="C84" i="11"/>
  <c r="G169" i="12"/>
  <c r="D86" i="13"/>
  <c r="C99" i="11"/>
  <c r="D76" i="13"/>
  <c r="G142" i="12"/>
  <c r="C172" i="11"/>
  <c r="D61" i="31"/>
  <c r="G43" i="12"/>
  <c r="D40" i="31"/>
  <c r="G164" i="12"/>
  <c r="C140" i="11"/>
  <c r="G54" i="12"/>
  <c r="C108" i="11"/>
  <c r="C97" i="11"/>
  <c r="C54" i="11"/>
  <c r="D68" i="31"/>
  <c r="D173" i="20"/>
  <c r="D127" i="20"/>
  <c r="D174" i="20"/>
  <c r="D103" i="20"/>
  <c r="D168" i="20"/>
  <c r="C146" i="11"/>
  <c r="C88" i="11"/>
  <c r="D82" i="31"/>
  <c r="C86" i="11"/>
  <c r="G192" i="12"/>
  <c r="G44" i="12"/>
  <c r="G112" i="12"/>
  <c r="C78" i="11"/>
  <c r="G110" i="12"/>
  <c r="C63" i="11"/>
  <c r="G149" i="12"/>
  <c r="C176" i="11"/>
  <c r="G51" i="12"/>
  <c r="G177" i="12"/>
  <c r="C98" i="11"/>
  <c r="D38" i="31"/>
  <c r="G58" i="12"/>
  <c r="G108" i="12"/>
  <c r="D41" i="13"/>
  <c r="G107" i="12"/>
  <c r="C107" i="11"/>
  <c r="G130" i="12"/>
  <c r="C46" i="11"/>
  <c r="D90" i="31"/>
  <c r="D50" i="31"/>
  <c r="D85" i="13"/>
  <c r="C142" i="11"/>
  <c r="D155" i="20"/>
  <c r="D112" i="20"/>
  <c r="D98" i="20"/>
  <c r="D149" i="20"/>
  <c r="D158" i="20"/>
  <c r="G172" i="12"/>
  <c r="G117" i="12"/>
  <c r="G182" i="12"/>
  <c r="C144" i="11"/>
  <c r="C37" i="11"/>
  <c r="G188" i="12"/>
  <c r="D51" i="13"/>
  <c r="G63" i="12"/>
  <c r="C186" i="11"/>
  <c r="D72" i="13"/>
  <c r="G113" i="12"/>
  <c r="G48" i="12"/>
  <c r="C53" i="11"/>
  <c r="G140" i="12"/>
  <c r="C85" i="11"/>
  <c r="C64" i="11"/>
  <c r="C96" i="11"/>
  <c r="C95" i="11"/>
  <c r="G122" i="12"/>
  <c r="G103" i="12"/>
  <c r="G186" i="12"/>
  <c r="C132" i="11"/>
  <c r="G137" i="12"/>
  <c r="G146" i="12"/>
  <c r="G154" i="12"/>
  <c r="C157" i="11"/>
  <c r="D79" i="13"/>
  <c r="D110" i="20"/>
  <c r="D145" i="20"/>
  <c r="D82" i="20"/>
  <c r="D191" i="20"/>
  <c r="G46" i="12"/>
  <c r="G134" i="12"/>
  <c r="C114" i="11"/>
  <c r="G180" i="12"/>
  <c r="G173" i="12"/>
  <c r="C149" i="11"/>
  <c r="C143" i="11"/>
  <c r="D116" i="20"/>
  <c r="D106" i="20"/>
  <c r="D153" i="20"/>
  <c r="D160" i="20"/>
  <c r="D41" i="20"/>
  <c r="D162" i="20"/>
  <c r="D42" i="20"/>
  <c r="C117" i="11"/>
  <c r="D36" i="13"/>
  <c r="D40" i="20"/>
  <c r="D95" i="20"/>
  <c r="D65" i="13"/>
  <c r="C67" i="11"/>
  <c r="D72" i="31"/>
  <c r="D67" i="13"/>
  <c r="D84" i="31"/>
  <c r="C161" i="11"/>
  <c r="C77" i="11"/>
  <c r="D85" i="20"/>
  <c r="D184" i="20"/>
  <c r="C68" i="11"/>
  <c r="C148" i="11"/>
  <c r="C45" i="11"/>
  <c r="G184" i="12"/>
  <c r="C82" i="11"/>
  <c r="D58" i="31"/>
  <c r="D42" i="31"/>
  <c r="C166" i="11"/>
  <c r="C65" i="11"/>
  <c r="D49" i="13"/>
  <c r="G47" i="12"/>
  <c r="D50" i="13"/>
  <c r="C41" i="11"/>
  <c r="G90" i="12"/>
  <c r="G67" i="12"/>
  <c r="D80" i="13"/>
  <c r="D86" i="31"/>
  <c r="C175" i="11"/>
  <c r="C44" i="11"/>
  <c r="D53" i="31"/>
  <c r="G124" i="12"/>
  <c r="G88" i="12"/>
  <c r="C90" i="11"/>
  <c r="G109" i="12"/>
  <c r="D73" i="31"/>
  <c r="C128" i="11"/>
  <c r="D60" i="13"/>
  <c r="D182" i="20"/>
  <c r="D141" i="20"/>
  <c r="D172" i="20"/>
  <c r="D164" i="20"/>
  <c r="D91" i="20"/>
  <c r="G84" i="12"/>
  <c r="G78" i="12"/>
  <c r="D82" i="13"/>
  <c r="C43" i="11"/>
  <c r="C39" i="11"/>
  <c r="C137" i="11"/>
  <c r="D100" i="31"/>
  <c r="D58" i="13"/>
  <c r="D52" i="31"/>
  <c r="G41" i="12"/>
  <c r="C112" i="11"/>
  <c r="C165" i="11"/>
  <c r="G126" i="12"/>
  <c r="D81" i="31"/>
  <c r="D62" i="31"/>
  <c r="D40" i="13"/>
  <c r="C139" i="11"/>
  <c r="C179" i="11"/>
  <c r="D73" i="13"/>
  <c r="C141" i="11"/>
  <c r="G123" i="12"/>
  <c r="G101" i="12"/>
  <c r="C138" i="11"/>
  <c r="D98" i="31"/>
  <c r="D106" i="31"/>
  <c r="D80" i="31"/>
  <c r="G87" i="12"/>
  <c r="D66" i="20"/>
  <c r="D36" i="20"/>
  <c r="D142" i="20"/>
  <c r="D186" i="20"/>
  <c r="D44" i="31"/>
  <c r="D95" i="31"/>
  <c r="C135" i="11"/>
  <c r="C55" i="11"/>
  <c r="D46" i="13"/>
  <c r="C59" i="11"/>
  <c r="D85" i="31"/>
  <c r="C134" i="11"/>
  <c r="G150" i="12"/>
  <c r="G135" i="12"/>
  <c r="G121" i="12"/>
  <c r="G66" i="12"/>
  <c r="D74" i="31"/>
  <c r="G152" i="12"/>
  <c r="D78" i="13"/>
  <c r="G80" i="12"/>
  <c r="D63" i="31"/>
  <c r="C72" i="11"/>
  <c r="D84" i="13"/>
  <c r="C70" i="11"/>
  <c r="D38" i="13"/>
  <c r="G60" i="12"/>
  <c r="G106" i="12"/>
  <c r="D87" i="31"/>
  <c r="C105" i="11"/>
  <c r="C120" i="11"/>
  <c r="G178" i="12"/>
  <c r="D118" i="20"/>
  <c r="D60" i="20"/>
  <c r="D161" i="20"/>
  <c r="D63" i="20"/>
  <c r="D38" i="20"/>
  <c r="D44" i="13"/>
  <c r="D91" i="31"/>
  <c r="C118" i="11"/>
  <c r="G176" i="12"/>
  <c r="C83" i="11"/>
  <c r="D94" i="31"/>
  <c r="G89" i="12"/>
  <c r="D56" i="20"/>
  <c r="D70" i="20"/>
  <c r="D39" i="20"/>
  <c r="D176" i="20"/>
  <c r="D163" i="20"/>
  <c r="N28" i="20"/>
  <c r="D52" i="20"/>
  <c r="C111" i="11"/>
  <c r="G98" i="12"/>
  <c r="D51" i="20"/>
  <c r="D89" i="20"/>
  <c r="D96" i="31"/>
  <c r="D55" i="31"/>
  <c r="G52" i="12"/>
  <c r="C73" i="11"/>
  <c r="C66" i="11"/>
  <c r="C158" i="11"/>
  <c r="D89" i="31"/>
  <c r="D130" i="20"/>
  <c r="D61" i="20"/>
  <c r="D139" i="20"/>
  <c r="D58" i="20"/>
  <c r="D183" i="20"/>
  <c r="D143" i="20"/>
  <c r="D107" i="20"/>
  <c r="C80" i="11"/>
  <c r="C156" i="11"/>
  <c r="D88" i="31"/>
  <c r="D66" i="31"/>
  <c r="D107" i="31"/>
  <c r="G128" i="12"/>
  <c r="D60" i="31"/>
  <c r="D171" i="20"/>
  <c r="G153" i="12"/>
  <c r="C155" i="11"/>
  <c r="C102" i="11"/>
  <c r="D81" i="13"/>
  <c r="D59" i="13"/>
  <c r="C48" i="11"/>
  <c r="G72" i="12"/>
  <c r="D120" i="20"/>
  <c r="G161" i="12"/>
  <c r="C50" i="11"/>
  <c r="G119" i="12"/>
  <c r="G145" i="12"/>
  <c r="C121" i="11"/>
  <c r="G70" i="12"/>
  <c r="G91" i="12"/>
  <c r="D148" i="20"/>
  <c r="D43" i="13"/>
  <c r="G71" i="12"/>
  <c r="D156" i="20"/>
  <c r="D121" i="20"/>
  <c r="D150" i="20"/>
  <c r="D57" i="13"/>
  <c r="D67" i="20"/>
  <c r="D175" i="20"/>
  <c r="D65" i="20"/>
  <c r="D180" i="20"/>
  <c r="C109" i="11"/>
  <c r="G69" i="12"/>
  <c r="D100" i="20"/>
  <c r="D96" i="20"/>
  <c r="D75" i="31"/>
  <c r="G116" i="12"/>
  <c r="C131" i="11"/>
  <c r="D47" i="13"/>
  <c r="G96" i="12"/>
  <c r="G104" i="12"/>
  <c r="D47" i="31"/>
  <c r="D117" i="20"/>
  <c r="D77" i="20"/>
  <c r="D76" i="20"/>
  <c r="D128" i="20"/>
  <c r="D53" i="13"/>
  <c r="D36" i="31"/>
  <c r="C69" i="11"/>
  <c r="D105" i="20"/>
  <c r="D97" i="20"/>
  <c r="D151" i="20"/>
  <c r="G166" i="12"/>
  <c r="C162" i="11"/>
  <c r="D178" i="20"/>
  <c r="G157" i="12"/>
  <c r="G45" i="12"/>
  <c r="D78" i="31"/>
  <c r="C81" i="11"/>
  <c r="G144" i="12"/>
  <c r="D49" i="31"/>
  <c r="G61" i="12"/>
  <c r="G59" i="12"/>
  <c r="D170" i="20"/>
  <c r="D62" i="13"/>
  <c r="G40" i="12"/>
  <c r="D61" i="13"/>
  <c r="D37" i="31"/>
  <c r="C152" i="11"/>
  <c r="C185" i="11"/>
  <c r="D48" i="31"/>
  <c r="D166" i="20"/>
  <c r="G175" i="12"/>
  <c r="G68" i="12"/>
  <c r="G95" i="12"/>
  <c r="G163" i="12"/>
  <c r="C150" i="11"/>
  <c r="D67" i="31"/>
  <c r="D64" i="31"/>
  <c r="D79" i="20"/>
  <c r="G190" i="12"/>
  <c r="D92" i="31"/>
  <c r="D75" i="20"/>
  <c r="C181" i="11"/>
  <c r="G148" i="12"/>
  <c r="C40" i="11"/>
  <c r="D190" i="20"/>
  <c r="D99" i="20"/>
  <c r="D147" i="20"/>
  <c r="D134" i="20"/>
  <c r="D65" i="31"/>
  <c r="D74" i="13"/>
  <c r="D90" i="20"/>
  <c r="D92" i="20"/>
  <c r="G82" i="12"/>
  <c r="C119" i="11"/>
  <c r="C125" i="11"/>
  <c r="G57" i="12"/>
  <c r="C159" i="11"/>
  <c r="D104" i="31"/>
  <c r="D41" i="31"/>
  <c r="D111" i="20"/>
  <c r="D113" i="20"/>
  <c r="D185" i="20"/>
  <c r="D50" i="20"/>
  <c r="D35" i="31"/>
  <c r="C60" i="11"/>
  <c r="C129" i="11"/>
  <c r="D123" i="20"/>
  <c r="D57" i="20"/>
  <c r="G183" i="12"/>
  <c r="D55" i="13"/>
  <c r="C171" i="11"/>
  <c r="G83" i="12"/>
  <c r="G114" i="12"/>
  <c r="C51" i="11"/>
  <c r="C101" i="11"/>
  <c r="D52" i="13"/>
  <c r="C123" i="11"/>
  <c r="C182" i="11"/>
  <c r="D51" i="31"/>
  <c r="D68" i="20"/>
  <c r="C49" i="11"/>
  <c r="D189" i="20"/>
  <c r="G92" i="12"/>
  <c r="D165" i="20"/>
  <c r="D122" i="20"/>
  <c r="D76" i="31"/>
  <c r="C187" i="11"/>
  <c r="G159" i="12"/>
  <c r="D48" i="13"/>
  <c r="D187" i="20"/>
  <c r="D154" i="20"/>
  <c r="C126" i="11"/>
  <c r="D94" i="20"/>
  <c r="D39" i="13"/>
  <c r="D69" i="13"/>
  <c r="D59" i="31"/>
  <c r="D105" i="31"/>
  <c r="G50" i="12"/>
  <c r="D63" i="13"/>
  <c r="D102" i="31"/>
  <c r="D47" i="20"/>
  <c r="G111" i="12"/>
  <c r="G56" i="12"/>
  <c r="D99" i="31"/>
  <c r="G156" i="12"/>
  <c r="G74" i="12"/>
  <c r="D77" i="31"/>
  <c r="D125" i="20"/>
  <c r="D86" i="20"/>
  <c r="G38" i="12"/>
  <c r="D69" i="31"/>
  <c r="G75" i="12"/>
  <c r="G170" i="12"/>
  <c r="G49" i="12"/>
  <c r="G133" i="12"/>
  <c r="D159" i="20"/>
  <c r="D129" i="20"/>
  <c r="D35" i="13"/>
  <c r="D133" i="20"/>
  <c r="D55" i="20"/>
  <c r="D70" i="13"/>
  <c r="C169" i="11"/>
  <c r="C168" i="11"/>
  <c r="D45" i="20"/>
  <c r="D102" i="20"/>
  <c r="D81" i="20"/>
  <c r="D167" i="20"/>
  <c r="G138" i="12"/>
  <c r="C133" i="11"/>
  <c r="D62" i="20"/>
  <c r="D177" i="20"/>
  <c r="C184" i="11"/>
  <c r="G73" i="12"/>
  <c r="C113" i="11"/>
  <c r="G155" i="12"/>
  <c r="G132" i="12"/>
  <c r="G136" i="12"/>
  <c r="D135" i="20"/>
  <c r="D109" i="20"/>
  <c r="D43" i="20"/>
  <c r="D108" i="20"/>
  <c r="D179" i="20"/>
  <c r="D46" i="31"/>
  <c r="C163" i="11"/>
  <c r="D37" i="13"/>
  <c r="D84" i="20"/>
  <c r="D119" i="20"/>
  <c r="G76" i="12"/>
  <c r="G65" i="12"/>
  <c r="G141" i="12"/>
  <c r="D101" i="20"/>
  <c r="D64" i="13"/>
  <c r="D56" i="13"/>
  <c r="D54" i="13"/>
  <c r="D138" i="20"/>
  <c r="C103" i="11"/>
  <c r="D101" i="31"/>
  <c r="C89" i="11"/>
  <c r="D57" i="31"/>
  <c r="D48" i="20"/>
  <c r="D87" i="20"/>
  <c r="C57" i="11"/>
  <c r="D124" i="20"/>
  <c r="D114" i="20"/>
  <c r="D46" i="20"/>
  <c r="D80" i="20"/>
  <c r="D66" i="13"/>
  <c r="G139" i="12"/>
  <c r="D49" i="20"/>
  <c r="D54" i="20"/>
  <c r="G165" i="12"/>
  <c r="D69" i="20"/>
  <c r="E80" i="20" l="1"/>
  <c r="F69" i="20"/>
  <c r="H165" i="12"/>
  <c r="I165" i="12"/>
  <c r="E65" i="20"/>
  <c r="F54" i="20"/>
  <c r="F49" i="20"/>
  <c r="E60" i="20"/>
  <c r="G60" i="20" s="1"/>
  <c r="H139" i="12"/>
  <c r="I139" i="12"/>
  <c r="E66" i="13"/>
  <c r="F80" i="20"/>
  <c r="E91" i="20"/>
  <c r="E57" i="20"/>
  <c r="F46" i="20"/>
  <c r="F114" i="20"/>
  <c r="E125" i="20"/>
  <c r="E135" i="20"/>
  <c r="F124" i="20"/>
  <c r="G57" i="11"/>
  <c r="F87" i="20"/>
  <c r="E98" i="20"/>
  <c r="E59" i="20"/>
  <c r="G59" i="20" s="1"/>
  <c r="F48" i="20"/>
  <c r="F57" i="31"/>
  <c r="E57" i="31"/>
  <c r="G89" i="11"/>
  <c r="F101" i="31"/>
  <c r="G101" i="31" s="1"/>
  <c r="G102" i="31" s="1"/>
  <c r="G103" i="31" s="1"/>
  <c r="G104" i="31" s="1"/>
  <c r="E101" i="31"/>
  <c r="G103" i="11"/>
  <c r="F138" i="20"/>
  <c r="E149" i="20"/>
  <c r="G149" i="20" s="1"/>
  <c r="E54" i="13"/>
  <c r="E56" i="13"/>
  <c r="E64" i="13"/>
  <c r="F101" i="20"/>
  <c r="E112" i="20"/>
  <c r="H141" i="12"/>
  <c r="I141" i="12"/>
  <c r="H65" i="12"/>
  <c r="I65" i="12"/>
  <c r="I76" i="12"/>
  <c r="H76" i="12"/>
  <c r="F119" i="20"/>
  <c r="E130" i="20"/>
  <c r="F84" i="20"/>
  <c r="E95" i="20"/>
  <c r="G95" i="20" s="1"/>
  <c r="G163" i="11"/>
  <c r="E46" i="31"/>
  <c r="F46" i="31"/>
  <c r="E190" i="20"/>
  <c r="F179" i="20"/>
  <c r="E119" i="20"/>
  <c r="F108" i="20"/>
  <c r="E54" i="20"/>
  <c r="F43" i="20"/>
  <c r="F109" i="20"/>
  <c r="E120" i="20"/>
  <c r="F135" i="20"/>
  <c r="E146" i="20"/>
  <c r="G146" i="20" s="1"/>
  <c r="I136" i="12"/>
  <c r="H136" i="12"/>
  <c r="H132" i="12"/>
  <c r="I132" i="12"/>
  <c r="I155" i="12"/>
  <c r="H155" i="12"/>
  <c r="G113" i="11"/>
  <c r="J73" i="12"/>
  <c r="I73" i="12"/>
  <c r="H73" i="12"/>
  <c r="G184" i="11"/>
  <c r="F177" i="20"/>
  <c r="E188" i="20"/>
  <c r="F62" i="20"/>
  <c r="E73" i="20"/>
  <c r="G73" i="20" s="1"/>
  <c r="G133" i="11"/>
  <c r="H138" i="12"/>
  <c r="I138" i="12"/>
  <c r="E178" i="20"/>
  <c r="F167" i="20"/>
  <c r="F81" i="20"/>
  <c r="E92" i="20"/>
  <c r="G92" i="20" s="1"/>
  <c r="E113" i="20"/>
  <c r="G113" i="20" s="1"/>
  <c r="F102" i="20"/>
  <c r="F45" i="20"/>
  <c r="E56" i="20"/>
  <c r="G168" i="11"/>
  <c r="G169" i="11"/>
  <c r="E70" i="13"/>
  <c r="F55" i="20"/>
  <c r="E66" i="20"/>
  <c r="G66" i="20" s="1"/>
  <c r="E144" i="20"/>
  <c r="G144" i="20" s="1"/>
  <c r="F133" i="20"/>
  <c r="F35" i="13"/>
  <c r="E140" i="20"/>
  <c r="G140" i="20" s="1"/>
  <c r="F129" i="20"/>
  <c r="F159" i="20"/>
  <c r="E170" i="20"/>
  <c r="I133" i="12"/>
  <c r="J133" i="12"/>
  <c r="H133" i="12"/>
  <c r="I49" i="12"/>
  <c r="H49" i="12"/>
  <c r="J49" i="12"/>
  <c r="H170" i="12"/>
  <c r="I170" i="12"/>
  <c r="I75" i="12"/>
  <c r="H75" i="12"/>
  <c r="F69" i="31"/>
  <c r="E69" i="31"/>
  <c r="H38" i="12"/>
  <c r="J38" i="12"/>
  <c r="F86" i="20"/>
  <c r="E97" i="20"/>
  <c r="E136" i="20"/>
  <c r="G136" i="20" s="1"/>
  <c r="F125" i="20"/>
  <c r="F77" i="31"/>
  <c r="G77" i="31" s="1"/>
  <c r="E77" i="31"/>
  <c r="I74" i="12"/>
  <c r="H74" i="12"/>
  <c r="H156" i="12"/>
  <c r="I156" i="12"/>
  <c r="F99" i="31"/>
  <c r="E99" i="31"/>
  <c r="H56" i="12"/>
  <c r="I56" i="12"/>
  <c r="H111" i="12"/>
  <c r="I111" i="12"/>
  <c r="F47" i="20"/>
  <c r="E58" i="20"/>
  <c r="F102" i="31"/>
  <c r="E102" i="31"/>
  <c r="E63" i="13"/>
  <c r="I50" i="12"/>
  <c r="H50" i="12"/>
  <c r="F105" i="31"/>
  <c r="E105" i="31"/>
  <c r="E59" i="31"/>
  <c r="F59" i="31"/>
  <c r="G59" i="31" s="1"/>
  <c r="G60" i="31" s="1"/>
  <c r="E69" i="13"/>
  <c r="E39" i="13"/>
  <c r="F94" i="20"/>
  <c r="E105" i="20"/>
  <c r="G126" i="11"/>
  <c r="F154" i="20"/>
  <c r="E165" i="20"/>
  <c r="F187" i="20"/>
  <c r="E198" i="20"/>
  <c r="E48" i="13"/>
  <c r="H159" i="12"/>
  <c r="I159" i="12"/>
  <c r="G187" i="11"/>
  <c r="E76" i="31"/>
  <c r="F76" i="31"/>
  <c r="E133" i="20"/>
  <c r="F122" i="20"/>
  <c r="F165" i="20"/>
  <c r="E176" i="20"/>
  <c r="H92" i="12"/>
  <c r="I92" i="12"/>
  <c r="F189" i="20"/>
  <c r="E200" i="20"/>
  <c r="G200" i="20" s="1"/>
  <c r="G49" i="11"/>
  <c r="F68" i="20"/>
  <c r="E79" i="20"/>
  <c r="E51" i="31"/>
  <c r="F51" i="31"/>
  <c r="G182" i="11"/>
  <c r="G123" i="11"/>
  <c r="E52" i="13"/>
  <c r="G101" i="11"/>
  <c r="G51" i="11"/>
  <c r="I114" i="12"/>
  <c r="H114" i="12"/>
  <c r="I83" i="12"/>
  <c r="H83" i="12"/>
  <c r="G171" i="11"/>
  <c r="E55" i="13"/>
  <c r="I183" i="12"/>
  <c r="H183" i="12"/>
  <c r="I195" i="12"/>
  <c r="F57" i="20"/>
  <c r="E68" i="20"/>
  <c r="G68" i="20" s="1"/>
  <c r="F123" i="20"/>
  <c r="E134" i="20"/>
  <c r="G129" i="11"/>
  <c r="G60" i="11"/>
  <c r="F35" i="31"/>
  <c r="F50" i="20"/>
  <c r="E61" i="20"/>
  <c r="E196" i="20"/>
  <c r="G196" i="20" s="1"/>
  <c r="F185" i="20"/>
  <c r="F113" i="20"/>
  <c r="E124" i="20"/>
  <c r="G124" i="20" s="1"/>
  <c r="F111" i="20"/>
  <c r="E122" i="20"/>
  <c r="G122" i="20" s="1"/>
  <c r="F41" i="31"/>
  <c r="E41" i="31"/>
  <c r="F104" i="31"/>
  <c r="E104" i="31"/>
  <c r="G159" i="11"/>
  <c r="I57" i="12"/>
  <c r="H57" i="12"/>
  <c r="G125" i="11"/>
  <c r="G119" i="11"/>
  <c r="H82" i="12"/>
  <c r="I82" i="12"/>
  <c r="E103" i="20"/>
  <c r="G103" i="20" s="1"/>
  <c r="F92" i="20"/>
  <c r="E101" i="20"/>
  <c r="F90" i="20"/>
  <c r="E74" i="13"/>
  <c r="F65" i="31"/>
  <c r="G65" i="31" s="1"/>
  <c r="E65" i="31"/>
  <c r="F134" i="20"/>
  <c r="E145" i="20"/>
  <c r="G145" i="20" s="1"/>
  <c r="E158" i="20"/>
  <c r="F147" i="20"/>
  <c r="E110" i="20"/>
  <c r="G110" i="20" s="1"/>
  <c r="F99" i="20"/>
  <c r="F190" i="20"/>
  <c r="E201" i="20"/>
  <c r="G40" i="11"/>
  <c r="I148" i="12"/>
  <c r="H148" i="12"/>
  <c r="G181" i="11"/>
  <c r="G192" i="11"/>
  <c r="G190" i="11"/>
  <c r="G189" i="11"/>
  <c r="G191" i="11"/>
  <c r="G188" i="11"/>
  <c r="E86" i="20"/>
  <c r="G86" i="20" s="1"/>
  <c r="F75" i="20"/>
  <c r="F92" i="31"/>
  <c r="E92" i="31"/>
  <c r="H190" i="12"/>
  <c r="I202" i="12"/>
  <c r="I190" i="12"/>
  <c r="F79" i="20"/>
  <c r="E90" i="20"/>
  <c r="G90" i="20" s="1"/>
  <c r="F64" i="31"/>
  <c r="E64" i="31"/>
  <c r="F67" i="31"/>
  <c r="E67" i="31"/>
  <c r="G150" i="11"/>
  <c r="H163" i="12"/>
  <c r="I163" i="12"/>
  <c r="I95" i="12"/>
  <c r="H95" i="12"/>
  <c r="I68" i="12"/>
  <c r="H68" i="12"/>
  <c r="H175" i="12"/>
  <c r="I175" i="12"/>
  <c r="E177" i="20"/>
  <c r="G177" i="20" s="1"/>
  <c r="F166" i="20"/>
  <c r="F48" i="31"/>
  <c r="E48" i="31"/>
  <c r="G185" i="11"/>
  <c r="G152" i="11"/>
  <c r="F37" i="31"/>
  <c r="E61" i="13"/>
  <c r="H40" i="12"/>
  <c r="E62" i="13"/>
  <c r="E181" i="20"/>
  <c r="G181" i="20" s="1"/>
  <c r="F170" i="20"/>
  <c r="I59" i="12"/>
  <c r="H59" i="12"/>
  <c r="H61" i="12"/>
  <c r="J61" i="12"/>
  <c r="I61" i="12"/>
  <c r="F49" i="31"/>
  <c r="E49" i="31"/>
  <c r="H144" i="12"/>
  <c r="I144" i="12"/>
  <c r="G81" i="11"/>
  <c r="F78" i="31"/>
  <c r="G78" i="31" s="1"/>
  <c r="G79" i="31" s="1"/>
  <c r="E78" i="31"/>
  <c r="H45" i="12"/>
  <c r="J157" i="12"/>
  <c r="I157" i="12"/>
  <c r="H157" i="12"/>
  <c r="E189" i="20"/>
  <c r="G189" i="20" s="1"/>
  <c r="F178" i="20"/>
  <c r="G162" i="11"/>
  <c r="H166" i="12"/>
  <c r="I166" i="12"/>
  <c r="E162" i="20"/>
  <c r="G162" i="20" s="1"/>
  <c r="F151" i="20"/>
  <c r="E108" i="20"/>
  <c r="F97" i="20"/>
  <c r="F105" i="20"/>
  <c r="E116" i="20"/>
  <c r="G116" i="20" s="1"/>
  <c r="G69" i="11"/>
  <c r="F36" i="31"/>
  <c r="E53" i="13"/>
  <c r="E139" i="20"/>
  <c r="G139" i="20" s="1"/>
  <c r="F128" i="20"/>
  <c r="F76" i="20"/>
  <c r="E87" i="20"/>
  <c r="G87" i="20" s="1"/>
  <c r="F77" i="20"/>
  <c r="E88" i="20"/>
  <c r="E128" i="20"/>
  <c r="F117" i="20"/>
  <c r="E47" i="31"/>
  <c r="F47" i="31"/>
  <c r="H104" i="12"/>
  <c r="I104" i="12"/>
  <c r="H96" i="12"/>
  <c r="I96" i="12"/>
  <c r="E47" i="13"/>
  <c r="G131" i="11"/>
  <c r="H116" i="12"/>
  <c r="I116" i="12"/>
  <c r="E75" i="31"/>
  <c r="F75" i="31"/>
  <c r="E107" i="20"/>
  <c r="G107" i="20" s="1"/>
  <c r="F96" i="20"/>
  <c r="E111" i="20"/>
  <c r="F100" i="20"/>
  <c r="H69" i="12"/>
  <c r="I69" i="12"/>
  <c r="G109" i="11"/>
  <c r="E191" i="20"/>
  <c r="F180" i="20"/>
  <c r="F65" i="20"/>
  <c r="E76" i="20"/>
  <c r="F175" i="20"/>
  <c r="E186" i="20"/>
  <c r="E78" i="20"/>
  <c r="F67" i="20"/>
  <c r="E57" i="13"/>
  <c r="E161" i="20"/>
  <c r="G161" i="20" s="1"/>
  <c r="F150" i="20"/>
  <c r="E132" i="20"/>
  <c r="G132" i="20" s="1"/>
  <c r="F121" i="20"/>
  <c r="E167" i="20"/>
  <c r="F156" i="20"/>
  <c r="I71" i="12"/>
  <c r="H71" i="12"/>
  <c r="E43" i="13"/>
  <c r="E159" i="20"/>
  <c r="F148" i="20"/>
  <c r="I91" i="12"/>
  <c r="H91" i="12"/>
  <c r="I70" i="12"/>
  <c r="H70" i="12"/>
  <c r="G121" i="11"/>
  <c r="I145" i="12"/>
  <c r="H145" i="12"/>
  <c r="J145" i="12"/>
  <c r="I119" i="12"/>
  <c r="H119" i="12"/>
  <c r="G50" i="11"/>
  <c r="H161" i="12"/>
  <c r="I161" i="12"/>
  <c r="E131" i="20"/>
  <c r="G131" i="20" s="1"/>
  <c r="F120" i="20"/>
  <c r="I72" i="12"/>
  <c r="H72" i="12"/>
  <c r="G48" i="11"/>
  <c r="E59" i="13"/>
  <c r="E81" i="13"/>
  <c r="G102" i="11"/>
  <c r="G155" i="11"/>
  <c r="H153" i="12"/>
  <c r="I153" i="12"/>
  <c r="E182" i="20"/>
  <c r="G182" i="20" s="1"/>
  <c r="F171" i="20"/>
  <c r="F60" i="31"/>
  <c r="E60" i="31"/>
  <c r="I128" i="12"/>
  <c r="H128" i="12"/>
  <c r="E107" i="31"/>
  <c r="F107" i="31"/>
  <c r="F66" i="31"/>
  <c r="E66" i="31"/>
  <c r="E88" i="31"/>
  <c r="F88" i="31"/>
  <c r="G156" i="11"/>
  <c r="G80" i="11"/>
  <c r="F107" i="20"/>
  <c r="E118" i="20"/>
  <c r="F143" i="20"/>
  <c r="E154" i="20"/>
  <c r="E194" i="20"/>
  <c r="F183" i="20"/>
  <c r="E69" i="20"/>
  <c r="G69" i="20" s="1"/>
  <c r="F58" i="20"/>
  <c r="E150" i="20"/>
  <c r="F139" i="20"/>
  <c r="E72" i="20"/>
  <c r="F61" i="20"/>
  <c r="F130" i="20"/>
  <c r="E141" i="20"/>
  <c r="F89" i="31"/>
  <c r="G89" i="31" s="1"/>
  <c r="E89" i="31"/>
  <c r="G158" i="11"/>
  <c r="G66" i="11"/>
  <c r="G73" i="11"/>
  <c r="H52" i="12"/>
  <c r="I52" i="12"/>
  <c r="E55" i="31"/>
  <c r="F55" i="31"/>
  <c r="E96" i="31"/>
  <c r="F96" i="31"/>
  <c r="F89" i="20"/>
  <c r="E100" i="20"/>
  <c r="G100" i="20" s="1"/>
  <c r="E62" i="20"/>
  <c r="F51" i="20"/>
  <c r="I98" i="12"/>
  <c r="H98" i="12"/>
  <c r="G111" i="11"/>
  <c r="F52" i="20"/>
  <c r="E63" i="20"/>
  <c r="F163" i="20"/>
  <c r="E174" i="20"/>
  <c r="G174" i="20" s="1"/>
  <c r="E187" i="20"/>
  <c r="F176" i="20"/>
  <c r="F39" i="20"/>
  <c r="E50" i="20"/>
  <c r="F70" i="20"/>
  <c r="E81" i="20"/>
  <c r="F56" i="20"/>
  <c r="E67" i="20"/>
  <c r="I89" i="12"/>
  <c r="H89" i="12"/>
  <c r="F94" i="31"/>
  <c r="E94" i="31"/>
  <c r="G83" i="11"/>
  <c r="H176" i="12"/>
  <c r="I176" i="12"/>
  <c r="G118" i="11"/>
  <c r="F91" i="31"/>
  <c r="E91" i="31"/>
  <c r="E44" i="13"/>
  <c r="F38" i="20"/>
  <c r="E49" i="20"/>
  <c r="F63" i="20"/>
  <c r="E74" i="20"/>
  <c r="F161" i="20"/>
  <c r="E172" i="20"/>
  <c r="F60" i="20"/>
  <c r="E71" i="20"/>
  <c r="G71" i="20" s="1"/>
  <c r="E129" i="20"/>
  <c r="F118" i="20"/>
  <c r="H178" i="12"/>
  <c r="I178" i="12"/>
  <c r="G120" i="11"/>
  <c r="G105" i="11"/>
  <c r="E87" i="31"/>
  <c r="F87" i="31"/>
  <c r="I106" i="12"/>
  <c r="H106" i="12"/>
  <c r="H60" i="12"/>
  <c r="I60" i="12"/>
  <c r="G70" i="11"/>
  <c r="E88" i="13"/>
  <c r="E84" i="13"/>
  <c r="G72" i="11"/>
  <c r="F63" i="31"/>
  <c r="E63" i="31"/>
  <c r="I80" i="12"/>
  <c r="H80" i="12"/>
  <c r="E78" i="13"/>
  <c r="H152" i="12"/>
  <c r="I152" i="12"/>
  <c r="E74" i="31"/>
  <c r="F74" i="31"/>
  <c r="H66" i="12"/>
  <c r="I66" i="12"/>
  <c r="J121" i="12"/>
  <c r="H121" i="12"/>
  <c r="I121" i="12"/>
  <c r="I135" i="12"/>
  <c r="H135" i="12"/>
  <c r="I150" i="12"/>
  <c r="H150" i="12"/>
  <c r="G134" i="11"/>
  <c r="E85" i="31"/>
  <c r="F85" i="31"/>
  <c r="G59" i="11"/>
  <c r="E46" i="13"/>
  <c r="G55" i="11"/>
  <c r="G135" i="11"/>
  <c r="E95" i="31"/>
  <c r="F95" i="31"/>
  <c r="G95" i="31" s="1"/>
  <c r="G96" i="31" s="1"/>
  <c r="F44" i="31"/>
  <c r="E44" i="31"/>
  <c r="F186" i="20"/>
  <c r="E197" i="20"/>
  <c r="F142" i="20"/>
  <c r="E153" i="20"/>
  <c r="G153" i="20" s="1"/>
  <c r="F36" i="20"/>
  <c r="E47" i="20"/>
  <c r="E77" i="20"/>
  <c r="G77" i="20" s="1"/>
  <c r="F66" i="20"/>
  <c r="I87" i="12"/>
  <c r="H87" i="12"/>
  <c r="E80" i="31"/>
  <c r="F80" i="31"/>
  <c r="E106" i="31"/>
  <c r="F106" i="31"/>
  <c r="E98" i="31"/>
  <c r="F98" i="31"/>
  <c r="G138" i="11"/>
  <c r="I101" i="12"/>
  <c r="H101" i="12"/>
  <c r="H123" i="12"/>
  <c r="I123" i="12"/>
  <c r="G141" i="11"/>
  <c r="E73" i="13"/>
  <c r="G179" i="11"/>
  <c r="G139" i="11"/>
  <c r="E40" i="13"/>
  <c r="F62" i="31"/>
  <c r="E62" i="31"/>
  <c r="F81" i="31"/>
  <c r="E81" i="31"/>
  <c r="H126" i="12"/>
  <c r="I126" i="12"/>
  <c r="G165" i="11"/>
  <c r="G112" i="11"/>
  <c r="H41" i="12"/>
  <c r="E52" i="31"/>
  <c r="F52" i="31"/>
  <c r="E58" i="13"/>
  <c r="F100" i="31"/>
  <c r="E100" i="31"/>
  <c r="G137" i="11"/>
  <c r="G39" i="11"/>
  <c r="G43" i="11"/>
  <c r="E82" i="13"/>
  <c r="H78" i="12"/>
  <c r="I78" i="12"/>
  <c r="H84" i="12"/>
  <c r="I84" i="12"/>
  <c r="F91" i="20"/>
  <c r="E102" i="20"/>
  <c r="E175" i="20"/>
  <c r="F164" i="20"/>
  <c r="E183" i="20"/>
  <c r="F172" i="20"/>
  <c r="E152" i="20"/>
  <c r="G152" i="20" s="1"/>
  <c r="F141" i="20"/>
  <c r="E193" i="20"/>
  <c r="F182" i="20"/>
  <c r="E60" i="13"/>
  <c r="G128" i="11"/>
  <c r="F73" i="31"/>
  <c r="E73" i="31"/>
  <c r="J109" i="12"/>
  <c r="I109" i="12"/>
  <c r="H109" i="12"/>
  <c r="G90" i="11"/>
  <c r="H88" i="12"/>
  <c r="I88" i="12"/>
  <c r="I124" i="12"/>
  <c r="H124" i="12"/>
  <c r="E53" i="31"/>
  <c r="F53" i="31"/>
  <c r="G53" i="31" s="1"/>
  <c r="G54" i="31" s="1"/>
  <c r="G55" i="31" s="1"/>
  <c r="G44" i="11"/>
  <c r="G175" i="11"/>
  <c r="E86" i="31"/>
  <c r="F86" i="31"/>
  <c r="E80" i="13"/>
  <c r="H67" i="12"/>
  <c r="I67" i="12"/>
  <c r="I90" i="12"/>
  <c r="H90" i="12"/>
  <c r="G41" i="11"/>
  <c r="E50" i="13"/>
  <c r="H47" i="12"/>
  <c r="E49" i="13"/>
  <c r="G65" i="11"/>
  <c r="G166" i="11"/>
  <c r="F42" i="31"/>
  <c r="E42" i="31"/>
  <c r="E58" i="31"/>
  <c r="F58" i="31"/>
  <c r="G82" i="11"/>
  <c r="I184" i="12"/>
  <c r="I196" i="12"/>
  <c r="H184" i="12"/>
  <c r="G45" i="11"/>
  <c r="G148" i="11"/>
  <c r="G68" i="11"/>
  <c r="E195" i="20"/>
  <c r="G195" i="20" s="1"/>
  <c r="F184" i="20"/>
  <c r="E96" i="20"/>
  <c r="F85" i="20"/>
  <c r="G77" i="11"/>
  <c r="G161" i="11"/>
  <c r="E84" i="31"/>
  <c r="F84" i="31"/>
  <c r="E67" i="13"/>
  <c r="F72" i="31"/>
  <c r="E72" i="31"/>
  <c r="G67" i="11"/>
  <c r="E65" i="13"/>
  <c r="E106" i="20"/>
  <c r="G106" i="20" s="1"/>
  <c r="F95" i="20"/>
  <c r="E51" i="20"/>
  <c r="F40" i="20"/>
  <c r="G117" i="11"/>
  <c r="F42" i="20"/>
  <c r="E53" i="20"/>
  <c r="E173" i="20"/>
  <c r="F162" i="20"/>
  <c r="F41" i="20"/>
  <c r="E52" i="20"/>
  <c r="E171" i="20"/>
  <c r="G171" i="20" s="1"/>
  <c r="F160" i="20"/>
  <c r="E164" i="20"/>
  <c r="F153" i="20"/>
  <c r="F106" i="20"/>
  <c r="E117" i="20"/>
  <c r="G117" i="20" s="1"/>
  <c r="E127" i="20"/>
  <c r="F116" i="20"/>
  <c r="G143" i="11"/>
  <c r="G149" i="11"/>
  <c r="I173" i="12"/>
  <c r="H173" i="12"/>
  <c r="H180" i="12"/>
  <c r="I180" i="12"/>
  <c r="G114" i="11"/>
  <c r="I134" i="12"/>
  <c r="H134" i="12"/>
  <c r="H46" i="12"/>
  <c r="E202" i="20"/>
  <c r="F191" i="20"/>
  <c r="H210" i="20" s="1"/>
  <c r="E93" i="20"/>
  <c r="G93" i="20" s="1"/>
  <c r="F82" i="20"/>
  <c r="E156" i="20"/>
  <c r="F145" i="20"/>
  <c r="F110" i="20"/>
  <c r="E121" i="20"/>
  <c r="E79" i="13"/>
  <c r="G157" i="11"/>
  <c r="I154" i="12"/>
  <c r="H154" i="12"/>
  <c r="I146" i="12"/>
  <c r="H146" i="12"/>
  <c r="H137" i="12"/>
  <c r="I137" i="12"/>
  <c r="G132" i="11"/>
  <c r="H186" i="12"/>
  <c r="I198" i="12"/>
  <c r="I186" i="12"/>
  <c r="H103" i="12"/>
  <c r="I103" i="12"/>
  <c r="I122" i="12"/>
  <c r="H122" i="12"/>
  <c r="G95" i="11"/>
  <c r="G96" i="11"/>
  <c r="G64" i="11"/>
  <c r="G85" i="11"/>
  <c r="I140" i="12"/>
  <c r="H140" i="12"/>
  <c r="G53" i="11"/>
  <c r="H48" i="12"/>
  <c r="H113" i="12"/>
  <c r="I113" i="12"/>
  <c r="E72" i="13"/>
  <c r="G186" i="11"/>
  <c r="H63" i="12"/>
  <c r="I63" i="12"/>
  <c r="E51" i="13"/>
  <c r="I200" i="12"/>
  <c r="I188" i="12"/>
  <c r="H188" i="12"/>
  <c r="G37" i="11"/>
  <c r="G144" i="11"/>
  <c r="H182" i="12"/>
  <c r="I182" i="12"/>
  <c r="I194" i="12"/>
  <c r="I117" i="12"/>
  <c r="H117" i="12"/>
  <c r="H172" i="12"/>
  <c r="I172" i="12"/>
  <c r="F158" i="20"/>
  <c r="E169" i="20"/>
  <c r="F149" i="20"/>
  <c r="E160" i="20"/>
  <c r="G160" i="20" s="1"/>
  <c r="E109" i="20"/>
  <c r="G109" i="20" s="1"/>
  <c r="F98" i="20"/>
  <c r="F112" i="20"/>
  <c r="E123" i="20"/>
  <c r="G123" i="20" s="1"/>
  <c r="E166" i="20"/>
  <c r="G166" i="20" s="1"/>
  <c r="F155" i="20"/>
  <c r="G142" i="11"/>
  <c r="E85" i="13"/>
  <c r="E89" i="13"/>
  <c r="F50" i="31"/>
  <c r="E50" i="31"/>
  <c r="F90" i="31"/>
  <c r="E90" i="31"/>
  <c r="G46" i="11"/>
  <c r="I130" i="12"/>
  <c r="H130" i="12"/>
  <c r="G107" i="11"/>
  <c r="H107" i="12"/>
  <c r="I107" i="12"/>
  <c r="E41" i="13"/>
  <c r="H108" i="12"/>
  <c r="I108" i="12"/>
  <c r="I58" i="12"/>
  <c r="H58" i="12"/>
  <c r="F38" i="31"/>
  <c r="G98" i="11"/>
  <c r="H177" i="12"/>
  <c r="I177" i="12"/>
  <c r="H51" i="12"/>
  <c r="I51" i="12"/>
  <c r="G176" i="11"/>
  <c r="I149" i="12"/>
  <c r="H149" i="12"/>
  <c r="G63" i="11"/>
  <c r="I110" i="12"/>
  <c r="H110" i="12"/>
  <c r="G78" i="11"/>
  <c r="H112" i="12"/>
  <c r="I112" i="12"/>
  <c r="H44" i="12"/>
  <c r="I204" i="12"/>
  <c r="H192" i="12"/>
  <c r="H193" i="12"/>
  <c r="I192" i="12"/>
  <c r="G86" i="11"/>
  <c r="E82" i="31"/>
  <c r="F82" i="31"/>
  <c r="G88" i="11"/>
  <c r="G146" i="11"/>
  <c r="F168" i="20"/>
  <c r="E179" i="20"/>
  <c r="F103" i="20"/>
  <c r="E114" i="20"/>
  <c r="G114" i="20" s="1"/>
  <c r="E185" i="20"/>
  <c r="F174" i="20"/>
  <c r="E138" i="20"/>
  <c r="F127" i="20"/>
  <c r="F173" i="20"/>
  <c r="E184" i="20"/>
  <c r="G184" i="20" s="1"/>
  <c r="F68" i="31"/>
  <c r="E68" i="31"/>
  <c r="G54" i="11"/>
  <c r="G97" i="11"/>
  <c r="G108" i="11"/>
  <c r="I54" i="12"/>
  <c r="H54" i="12"/>
  <c r="G140" i="11"/>
  <c r="H164" i="12"/>
  <c r="I164" i="12"/>
  <c r="F40" i="31"/>
  <c r="H43" i="12"/>
  <c r="E61" i="31"/>
  <c r="F61" i="31"/>
  <c r="G172" i="11"/>
  <c r="I142" i="12"/>
  <c r="H142" i="12"/>
  <c r="E76" i="13"/>
  <c r="G99" i="11"/>
  <c r="E86" i="13"/>
  <c r="E90" i="13"/>
  <c r="J169" i="12"/>
  <c r="H169" i="12"/>
  <c r="I169" i="12"/>
  <c r="G84" i="11"/>
  <c r="I120" i="12"/>
  <c r="H120" i="12"/>
  <c r="E71" i="13"/>
  <c r="G127" i="11"/>
  <c r="E45" i="13"/>
  <c r="I99" i="12"/>
  <c r="H99" i="12"/>
  <c r="I97" i="12"/>
  <c r="H97" i="12"/>
  <c r="J97" i="12"/>
  <c r="G56" i="11"/>
  <c r="G92" i="11"/>
  <c r="G38" i="11"/>
  <c r="G106" i="11"/>
  <c r="E89" i="20"/>
  <c r="F78" i="20"/>
  <c r="E142" i="20"/>
  <c r="G142" i="20" s="1"/>
  <c r="F131" i="20"/>
  <c r="E94" i="20"/>
  <c r="F83" i="20"/>
  <c r="H162" i="12"/>
  <c r="I162" i="12"/>
  <c r="G42" i="11"/>
  <c r="I197" i="12"/>
  <c r="H185" i="12"/>
  <c r="I185" i="12"/>
  <c r="I93" i="12"/>
  <c r="H93" i="12"/>
  <c r="G173" i="11"/>
  <c r="G145" i="11"/>
  <c r="F169" i="20"/>
  <c r="E180" i="20"/>
  <c r="G180" i="20" s="1"/>
  <c r="F64" i="20"/>
  <c r="E75" i="20"/>
  <c r="G75" i="20" s="1"/>
  <c r="G151" i="11"/>
  <c r="G87" i="11"/>
  <c r="E163" i="20"/>
  <c r="G163" i="20" s="1"/>
  <c r="F152" i="20"/>
  <c r="F73" i="20"/>
  <c r="E84" i="20"/>
  <c r="G84" i="20" s="1"/>
  <c r="F137" i="20"/>
  <c r="E148" i="20"/>
  <c r="E143" i="20"/>
  <c r="F132" i="20"/>
  <c r="E55" i="20"/>
  <c r="F44" i="20"/>
  <c r="E83" i="20"/>
  <c r="F72" i="20"/>
  <c r="E85" i="20"/>
  <c r="G85" i="20" s="1"/>
  <c r="F74" i="20"/>
  <c r="E70" i="20"/>
  <c r="G70" i="20" s="1"/>
  <c r="F59" i="20"/>
  <c r="E97" i="31"/>
  <c r="F97" i="31"/>
  <c r="E75" i="13"/>
  <c r="G93" i="11"/>
  <c r="G164" i="11"/>
  <c r="E77" i="13"/>
  <c r="H143" i="12"/>
  <c r="I143" i="12"/>
  <c r="F37" i="20"/>
  <c r="E48" i="20"/>
  <c r="E115" i="20"/>
  <c r="F104" i="20"/>
  <c r="F126" i="20"/>
  <c r="E137" i="20"/>
  <c r="G137" i="20" s="1"/>
  <c r="F140" i="20"/>
  <c r="E151" i="20"/>
  <c r="E82" i="20"/>
  <c r="G82" i="20" s="1"/>
  <c r="F71" i="20"/>
  <c r="H174" i="12"/>
  <c r="I174" i="12"/>
  <c r="G104" i="11"/>
  <c r="J39" i="12"/>
  <c r="J40" i="12" s="1"/>
  <c r="J41" i="12" s="1"/>
  <c r="J42" i="12" s="1"/>
  <c r="J43" i="12" s="1"/>
  <c r="J44" i="12" s="1"/>
  <c r="J45" i="12" s="1"/>
  <c r="J46" i="12" s="1"/>
  <c r="J47" i="12" s="1"/>
  <c r="J48" i="12" s="1"/>
  <c r="H39" i="12"/>
  <c r="G183" i="11"/>
  <c r="F43" i="31"/>
  <c r="E43" i="31"/>
  <c r="E68" i="13"/>
  <c r="H102" i="12"/>
  <c r="I102" i="12"/>
  <c r="E70" i="31"/>
  <c r="F70" i="31"/>
  <c r="H79" i="12"/>
  <c r="I79" i="12"/>
  <c r="G153" i="11"/>
  <c r="G124" i="11"/>
  <c r="I203" i="12"/>
  <c r="H191" i="12"/>
  <c r="I191" i="12"/>
  <c r="G178" i="11"/>
  <c r="G174" i="11"/>
  <c r="E79" i="31"/>
  <c r="F79" i="31"/>
  <c r="I171" i="12"/>
  <c r="H171" i="12"/>
  <c r="G75" i="11"/>
  <c r="E93" i="31"/>
  <c r="F93" i="31"/>
  <c r="I179" i="12"/>
  <c r="H179" i="12"/>
  <c r="G154" i="11"/>
  <c r="I147" i="12"/>
  <c r="H147" i="12"/>
  <c r="I77" i="12"/>
  <c r="H77" i="12"/>
  <c r="G94" i="11"/>
  <c r="I187" i="12"/>
  <c r="H187" i="12"/>
  <c r="I199" i="12"/>
  <c r="H105" i="12"/>
  <c r="I105" i="12"/>
  <c r="G76" i="11"/>
  <c r="H129" i="12"/>
  <c r="I129" i="12"/>
  <c r="F115" i="20"/>
  <c r="E126" i="20"/>
  <c r="G126" i="20" s="1"/>
  <c r="E64" i="20"/>
  <c r="G64" i="20" s="1"/>
  <c r="F53" i="20"/>
  <c r="E157" i="20"/>
  <c r="F146" i="20"/>
  <c r="E104" i="20"/>
  <c r="G104" i="20" s="1"/>
  <c r="F93" i="20"/>
  <c r="E99" i="20"/>
  <c r="G99" i="20" s="1"/>
  <c r="F88" i="20"/>
  <c r="I189" i="12"/>
  <c r="I201" i="12"/>
  <c r="H189" i="12"/>
  <c r="I167" i="12"/>
  <c r="H167" i="12"/>
  <c r="I64" i="12"/>
  <c r="H64" i="12"/>
  <c r="E45" i="31"/>
  <c r="F45" i="31"/>
  <c r="J181" i="12"/>
  <c r="I193" i="12"/>
  <c r="H181" i="12"/>
  <c r="I181" i="12"/>
  <c r="I85" i="12"/>
  <c r="J85" i="12"/>
  <c r="H85" i="12"/>
  <c r="I62" i="12"/>
  <c r="H62" i="12"/>
  <c r="G47" i="11"/>
  <c r="G74" i="11"/>
  <c r="G136" i="11"/>
  <c r="H42" i="12"/>
  <c r="G116" i="11"/>
  <c r="F39" i="31"/>
  <c r="H81" i="12"/>
  <c r="I81" i="12"/>
  <c r="H115" i="12"/>
  <c r="I115" i="12"/>
  <c r="H127" i="12"/>
  <c r="I127" i="12"/>
  <c r="E71" i="31"/>
  <c r="F71" i="31"/>
  <c r="G71" i="31" s="1"/>
  <c r="G72" i="31" s="1"/>
  <c r="G73" i="31" s="1"/>
  <c r="G74" i="31" s="1"/>
  <c r="G75" i="31" s="1"/>
  <c r="G76" i="31" s="1"/>
  <c r="I151" i="12"/>
  <c r="H151" i="12"/>
  <c r="H100" i="12"/>
  <c r="I100" i="12"/>
  <c r="G91" i="11"/>
  <c r="H86" i="12"/>
  <c r="I86" i="12"/>
  <c r="G52" i="11"/>
  <c r="G62" i="11"/>
  <c r="I53" i="12"/>
  <c r="H53" i="12"/>
  <c r="J37" i="12"/>
  <c r="G170" i="11"/>
  <c r="G167" i="11"/>
  <c r="E199" i="20"/>
  <c r="G199" i="20" s="1"/>
  <c r="F188" i="20"/>
  <c r="E168" i="20"/>
  <c r="G168" i="20" s="1"/>
  <c r="F157" i="20"/>
  <c r="F144" i="20"/>
  <c r="E155" i="20"/>
  <c r="G155" i="20" s="1"/>
  <c r="E147" i="20"/>
  <c r="G147" i="20" s="1"/>
  <c r="F136" i="20"/>
  <c r="F181" i="20"/>
  <c r="E192" i="20"/>
  <c r="G192" i="20" s="1"/>
  <c r="G110" i="11"/>
  <c r="G160" i="11"/>
  <c r="E83" i="31"/>
  <c r="F83" i="31"/>
  <c r="G83" i="31" s="1"/>
  <c r="G84" i="31" s="1"/>
  <c r="G85" i="31" s="1"/>
  <c r="G86" i="31" s="1"/>
  <c r="G87" i="31" s="1"/>
  <c r="G88" i="31" s="1"/>
  <c r="G71" i="11"/>
  <c r="E42" i="13"/>
  <c r="G122" i="11"/>
  <c r="E103" i="31"/>
  <c r="F103" i="31"/>
  <c r="H55" i="12"/>
  <c r="I55" i="12"/>
  <c r="I158" i="12"/>
  <c r="H158" i="12"/>
  <c r="I131" i="12"/>
  <c r="H131" i="12"/>
  <c r="G58" i="11"/>
  <c r="E54" i="31"/>
  <c r="F54" i="31"/>
  <c r="G79" i="11"/>
  <c r="H94" i="12"/>
  <c r="I94" i="12"/>
  <c r="H125" i="12"/>
  <c r="I125" i="12"/>
  <c r="G115" i="11"/>
  <c r="H118" i="12"/>
  <c r="I118" i="12"/>
  <c r="I168" i="12"/>
  <c r="H168" i="12"/>
  <c r="G61" i="11"/>
  <c r="G130" i="11"/>
  <c r="G177" i="11"/>
  <c r="F56" i="31"/>
  <c r="E56" i="31"/>
  <c r="G147" i="11"/>
  <c r="E83" i="13"/>
  <c r="E87" i="13"/>
  <c r="G180" i="11"/>
  <c r="G100" i="11"/>
  <c r="I160" i="12"/>
  <c r="H160" i="12"/>
  <c r="K169" i="12" l="1"/>
  <c r="J170" i="12"/>
  <c r="G56" i="31"/>
  <c r="G57" i="31" s="1"/>
  <c r="G58" i="31" s="1"/>
  <c r="G67" i="20"/>
  <c r="G62" i="20"/>
  <c r="G154" i="20"/>
  <c r="G167" i="20"/>
  <c r="G186" i="20"/>
  <c r="I191" i="20"/>
  <c r="I193" i="20" s="1"/>
  <c r="G80" i="31"/>
  <c r="G81" i="31" s="1"/>
  <c r="G82" i="31" s="1"/>
  <c r="G198" i="20"/>
  <c r="J134" i="12"/>
  <c r="K133" i="12"/>
  <c r="G105" i="31"/>
  <c r="G106" i="31" s="1"/>
  <c r="G107" i="31" s="1"/>
  <c r="J86" i="12"/>
  <c r="K85" i="12"/>
  <c r="G138" i="20"/>
  <c r="J110" i="12"/>
  <c r="K109" i="12"/>
  <c r="G175" i="20"/>
  <c r="G90" i="31"/>
  <c r="G91" i="31" s="1"/>
  <c r="G92" i="31" s="1"/>
  <c r="G93" i="31" s="1"/>
  <c r="G94" i="31" s="1"/>
  <c r="G191" i="20"/>
  <c r="G203" i="20"/>
  <c r="J158" i="12"/>
  <c r="K157" i="12"/>
  <c r="G133" i="20"/>
  <c r="G61" i="31"/>
  <c r="G62" i="31" s="1"/>
  <c r="G63" i="31" s="1"/>
  <c r="G64" i="31" s="1"/>
  <c r="G190" i="20"/>
  <c r="K193" i="12"/>
  <c r="J182" i="12"/>
  <c r="K181" i="12"/>
  <c r="G115" i="20"/>
  <c r="G83" i="20"/>
  <c r="G143" i="20"/>
  <c r="G94" i="20"/>
  <c r="G89" i="20"/>
  <c r="G179" i="20"/>
  <c r="G102" i="20"/>
  <c r="G197" i="20"/>
  <c r="G97" i="31"/>
  <c r="G98" i="31" s="1"/>
  <c r="G99" i="31" s="1"/>
  <c r="G100" i="31" s="1"/>
  <c r="G81" i="20"/>
  <c r="G63" i="20"/>
  <c r="G141" i="20"/>
  <c r="G118" i="20"/>
  <c r="K145" i="12"/>
  <c r="J146" i="12"/>
  <c r="G76" i="20"/>
  <c r="G111" i="20"/>
  <c r="G128" i="20"/>
  <c r="G201" i="20"/>
  <c r="G101" i="20"/>
  <c r="G61" i="20"/>
  <c r="G176" i="20"/>
  <c r="G165" i="20"/>
  <c r="G97" i="20"/>
  <c r="G170" i="20"/>
  <c r="G120" i="20"/>
  <c r="G98" i="20"/>
  <c r="G135" i="20"/>
  <c r="G121" i="20"/>
  <c r="G129" i="20"/>
  <c r="K49" i="12"/>
  <c r="J50" i="12"/>
  <c r="K73" i="12"/>
  <c r="J74" i="12"/>
  <c r="G157" i="20"/>
  <c r="G151" i="20"/>
  <c r="G173" i="20"/>
  <c r="K121" i="12"/>
  <c r="J122" i="12"/>
  <c r="G74" i="20"/>
  <c r="G72" i="20"/>
  <c r="G105" i="20"/>
  <c r="G178" i="20"/>
  <c r="G148" i="20"/>
  <c r="K97" i="12"/>
  <c r="J98" i="12"/>
  <c r="G185" i="20"/>
  <c r="G169" i="20"/>
  <c r="G156" i="20"/>
  <c r="G202" i="20"/>
  <c r="G127" i="20"/>
  <c r="G164" i="20"/>
  <c r="G96" i="20"/>
  <c r="G193" i="20"/>
  <c r="G183" i="20"/>
  <c r="G172" i="20"/>
  <c r="G187" i="20"/>
  <c r="G150" i="20"/>
  <c r="G194" i="20"/>
  <c r="G159" i="20"/>
  <c r="H156" i="20"/>
  <c r="G78" i="20"/>
  <c r="G88" i="20"/>
  <c r="G108" i="20"/>
  <c r="J62" i="12"/>
  <c r="K61" i="12"/>
  <c r="G158" i="20"/>
  <c r="G66" i="31"/>
  <c r="G67" i="31" s="1"/>
  <c r="G68" i="31" s="1"/>
  <c r="G69" i="31" s="1"/>
  <c r="G70" i="31" s="1"/>
  <c r="G134" i="20"/>
  <c r="G79" i="20"/>
  <c r="G188" i="20"/>
  <c r="G119" i="20"/>
  <c r="G130" i="20"/>
  <c r="G112" i="20"/>
  <c r="G125" i="20"/>
  <c r="G91" i="20"/>
  <c r="G65" i="20"/>
  <c r="G80" i="20"/>
  <c r="K62" i="12" l="1"/>
  <c r="J63" i="12"/>
  <c r="K158" i="12"/>
  <c r="J159" i="12"/>
  <c r="J135" i="12"/>
  <c r="K134" i="12"/>
  <c r="K50" i="12"/>
  <c r="J51" i="12"/>
  <c r="K86" i="12"/>
  <c r="J87" i="12"/>
  <c r="J123" i="12"/>
  <c r="K122" i="12"/>
  <c r="J147" i="12"/>
  <c r="K146" i="12"/>
  <c r="K182" i="12"/>
  <c r="K194" i="12"/>
  <c r="J183" i="12"/>
  <c r="J111" i="12"/>
  <c r="K110" i="12"/>
  <c r="K170" i="12"/>
  <c r="J171" i="12"/>
  <c r="J99" i="12"/>
  <c r="K98" i="12"/>
  <c r="K74" i="12"/>
  <c r="J75" i="12"/>
  <c r="K51" i="12" l="1"/>
  <c r="J52" i="12"/>
  <c r="J160" i="12"/>
  <c r="K159" i="12"/>
  <c r="K99" i="12"/>
  <c r="J100" i="12"/>
  <c r="K63" i="12"/>
  <c r="J64" i="12"/>
  <c r="K123" i="12"/>
  <c r="J124" i="12"/>
  <c r="J112" i="12"/>
  <c r="K111" i="12"/>
  <c r="J88" i="12"/>
  <c r="K87" i="12"/>
  <c r="K75" i="12"/>
  <c r="J76" i="12"/>
  <c r="K171" i="12"/>
  <c r="J172" i="12"/>
  <c r="K183" i="12"/>
  <c r="K195" i="12"/>
  <c r="J184" i="12"/>
  <c r="J148" i="12"/>
  <c r="K147" i="12"/>
  <c r="J136" i="12"/>
  <c r="K135" i="12"/>
  <c r="K76" i="12" l="1"/>
  <c r="J77" i="12"/>
  <c r="K136" i="12"/>
  <c r="J137" i="12"/>
  <c r="K112" i="12"/>
  <c r="J113" i="12"/>
  <c r="J161" i="12"/>
  <c r="K160" i="12"/>
  <c r="J173" i="12"/>
  <c r="K172" i="12"/>
  <c r="K124" i="12"/>
  <c r="J125" i="12"/>
  <c r="J101" i="12"/>
  <c r="K100" i="12"/>
  <c r="J53" i="12"/>
  <c r="K52" i="12"/>
  <c r="J65" i="12"/>
  <c r="K64" i="12"/>
  <c r="K148" i="12"/>
  <c r="J149" i="12"/>
  <c r="J185" i="12"/>
  <c r="K196" i="12"/>
  <c r="K184" i="12"/>
  <c r="J89" i="12"/>
  <c r="K88" i="12"/>
  <c r="K137" i="12" l="1"/>
  <c r="J138" i="12"/>
  <c r="K89" i="12"/>
  <c r="J90" i="12"/>
  <c r="J54" i="12"/>
  <c r="K53" i="12"/>
  <c r="K125" i="12"/>
  <c r="J126" i="12"/>
  <c r="J114" i="12"/>
  <c r="K113" i="12"/>
  <c r="J78" i="12"/>
  <c r="K77" i="12"/>
  <c r="J150" i="12"/>
  <c r="K149" i="12"/>
  <c r="K161" i="12"/>
  <c r="J162" i="12"/>
  <c r="K185" i="12"/>
  <c r="K197" i="12"/>
  <c r="J186" i="12"/>
  <c r="J66" i="12"/>
  <c r="K65" i="12"/>
  <c r="J102" i="12"/>
  <c r="K101" i="12"/>
  <c r="K173" i="12"/>
  <c r="J174" i="12"/>
  <c r="K90" i="12" l="1"/>
  <c r="J91" i="12"/>
  <c r="J79" i="12"/>
  <c r="K78" i="12"/>
  <c r="J67" i="12"/>
  <c r="K66" i="12"/>
  <c r="K126" i="12"/>
  <c r="J127" i="12"/>
  <c r="K138" i="12"/>
  <c r="J139" i="12"/>
  <c r="K162" i="12"/>
  <c r="J163" i="12"/>
  <c r="J187" i="12"/>
  <c r="K186" i="12"/>
  <c r="K198" i="12"/>
  <c r="J103" i="12"/>
  <c r="K102" i="12"/>
  <c r="J175" i="12"/>
  <c r="K174" i="12"/>
  <c r="K150" i="12"/>
  <c r="J151" i="12"/>
  <c r="J115" i="12"/>
  <c r="K114" i="12"/>
  <c r="J55" i="12"/>
  <c r="K54" i="12"/>
  <c r="J164" i="12" l="1"/>
  <c r="K163" i="12"/>
  <c r="K127" i="12"/>
  <c r="J128" i="12"/>
  <c r="J56" i="12"/>
  <c r="K55" i="12"/>
  <c r="J80" i="12"/>
  <c r="K79" i="12"/>
  <c r="K175" i="12"/>
  <c r="J176" i="12"/>
  <c r="K91" i="12"/>
  <c r="J92" i="12"/>
  <c r="K103" i="12"/>
  <c r="J104" i="12"/>
  <c r="J116" i="12"/>
  <c r="K115" i="12"/>
  <c r="K139" i="12"/>
  <c r="J140" i="12"/>
  <c r="K151" i="12"/>
  <c r="J152" i="12"/>
  <c r="K187" i="12"/>
  <c r="J188" i="12"/>
  <c r="K199" i="12"/>
  <c r="J68" i="12"/>
  <c r="K67" i="12"/>
  <c r="J69" i="12" l="1"/>
  <c r="K68" i="12"/>
  <c r="K128" i="12"/>
  <c r="J129" i="12"/>
  <c r="J81" i="12"/>
  <c r="K80" i="12"/>
  <c r="J93" i="12"/>
  <c r="K92" i="12"/>
  <c r="J117" i="12"/>
  <c r="K116" i="12"/>
  <c r="K140" i="12"/>
  <c r="J141" i="12"/>
  <c r="K176" i="12"/>
  <c r="J177" i="12"/>
  <c r="J153" i="12"/>
  <c r="K152" i="12"/>
  <c r="K200" i="12"/>
  <c r="J189" i="12"/>
  <c r="K188" i="12"/>
  <c r="K104" i="12"/>
  <c r="J105" i="12"/>
  <c r="J57" i="12"/>
  <c r="K56" i="12"/>
  <c r="J165" i="12"/>
  <c r="K164" i="12"/>
  <c r="K165" i="12" l="1"/>
  <c r="J166" i="12"/>
  <c r="J130" i="12"/>
  <c r="K129" i="12"/>
  <c r="J94" i="12"/>
  <c r="K93" i="12"/>
  <c r="K189" i="12"/>
  <c r="K201" i="12"/>
  <c r="J190" i="12"/>
  <c r="K141" i="12"/>
  <c r="J142" i="12"/>
  <c r="J154" i="12"/>
  <c r="K153" i="12"/>
  <c r="J58" i="12"/>
  <c r="K57" i="12"/>
  <c r="J178" i="12"/>
  <c r="K177" i="12"/>
  <c r="J106" i="12"/>
  <c r="K105" i="12"/>
  <c r="J118" i="12"/>
  <c r="K117" i="12"/>
  <c r="K81" i="12"/>
  <c r="J82" i="12"/>
  <c r="J70" i="12"/>
  <c r="K69" i="12"/>
  <c r="J179" i="12" l="1"/>
  <c r="K178" i="12"/>
  <c r="K130" i="12"/>
  <c r="J131" i="12"/>
  <c r="J119" i="12"/>
  <c r="K118" i="12"/>
  <c r="J83" i="12"/>
  <c r="K82" i="12"/>
  <c r="J143" i="12"/>
  <c r="K142" i="12"/>
  <c r="J107" i="12"/>
  <c r="K106" i="12"/>
  <c r="K58" i="12"/>
  <c r="J59" i="12"/>
  <c r="K166" i="12"/>
  <c r="J167" i="12"/>
  <c r="K70" i="12"/>
  <c r="J71" i="12"/>
  <c r="J155" i="12"/>
  <c r="K154" i="12"/>
  <c r="K202" i="12"/>
  <c r="J191" i="12"/>
  <c r="K190" i="12"/>
  <c r="J95" i="12"/>
  <c r="K94" i="12"/>
  <c r="J132" i="12" l="1"/>
  <c r="K131" i="12"/>
  <c r="J84" i="12"/>
  <c r="K84" i="12" s="1"/>
  <c r="K83" i="12"/>
  <c r="J96" i="12"/>
  <c r="K95" i="12"/>
  <c r="K167" i="12"/>
  <c r="J168" i="12"/>
  <c r="K168" i="12" s="1"/>
  <c r="J156" i="12"/>
  <c r="K155" i="12"/>
  <c r="J108" i="12"/>
  <c r="K108" i="12" s="1"/>
  <c r="K107" i="12"/>
  <c r="J72" i="12"/>
  <c r="K72" i="12" s="1"/>
  <c r="K71" i="12"/>
  <c r="J60" i="12"/>
  <c r="K60" i="12" s="1"/>
  <c r="K59" i="12"/>
  <c r="K191" i="12"/>
  <c r="K203" i="12"/>
  <c r="J192" i="12"/>
  <c r="J144" i="12"/>
  <c r="K144" i="12" s="1"/>
  <c r="K143" i="12"/>
  <c r="J120" i="12"/>
  <c r="K119" i="12"/>
  <c r="K179" i="12"/>
  <c r="J180" i="12"/>
  <c r="K180" i="12" s="1"/>
  <c r="K192" i="12" l="1"/>
  <c r="K204" i="12"/>
  <c r="K120" i="12"/>
  <c r="K156" i="12"/>
  <c r="K96" i="12"/>
  <c r="K132" i="12"/>
</calcChain>
</file>

<file path=xl/sharedStrings.xml><?xml version="1.0" encoding="utf-8"?>
<sst xmlns="http://schemas.openxmlformats.org/spreadsheetml/2006/main" count="9828" uniqueCount="1354">
  <si>
    <t>Créditos KFW, Ley N° 7132 Programa de Agua Potable y Saneamiento Básico Rural II</t>
  </si>
  <si>
    <t>-</t>
  </si>
  <si>
    <t>Financiamiento</t>
  </si>
  <si>
    <t>I3212030000693</t>
  </si>
  <si>
    <t>Cred EXIMBANK Ley 9293Proyecto Rehabilitación y Ampliación de la Ruta Nacional N°
32, Tramo: Ruta N° 4 - Limón</t>
  </si>
  <si>
    <t>I3212002000512</t>
  </si>
  <si>
    <t>I3212001000511</t>
  </si>
  <si>
    <t>Crédito Corporación Andina De Fomento, Ley N° 8844 Proyecto Bajos de Chilamate - Vuelta Kooper</t>
  </si>
  <si>
    <t>I3211090200660</t>
  </si>
  <si>
    <t>Crédito Banco Japonés de Cooperación Internacional CR-P4, Ley N° 8559 Proyecto de Mejoramiento del Medio Ambiente del Area Metropolitana de San José</t>
  </si>
  <si>
    <t>I3211090100650</t>
  </si>
  <si>
    <t>Crédifo BIRF N° 8194-CR para el Proyecto de Mejoramiento de la Educación Superior</t>
  </si>
  <si>
    <t>Banco Mundial</t>
  </si>
  <si>
    <t>I3211030700538</t>
  </si>
  <si>
    <t>Crédito BIRF 7594-CR Opción de Desembolsos Diferido Ante el Riesgo de Catástrofes (CAT-DDO)</t>
  </si>
  <si>
    <t>I3211030500535</t>
  </si>
  <si>
    <t>Crédito BIRF 8593-CR, Ley No 9396, Programa por Resultados para el Fortalecimiento del Seguro Universal de Salud en Costa Rica</t>
  </si>
  <si>
    <t>I3211030200514</t>
  </si>
  <si>
    <t>Crédito BID N°3488/OC-CR-Programa de Integración Fronteriza (PIF) Ley N°9451</t>
  </si>
  <si>
    <t>Banco Interamericano de Desarrollo</t>
  </si>
  <si>
    <t>No encontrado</t>
  </si>
  <si>
    <t>I3211022200515</t>
  </si>
  <si>
    <t>Crédito BID N° 3072/CH-CR-Programa de Infraestructura de Transporte (PIT) Ley N° 9283</t>
  </si>
  <si>
    <t>I3211022100510</t>
  </si>
  <si>
    <t>Crédito BID N° 3071/OC-CR-Programa de Infraestructura de Transporte (PIT) Ley N° 9283</t>
  </si>
  <si>
    <t>I3211022000509</t>
  </si>
  <si>
    <t>Crédito BID Nº 2852/OC-CR-Programa de Innovación y Capital Humano para la Competitividad, Ley N° 9218</t>
  </si>
  <si>
    <t>I3211021900508</t>
  </si>
  <si>
    <t>Crédito BID 2526/OC-CR, Ley N° 9025 Programa para la Prevención de la Violencia y Promoción de la Inclusión Social}</t>
  </si>
  <si>
    <t>I3211021800507</t>
  </si>
  <si>
    <t>Credito BID 1824/OC-CR, Ley N° 8967 Programa de turismo en Áreas Silvestres Protegidas y su Contrato Modificatorio</t>
  </si>
  <si>
    <t>I3211021700506</t>
  </si>
  <si>
    <t>Crédito BID 2098/-OC-CR, Ley N° 8982 Programa Red Vial Cantonal (PIV1)</t>
  </si>
  <si>
    <t>I3211021600505</t>
  </si>
  <si>
    <t xml:space="preserve">Crédito BID 2007/-OC-CR, Ley N° 8845 Programa de Infraestructura Vial (PIVI) </t>
  </si>
  <si>
    <t>I3211021500504</t>
  </si>
  <si>
    <t>Crédito BID 1556/OC-CR. Programa de Desarrollo Sostenible de la Cuenca del Río Sixaola</t>
  </si>
  <si>
    <t>I3211021400503</t>
  </si>
  <si>
    <t>Crédito BCIE-2157, Ley 9327 Proyecto de Mercado Regional Mayorista de la Región Chorotega</t>
  </si>
  <si>
    <t>I3211010500513</t>
  </si>
  <si>
    <t>Crédito BCIE 1709, Ley N° 8685 Programa de Gestión Integrada de Recursos Hídricos</t>
  </si>
  <si>
    <t>I3211010400453</t>
  </si>
  <si>
    <t>Títulos valores de deuda interna (largo plazo)</t>
  </si>
  <si>
    <t>I3131020000280</t>
  </si>
  <si>
    <t>Títulos valores de deuda interna (Caja Única)</t>
  </si>
  <si>
    <t>I3131010000282</t>
  </si>
  <si>
    <t>Títulos valores de deuda interna (Deuda Política)</t>
  </si>
  <si>
    <t>I3131010000281</t>
  </si>
  <si>
    <t>Títulos valores de deuda interna (corto plazo)</t>
  </si>
  <si>
    <t>I3131010000280</t>
  </si>
  <si>
    <t>Dirección Nacional de Centros de Educación y Nutri ción y de Centros Infantiles de Atención Integral (Dirección de CEN-CINAI)</t>
  </si>
  <si>
    <t>Dirección Nacional de Centros de Educación y Nutrición y de Centros Infantiles de Atención Integral (Dirección de CEN-CINAI)</t>
  </si>
  <si>
    <t>I2412140000060</t>
  </si>
  <si>
    <t>Museo de Arte Costarricense</t>
  </si>
  <si>
    <t>I2412110000060</t>
  </si>
  <si>
    <t>Ingresos corrientes</t>
  </si>
  <si>
    <t>Donación República de Corea Iniciativa de Cooperación entre Corea y América Latina para la Alimentación y la Agricultura (KOLFACI)</t>
  </si>
  <si>
    <t>I1432040000001</t>
  </si>
  <si>
    <t>Transferencias corrientes de Instituciones Públicas Financieras</t>
  </si>
  <si>
    <t>Instituto de Fomento Cooperativo</t>
  </si>
  <si>
    <t>I1416010600001</t>
  </si>
  <si>
    <t>Instituto Nacional de Vivienda y Urbanismo</t>
  </si>
  <si>
    <t>I1416010400001</t>
  </si>
  <si>
    <t>Banco Nacional de Costa Rica</t>
  </si>
  <si>
    <t>I1416010300001</t>
  </si>
  <si>
    <t>Banco Crédito Agrícola de Cartago</t>
  </si>
  <si>
    <t>I1416010200001</t>
  </si>
  <si>
    <t>Banco de Costa Rica</t>
  </si>
  <si>
    <t>I1416010100001</t>
  </si>
  <si>
    <t>Instituto Costarricense de Ferrocarriles</t>
  </si>
  <si>
    <t>I1415010600001</t>
  </si>
  <si>
    <t>Consejo Nacional de Producción</t>
  </si>
  <si>
    <t>I1415010500001</t>
  </si>
  <si>
    <t>Junta Adm. Portuaria y de Administración de la Ver</t>
  </si>
  <si>
    <t>I1415010400001</t>
  </si>
  <si>
    <t>Instituto Costarricense de Puertos del Pacífico</t>
  </si>
  <si>
    <t>I1415010300001</t>
  </si>
  <si>
    <t>Instituto Costarricense de Electricidad</t>
  </si>
  <si>
    <t>I1415010200001</t>
  </si>
  <si>
    <t>Instituto Costarricense de Acueductos y Alcantaril</t>
  </si>
  <si>
    <t>I1415010100001</t>
  </si>
  <si>
    <t>Transferencias corrientes de Gobiernos Locales</t>
  </si>
  <si>
    <t>Transferencias de Municipalidades Ley Nº 7729</t>
  </si>
  <si>
    <t>I1414010000001</t>
  </si>
  <si>
    <t>Instituto de Desarrollo Rural Ley N° 5792 Art. 5</t>
  </si>
  <si>
    <t>I1413060000001</t>
  </si>
  <si>
    <t>Instituto Nacional de Estadística y Censos Ley Nº 7839 artículo 13 -Convenio BCCR-INEC-MH para Estudio Económico a Empresas</t>
  </si>
  <si>
    <t>I1413040000001</t>
  </si>
  <si>
    <t>Junta de Desarrollo de la Zona Sur. Ley Nº 7730</t>
  </si>
  <si>
    <t>I1413030000001</t>
  </si>
  <si>
    <t>Instituto Nacional de Aprendizaje Ley Nº 7272</t>
  </si>
  <si>
    <t>I1413020000001</t>
  </si>
  <si>
    <t>Instituto Nacional de Fomento y Asesoría Municipal</t>
  </si>
  <si>
    <t>I1413011300001</t>
  </si>
  <si>
    <t>Instituto Nacional de Aprendizaje</t>
  </si>
  <si>
    <t>I1413011200001</t>
  </si>
  <si>
    <t>Instituto Nacional de Pesca y Acuicultura</t>
  </si>
  <si>
    <t>I1413011100001</t>
  </si>
  <si>
    <t>Autoridad Reguladora de Servicios Públicos</t>
  </si>
  <si>
    <t>I1413011000001</t>
  </si>
  <si>
    <t>Servicio Nacional de Aguas Subterraneas, Riego y Avenamiento</t>
  </si>
  <si>
    <t>I1413010900001</t>
  </si>
  <si>
    <t>Instituto de Desarrollo Rural</t>
  </si>
  <si>
    <t>I1413010700001</t>
  </si>
  <si>
    <t>Patronato Nacional de la Infancia</t>
  </si>
  <si>
    <t>I1413010600001</t>
  </si>
  <si>
    <t>Instituto Nacional de la Mujer</t>
  </si>
  <si>
    <t>I1413010500001</t>
  </si>
  <si>
    <t>Instituto Nacional de Estadísticas y Censos</t>
  </si>
  <si>
    <t>I1413010400001</t>
  </si>
  <si>
    <t>Instituto Costarricense de Turismo</t>
  </si>
  <si>
    <t>I1413010300001</t>
  </si>
  <si>
    <t>Junta Administrativa Colegio San Luis Gonzaga</t>
  </si>
  <si>
    <t>I1413010200001</t>
  </si>
  <si>
    <t>Consejo Nacional de Investigaciones Científicas y</t>
  </si>
  <si>
    <t>I1413010100001</t>
  </si>
  <si>
    <t>Transferencias corrientes de Órganos Desconcentrados</t>
  </si>
  <si>
    <t>Consejo Técnico de Aviación Civil Ley No. 5222</t>
  </si>
  <si>
    <t>I1412060000001</t>
  </si>
  <si>
    <t>Comisión Nacional de Emergencias Ley No. 8933</t>
  </si>
  <si>
    <t>I1412050000001</t>
  </si>
  <si>
    <t>Junta Administrativa del Registro Nacional, Ley Nº 7138</t>
  </si>
  <si>
    <t>I1412020000001</t>
  </si>
  <si>
    <t>Fodesaf-Mi primer Empleo</t>
  </si>
  <si>
    <t>I1412011500001</t>
  </si>
  <si>
    <t>Fodesaf-Desaf-Ley 8783</t>
  </si>
  <si>
    <t>I1412010900001</t>
  </si>
  <si>
    <t>Fodesaf-IMAS-Mujeres Jefes de Hogar Ley LEY N° 4760, CAPITULO IV, ARTÍCULO 14, INCISO B DEL 5/4/1971</t>
  </si>
  <si>
    <t>I1412010800001</t>
  </si>
  <si>
    <t>Fodesaf-MEP-Programa Avancemos SEGÚN LEY N° 4760 DEL 04/05/1971 Y SUS REFORMAS</t>
  </si>
  <si>
    <t>I1412010700001</t>
  </si>
  <si>
    <t>Fodesaf-MEP-Comedores escolares Juntas de Educación Y Administrativas ARTÍCULO Nº 78 DE LA CONSTITUCIÓN POLÍTICA</t>
  </si>
  <si>
    <t>I1412010600001</t>
  </si>
  <si>
    <t>Fodesaf-Pensiones Régimen No Contributivo</t>
  </si>
  <si>
    <t>I1412010500001</t>
  </si>
  <si>
    <t>Fodesaf-Pronamype</t>
  </si>
  <si>
    <t>I1412010400001</t>
  </si>
  <si>
    <t>Fodesaf-Pronae-Ministerio de Trabajo</t>
  </si>
  <si>
    <t>I1412010300001</t>
  </si>
  <si>
    <t>Fodesaf - Ministerio Educación Pública Ley 8783 artículo 3 inciso e)</t>
  </si>
  <si>
    <t>I1412010100001</t>
  </si>
  <si>
    <t>Ingresos varios no especificados</t>
  </si>
  <si>
    <t>I1399000000001</t>
  </si>
  <si>
    <t>Reintegros en efectivo</t>
  </si>
  <si>
    <t>I1391000000001</t>
  </si>
  <si>
    <t>Intereses Moratorios</t>
  </si>
  <si>
    <t>Intereses Moratorios por atraso en pago de impuestos</t>
  </si>
  <si>
    <t>I1341000000001</t>
  </si>
  <si>
    <t>Remates y confiscaciones</t>
  </si>
  <si>
    <t>Remates.</t>
  </si>
  <si>
    <t>I1332010100001</t>
  </si>
  <si>
    <t>Multas Varias</t>
  </si>
  <si>
    <t>Otras multas</t>
  </si>
  <si>
    <t>I1331090900001</t>
  </si>
  <si>
    <t>Multas artículo 36 ley N°9028 productos del tabaco</t>
  </si>
  <si>
    <t>I1331090600001</t>
  </si>
  <si>
    <t>Multas ley 8246 Código de Miniería</t>
  </si>
  <si>
    <t>I1331090500001</t>
  </si>
  <si>
    <t>Infracciones a las Leyes Laborales</t>
  </si>
  <si>
    <t>I1331090400001</t>
  </si>
  <si>
    <t>Multas por incumplimiento</t>
  </si>
  <si>
    <t>I1331090300001</t>
  </si>
  <si>
    <t>1% Ley Protección al Consumidor</t>
  </si>
  <si>
    <t>I1331090200001</t>
  </si>
  <si>
    <t>Ejecución garantías de cumplimiento y participación</t>
  </si>
  <si>
    <t>I1331040200001</t>
  </si>
  <si>
    <t>Sanciones Administrativas y Otros (Ley 7092)</t>
  </si>
  <si>
    <t>I1331040100001</t>
  </si>
  <si>
    <t>Impuestos Aduanas</t>
  </si>
  <si>
    <t>Multas por atraso en pago de impuestos</t>
  </si>
  <si>
    <t>I1331020200001</t>
  </si>
  <si>
    <t>Impuestos Internos</t>
  </si>
  <si>
    <t>I1331020100001</t>
  </si>
  <si>
    <t>Multas de tránsito</t>
  </si>
  <si>
    <t>I1331010000001</t>
  </si>
  <si>
    <t>Intereses sobre cuentas corrientes y otros depósitos en Bancos Estatales</t>
  </si>
  <si>
    <t>I1323030100001</t>
  </si>
  <si>
    <t>25% utilidades del INS (artículo 52 Ley N° 8653 de</t>
  </si>
  <si>
    <t>I1321030000001</t>
  </si>
  <si>
    <t>Derechos de Inscripción de Gestión de Residuos Ley 8839</t>
  </si>
  <si>
    <t>Derechos administrativos a actividades comerciales</t>
  </si>
  <si>
    <t>I1313020350001</t>
  </si>
  <si>
    <t>Concesión de Explotación minera ley No. 8246</t>
  </si>
  <si>
    <t>I1313020340001</t>
  </si>
  <si>
    <t>Frecuencias de radio, Ley Nº 1758</t>
  </si>
  <si>
    <t>I1313020320001</t>
  </si>
  <si>
    <t>Radio y televisión, Ley Nº 1758.</t>
  </si>
  <si>
    <t>I1313020310001</t>
  </si>
  <si>
    <t>Canon ambiental por vertidos</t>
  </si>
  <si>
    <t>I1313020140001</t>
  </si>
  <si>
    <t>Canon por aprovechamiento de aguas</t>
  </si>
  <si>
    <t>I1313020130001</t>
  </si>
  <si>
    <t>Derechos administrativos a los servicios de transporte portuario</t>
  </si>
  <si>
    <t>Canon por certificados de navegabilidad Art. 31. Ley Nº 8000</t>
  </si>
  <si>
    <t>I1313010340001</t>
  </si>
  <si>
    <t>Derechos de zarpe embarcaciones extranjeras Art.32 Ley Nº 8000</t>
  </si>
  <si>
    <t>I1313010330001</t>
  </si>
  <si>
    <t>Derechos de Inscripción Registro Naval Art. 33 Ley Nº 8000</t>
  </si>
  <si>
    <t>I1313010320001</t>
  </si>
  <si>
    <t>Revisión de barcos por Capitanía de Puertos Resol. Nº 40</t>
  </si>
  <si>
    <t>I1313010310001</t>
  </si>
  <si>
    <t>Derechos administrativos a los servicios de transporte por carretera</t>
  </si>
  <si>
    <t>Canon Consejo de Transporte Público Ley Nº 7969</t>
  </si>
  <si>
    <t>I1313010120001</t>
  </si>
  <si>
    <t>Venta de Servicio de Consulta de datos del TSE</t>
  </si>
  <si>
    <t>I1312090940001</t>
  </si>
  <si>
    <t>Honorarios por Servicios de Defensa Civil de la Víctima</t>
  </si>
  <si>
    <t>I1312090930001</t>
  </si>
  <si>
    <t>Servicios de publicidad e impresión</t>
  </si>
  <si>
    <t>I1312090610001</t>
  </si>
  <si>
    <t>Servicios Ambientales SETENA Ley 7554</t>
  </si>
  <si>
    <t>I1312090220001</t>
  </si>
  <si>
    <t>Venta Servicios Metrológicos MEIC Ley Nº 8279</t>
  </si>
  <si>
    <t>I1312090210001</t>
  </si>
  <si>
    <t>Alquileres de Edificios</t>
  </si>
  <si>
    <t>I1312040110001</t>
  </si>
  <si>
    <t>Servicios tributarios ley N°9355</t>
  </si>
  <si>
    <t>I1312030402001</t>
  </si>
  <si>
    <t>Servicio de Recaudación Tesorería Nacional</t>
  </si>
  <si>
    <t>I1312030401001</t>
  </si>
  <si>
    <t>Servicios financieros</t>
  </si>
  <si>
    <t>Costo de Transferencia Switf</t>
  </si>
  <si>
    <t>I1312030101001</t>
  </si>
  <si>
    <t>Contribución Especial Solidaria Ley 9383</t>
  </si>
  <si>
    <t>I1213030200001</t>
  </si>
  <si>
    <t>Deducción sueldos para pensionados Ley Nº 7302</t>
  </si>
  <si>
    <t>I1213030100001</t>
  </si>
  <si>
    <t>Contribuciones Magisterio Nacional-Pensionados Ley Nº 7531</t>
  </si>
  <si>
    <t>I1213020100001</t>
  </si>
  <si>
    <t>Contribuciones al Magisterio Nacional -Activos Ley Nº 7531</t>
  </si>
  <si>
    <t>I1213010100001</t>
  </si>
  <si>
    <t>Otros ingresos tributarios</t>
  </si>
  <si>
    <t>Ingresos tributarios</t>
  </si>
  <si>
    <t>Papel Sellado Ley Nº 7345</t>
  </si>
  <si>
    <t>I1199010000001</t>
  </si>
  <si>
    <t>Timbre Fiscal Ley Nº 7208</t>
  </si>
  <si>
    <t>I1191010000001</t>
  </si>
  <si>
    <t>Otros impuestos sobre el comercio exterior y las transacciones internacionales</t>
  </si>
  <si>
    <t>Impuestos sobre el comercio exterior y las transacciones internacionales</t>
  </si>
  <si>
    <t>Impuesto General Forestal Ley 7575</t>
  </si>
  <si>
    <t>I1143090200001</t>
  </si>
  <si>
    <t>Otros impuestos de la Ley de Migración y Extranjería Ley N° 8764</t>
  </si>
  <si>
    <t>I1143090130001</t>
  </si>
  <si>
    <t>Fondo Especial de Migración Ley No. 8764</t>
  </si>
  <si>
    <t>I1143090120001</t>
  </si>
  <si>
    <t>Fondo Social Migratorio Art. 241 Ley N° 8764</t>
  </si>
  <si>
    <t>I1143090110001</t>
  </si>
  <si>
    <t>Derechos consulares</t>
  </si>
  <si>
    <t>Derechos consulares Ley Nº 7293</t>
  </si>
  <si>
    <t>I1143040100001</t>
  </si>
  <si>
    <t>Derechos de salida del Territorio Nacional por vía terrestre Ley N° 9154</t>
  </si>
  <si>
    <t>I1143030200001</t>
  </si>
  <si>
    <t>Derechos de salida del Territorio Nacional Ley. Nº 8316</t>
  </si>
  <si>
    <t>I1143030100001</t>
  </si>
  <si>
    <t>Impuestos a las exportaciones</t>
  </si>
  <si>
    <t>Impuestos a las exportaciones por vía terrestre Ley N° 9154</t>
  </si>
  <si>
    <t>I1142090200001</t>
  </si>
  <si>
    <t>¢1.5 por caja de banano exportada Ley Nº 7147</t>
  </si>
  <si>
    <t>I1142090100001</t>
  </si>
  <si>
    <t>Derechos sobre exportación de banano. Ley Nº 7313</t>
  </si>
  <si>
    <t>I1142010100001</t>
  </si>
  <si>
    <t>Impuestos sobre el valor aduanero de las mercancías</t>
  </si>
  <si>
    <t>Impuestos a las importaciones</t>
  </si>
  <si>
    <t>1% sobre el valor aduanero de las mercancías Ley Nº 7292 y sus Reformas</t>
  </si>
  <si>
    <t>I1141020100001</t>
  </si>
  <si>
    <t>Arancel de aduanas</t>
  </si>
  <si>
    <t>Derechos de importación de mercancías</t>
  </si>
  <si>
    <t>Arancel de Aduanas Ley Nº 7417</t>
  </si>
  <si>
    <t>I1141010100001</t>
  </si>
  <si>
    <t>Impuestos específicos a los servicios de diversión y esparcimiento</t>
  </si>
  <si>
    <t>Impuestos específicos sobre la producción y consumo de servicios</t>
  </si>
  <si>
    <t xml:space="preserve">Impuestos específicos sobre la producción y consumo de bienes y servicios </t>
  </si>
  <si>
    <t>Impuestos sobre bienes y servicios</t>
  </si>
  <si>
    <t>Impuesto sobre empresas de enlace de llamadas de apuestas electrónicas Ley N°9050</t>
  </si>
  <si>
    <t>I1132020320001</t>
  </si>
  <si>
    <t>Impuesto a casinos y salas de juego autorizadas Ley Nº 9050</t>
  </si>
  <si>
    <t>I1132020310001</t>
  </si>
  <si>
    <t>Impuesto productos de tabaco Ley N° 9028</t>
  </si>
  <si>
    <t>Impuestos específicos sobre la producción y consumo de bienes</t>
  </si>
  <si>
    <t>Impuesto a los Productos de Tabaco Aduanas</t>
  </si>
  <si>
    <t>I1132010452001</t>
  </si>
  <si>
    <t>Interno</t>
  </si>
  <si>
    <t>Impuesto a los Productos de Tabaco Internos</t>
  </si>
  <si>
    <t>I1132010451001</t>
  </si>
  <si>
    <t>Impuesto al cemento</t>
  </si>
  <si>
    <t>Impuesto cemento</t>
  </si>
  <si>
    <t>I1132010440001</t>
  </si>
  <si>
    <t>Importaciones</t>
  </si>
  <si>
    <t>Impuesto sobre el jabón de tocador Ley N° 8114</t>
  </si>
  <si>
    <t>I1132010431001</t>
  </si>
  <si>
    <t>Impuestos sobre bebidas envasadas sin contenido alcohólico</t>
  </si>
  <si>
    <t>I1132010422001</t>
  </si>
  <si>
    <t>I1132010421001</t>
  </si>
  <si>
    <t>Impuestos sobre bebidas alcohólicas Ley N° 7972</t>
  </si>
  <si>
    <t>I1132010412001</t>
  </si>
  <si>
    <t>I1132010411001</t>
  </si>
  <si>
    <t>Impuesto único a los combustibles Ley N° 8114</t>
  </si>
  <si>
    <t>I1132010312001</t>
  </si>
  <si>
    <t>I1132010311001</t>
  </si>
  <si>
    <t>Impuesto selectivo de consumo de bienes importados</t>
  </si>
  <si>
    <t>Impuesto selectivo de consumo</t>
  </si>
  <si>
    <t>Impuesto general sobre ventas y consumo</t>
  </si>
  <si>
    <t>Impuesto selectivo de consumo de bienes importados Ley Nº 7293</t>
  </si>
  <si>
    <t>I1131020200001</t>
  </si>
  <si>
    <t>Impuesto selectivo de consumo de bienes internos</t>
  </si>
  <si>
    <t>Impuesto selectivo de consumo de bienes internos Ley Nº7293</t>
  </si>
  <si>
    <t>I1131020100001</t>
  </si>
  <si>
    <t>Impuesto sobre la venta de bienes y servicios importados</t>
  </si>
  <si>
    <t>Impuesto general sobre las ventas</t>
  </si>
  <si>
    <t>Impuesto sobre las ventas de bienes y servicios importados Ley Nº 7543</t>
  </si>
  <si>
    <t>I1131010200001</t>
  </si>
  <si>
    <t>Impuesto sobre la venta de bienes y servicios internos</t>
  </si>
  <si>
    <t>Impuesto sobre las ventas de bienes y servicios internos Ley Nº 7543</t>
  </si>
  <si>
    <t>I1131010100001</t>
  </si>
  <si>
    <t xml:space="preserve">Impuestos sobre el traspaso de vehículos, aeronaves y embarcaciones </t>
  </si>
  <si>
    <t>Impuestos sobre la propiedad</t>
  </si>
  <si>
    <t>Impuesto de Traspaso de Vehículos Usados LeyNº7088</t>
  </si>
  <si>
    <t>I1125010000001</t>
  </si>
  <si>
    <t>Impuestos sobre el traspaso de bienes inmuebles</t>
  </si>
  <si>
    <t>Impuesto de traspaso de bienes inmuebles LeyNº7088</t>
  </si>
  <si>
    <t>I1124010000001</t>
  </si>
  <si>
    <t>Impuesto a las Personas Jurídicas Ley 9428</t>
  </si>
  <si>
    <t>Impuestos sobre el patrimonio</t>
  </si>
  <si>
    <t>I1123030000001</t>
  </si>
  <si>
    <t>Incremento Timbre de Educación y Cultura Ley N° 68</t>
  </si>
  <si>
    <t>I1123010000001</t>
  </si>
  <si>
    <t>Timbre Fauna Silvestre Ley N°7317</t>
  </si>
  <si>
    <t>Impuesto sobre la propiedad de vehículos, aeronaves y embarcaciones</t>
  </si>
  <si>
    <t>Timbre de Fauna Silvestre Ley Nº 7317</t>
  </si>
  <si>
    <t>I1122020000001</t>
  </si>
  <si>
    <t>Impuesto a la propiedad de vehículos Ley N°7088</t>
  </si>
  <si>
    <t>Impuesto sobre la propiedad de vehículos, aeronaves y embarcaciones Ley N. 7088</t>
  </si>
  <si>
    <t>I1122010000001</t>
  </si>
  <si>
    <t>Impuesto sobre la propiedad de bienes inmuebles</t>
  </si>
  <si>
    <t>Impuesto Solidario para el Fortalecimiento de Programas de Vivienda Ley 8683</t>
  </si>
  <si>
    <t>I1121010000001</t>
  </si>
  <si>
    <t>Impuestos a los ingresos y utilidades</t>
  </si>
  <si>
    <t>Impuesto especial sobre bancos y entidades financieras no domiciliadas Ley 8114</t>
  </si>
  <si>
    <t>I1115010100001</t>
  </si>
  <si>
    <t>Impuesto sobre remesas al exterior</t>
  </si>
  <si>
    <t>I1114010000001</t>
  </si>
  <si>
    <t>Impuestos sobre los intereses de títulos valores</t>
  </si>
  <si>
    <t>Del Sector Privado</t>
  </si>
  <si>
    <t>I1113020200001</t>
  </si>
  <si>
    <t>Del Sector Público</t>
  </si>
  <si>
    <t>I1113020100001</t>
  </si>
  <si>
    <t>Impuesto sobre dividendos</t>
  </si>
  <si>
    <t>I1113010200001</t>
  </si>
  <si>
    <t>I1113010100001</t>
  </si>
  <si>
    <t>Impuestos sobre los ingresos y utilidades de personas jurídicas</t>
  </si>
  <si>
    <t>Impuesto sobre los ingresos y utilidades de las personas jurídicas del Sector Privado</t>
  </si>
  <si>
    <t>I1112020000001</t>
  </si>
  <si>
    <t>Impuesto sobre los ingresos y utilidades de las personas jurídicas del Sector Público</t>
  </si>
  <si>
    <t>I1112010000001</t>
  </si>
  <si>
    <t>Impuestos sobre los ingresos y utilidades de personas físicas</t>
  </si>
  <si>
    <t>Impuesto sobre los ingresos y utilidades de personas físicas</t>
  </si>
  <si>
    <t>I1111030100001</t>
  </si>
  <si>
    <t>Impuesto sobre salarios, jubilaciones, pensiones y otros pagos laborales del Sector Privado</t>
  </si>
  <si>
    <t>I1111020100001</t>
  </si>
  <si>
    <t>Impuesto sobre salarios, jubilaciones, pensiones y otros pagos laborales del Sector Público</t>
  </si>
  <si>
    <t>I1111010100001</t>
  </si>
  <si>
    <t>I3321010000923</t>
  </si>
  <si>
    <t>I2412130000060</t>
  </si>
  <si>
    <t>I2412120000060</t>
  </si>
  <si>
    <t>I2412100000060</t>
  </si>
  <si>
    <t>I2412090000060</t>
  </si>
  <si>
    <t>I2412080000060</t>
  </si>
  <si>
    <t>I2412070000060</t>
  </si>
  <si>
    <t>I2111000000002</t>
  </si>
  <si>
    <t>I1432050000001</t>
  </si>
  <si>
    <t>I1432030000001</t>
  </si>
  <si>
    <t>I1412120000001</t>
  </si>
  <si>
    <t>I1412010200001</t>
  </si>
  <si>
    <t>I1323010100001</t>
  </si>
  <si>
    <t>I1313010110001</t>
  </si>
  <si>
    <t>I1312040900001</t>
  </si>
  <si>
    <t>I1213040100001</t>
  </si>
  <si>
    <t>I1213010200001</t>
  </si>
  <si>
    <t>I1123020000001</t>
  </si>
  <si>
    <t>Superávit Específico Donación UE</t>
  </si>
  <si>
    <t>Crédito BIRF 7388-CR Proyecto Introducción Instrumentos Financieros para Gestión Ambiental</t>
  </si>
  <si>
    <t>I3211030500534</t>
  </si>
  <si>
    <t>Crédito BIRF 7284-CR Proyecto Equidad y Eficiencia de la Educación</t>
  </si>
  <si>
    <t>I3211030400533</t>
  </si>
  <si>
    <t>FODESAF- Ministerio de Cultura</t>
  </si>
  <si>
    <t>Instituto Meteorológico (Dirección de Agua)</t>
  </si>
  <si>
    <t>Dirección de Geología y Minas</t>
  </si>
  <si>
    <t>I2412060000060</t>
  </si>
  <si>
    <t>Transferencia de capital Instituto Metereológico Nacional</t>
  </si>
  <si>
    <t>I2412030000060</t>
  </si>
  <si>
    <t>Venta de maquinaria y equipo</t>
  </si>
  <si>
    <t>I2113000000004</t>
  </si>
  <si>
    <t>Instituto Nacional de Fomento y Asesoría Municipal recursos convenio MIVAH-PRUGAM</t>
  </si>
  <si>
    <t>I1413080000001</t>
  </si>
  <si>
    <t>Instituto Meteorológico Nacional</t>
  </si>
  <si>
    <t>I1412110000001</t>
  </si>
  <si>
    <t>Sistema Nacional de Áreas de Conservación</t>
  </si>
  <si>
    <t>I1412080000001</t>
  </si>
  <si>
    <t>Fodesaf-Ministerio de Obras Públicas y Transportes</t>
  </si>
  <si>
    <t>Fideicomiso No. 955 Ministerio de Hacienda _ Banco Nacional de Costa Rica</t>
  </si>
  <si>
    <t>Donaciones corrientes del Gobierno Central</t>
  </si>
  <si>
    <t>Transferencias corrientes del Gobierno Central</t>
  </si>
  <si>
    <t>I1411010000001</t>
  </si>
  <si>
    <t>I1411000000001</t>
  </si>
  <si>
    <t>Intereses p otros equivalentes efect sect púb int</t>
  </si>
  <si>
    <t>Licencias de conducir Ley Nº 7055</t>
  </si>
  <si>
    <t>Venta de Servicios Instituto Geográfico Nacional MOPT</t>
  </si>
  <si>
    <t>I1312090920001</t>
  </si>
  <si>
    <t>Servicio de Recaudación Tesorería Nacional.</t>
  </si>
  <si>
    <t>I1312030102001</t>
  </si>
  <si>
    <t>Contrib. por traslado al régimen de Reparto L8721</t>
  </si>
  <si>
    <t>Impuesto a las Personas Jurídicas Ley 9024</t>
  </si>
  <si>
    <t>Superávit Específico Colocación Títulos en el Exterior</t>
  </si>
  <si>
    <t>I3321010000922</t>
  </si>
  <si>
    <t>Colocación de títulos valores de deuda externa</t>
  </si>
  <si>
    <t>I3232010000890</t>
  </si>
  <si>
    <t>Crédito BIRF 7498-CR, Ley N° 8725 Proyecto de Limón Cuidad-Puerto</t>
  </si>
  <si>
    <t>I3211030500536</t>
  </si>
  <si>
    <t>Crédito BID 1284/OC-CR, Ley N° 8154 Programa de Regularización del catastro y Registro</t>
  </si>
  <si>
    <t>I3211020900498</t>
  </si>
  <si>
    <t>DONACION BANCO INTERN. DE RECONST. Y FOMENTO. FONDO PARA EL MEDIO AMBIENTE</t>
  </si>
  <si>
    <t>I2431020000065</t>
  </si>
  <si>
    <t>Transferencia de Capital Unidad de Coordinación del Proyecto Limón Ciudad Puerto</t>
  </si>
  <si>
    <t>I2412050000060</t>
  </si>
  <si>
    <t>Donación Union Europea Programa de Seguridad Ciudadana</t>
  </si>
  <si>
    <t>Transferencias corrientes de Municipalidades Ley 7755 Partidas Específicas (devoluciones)</t>
  </si>
  <si>
    <t>I1414020000001</t>
  </si>
  <si>
    <t>Senara Ley Fodea 7064 artículo 42</t>
  </si>
  <si>
    <t>I1413050000001</t>
  </si>
  <si>
    <t>Unidad Ejecutora Programa Regularización del Catastro y Registro</t>
  </si>
  <si>
    <t>I1412090000001</t>
  </si>
  <si>
    <t>I1412070000001</t>
  </si>
  <si>
    <t>Costo confección documentos migratorios Ley Nº8487</t>
  </si>
  <si>
    <t>I1312090910001</t>
  </si>
  <si>
    <t>I1312090230001</t>
  </si>
  <si>
    <t>Superávit Contraloría</t>
  </si>
  <si>
    <t>I3311060000905</t>
  </si>
  <si>
    <t>Venta de Terrenos</t>
  </si>
  <si>
    <t>Del Sector Privado-Asociación de Desarrollo Integral de Bustamante de Desamparados</t>
  </si>
  <si>
    <t>I1424000000001</t>
  </si>
  <si>
    <t>Del Sector Privado-Arquidiócesis de San José</t>
  </si>
  <si>
    <t>I1423000000001</t>
  </si>
  <si>
    <t>Unidad Coordinadora del Programa de Mejoramiento de la Calidad de la Educación (Promece)</t>
  </si>
  <si>
    <t>I1412040000001</t>
  </si>
  <si>
    <t>Multas Sugeval</t>
  </si>
  <si>
    <t>I1331090100001</t>
  </si>
  <si>
    <t>Venta Servicios Capacitación Contraloría General de la República</t>
  </si>
  <si>
    <t>I1312090110001</t>
  </si>
  <si>
    <t>Venta de Bienes-MOPT-Instituto Geográfico Nacional</t>
  </si>
  <si>
    <t>I1311090100001</t>
  </si>
  <si>
    <t>Superávit Asamblea Legislativa</t>
  </si>
  <si>
    <t>I3311060000906</t>
  </si>
  <si>
    <t>Crédito KFW 2002-65-066, Leyes N° 6979, 7132 y 7109 Programa de Rehabilitación y Mantenimiento de la Red Vial Cantonal</t>
  </si>
  <si>
    <t>I3212030000692</t>
  </si>
  <si>
    <t>Crédito BID 1377/OC-CR, Ley N° 8273 Segunda Etapa del Programa de Modernización de la Administración de Justicia</t>
  </si>
  <si>
    <t>I3211021000499</t>
  </si>
  <si>
    <t>Crédito BCIE-1605, Ley N° 8359 Programa para completar el complejo vial Costanera Sur</t>
  </si>
  <si>
    <t>I3211010300452</t>
  </si>
  <si>
    <t>Títulos valores de deuda interna (Fideicomiso agropecuario)</t>
  </si>
  <si>
    <t>I3131020000283</t>
  </si>
  <si>
    <t>Reintegro e Intereses del Crédito Externo PL-480</t>
  </si>
  <si>
    <t>I2510000000121</t>
  </si>
  <si>
    <t>I2412020000060</t>
  </si>
  <si>
    <t>Donación BCIE- Comunicación Política con los Ciudadanos</t>
  </si>
  <si>
    <t>I1431030000001</t>
  </si>
  <si>
    <t>Instituto Nacional de Seguros</t>
  </si>
  <si>
    <t>I1416010500001</t>
  </si>
  <si>
    <t>I1415020000001</t>
  </si>
  <si>
    <t>Instituto Mixto de Ayuda Social</t>
  </si>
  <si>
    <t>I1413010800001</t>
  </si>
  <si>
    <t>Impuestos específicos sobre la explotación de recursos naturales y minerales</t>
  </si>
  <si>
    <t>Licencia de Caza y Pesca Continental (Ley Nº 7317)</t>
  </si>
  <si>
    <t>I1132010210001</t>
  </si>
  <si>
    <t>Crédito del Gobierno de los EEUU, Convenio PL-480 Leyes N° 6945, 6978, 7019, 7059, 7098, 7203 y 7307</t>
  </si>
  <si>
    <t>I3212010000690</t>
  </si>
  <si>
    <t>Crédito BIRF 70-68-CR, Ley N° 8269 Proyecto de Fortalecimiento y Modernización del Sector Salud</t>
  </si>
  <si>
    <t>I3211030300532</t>
  </si>
  <si>
    <t>Crédito BID 1436/OC-CR, Ley N° 8408 Programa de Fomento de la Producción Agropecuaria Sostenible</t>
  </si>
  <si>
    <t>I3211021300502</t>
  </si>
  <si>
    <t>Crédito BID 1451/OC-CR, Ley N° 8403 Programa de Desarrollo del Sector Salud</t>
  </si>
  <si>
    <t>I3211021100500</t>
  </si>
  <si>
    <t>Donación PNUD-Programa Regularización de Registro y Catastro</t>
  </si>
  <si>
    <t>I1431020000001</t>
  </si>
  <si>
    <t>I1431010000001</t>
  </si>
  <si>
    <t>Consejo de Seguridad Vial</t>
  </si>
  <si>
    <t>I1412030000001</t>
  </si>
  <si>
    <t>Dividendos Acciones Cemex Costa Rica S.A.</t>
  </si>
  <si>
    <t>I1321020000001</t>
  </si>
  <si>
    <t>Crédito BIRF 7686-CR, Ley N° 8843 Apoyo de Políticas de Desarrollo de las Finanzas Públicas y la Competitividad</t>
  </si>
  <si>
    <t>I3211030600537</t>
  </si>
  <si>
    <t>Instituto Nacional de Seguros (Proyecto Parques Culturales)</t>
  </si>
  <si>
    <t>I1416020000001</t>
  </si>
  <si>
    <t>Deuda Renegociada Banco Central de Costa Rica</t>
  </si>
  <si>
    <t>I1323020610001</t>
  </si>
  <si>
    <t>Deuda Renegociada ICAA</t>
  </si>
  <si>
    <t>I1323020510001</t>
  </si>
  <si>
    <t>Impuesto de la Ley de Migración y Extranjería Ley Nº 8487</t>
  </si>
  <si>
    <t>I1143090100001</t>
  </si>
  <si>
    <t>Licencia de Caza y Pesca MIRENEM ( Ley Nº 7317)</t>
  </si>
  <si>
    <t>I1132010220001</t>
  </si>
  <si>
    <t>I1114010100001</t>
  </si>
  <si>
    <t>Donación República de China</t>
  </si>
  <si>
    <t>I2432040000070</t>
  </si>
  <si>
    <t>I1432020000001</t>
  </si>
  <si>
    <t>Del Sector Privado-Código Notarial-Ley Nº 7764</t>
  </si>
  <si>
    <t>I1421000000001</t>
  </si>
  <si>
    <t>I1412011400001</t>
  </si>
  <si>
    <t>I1412011300001</t>
  </si>
  <si>
    <t>I1412011200001</t>
  </si>
  <si>
    <t>I1412011100001</t>
  </si>
  <si>
    <t>I1412011000001</t>
  </si>
  <si>
    <t>I1323010610001</t>
  </si>
  <si>
    <t>Alquiler de terrenos</t>
  </si>
  <si>
    <t>I1322020000001</t>
  </si>
  <si>
    <t>Anticipo Impuesto Banano</t>
  </si>
  <si>
    <t>I1199020200001</t>
  </si>
  <si>
    <t>Anticipos de Aduana</t>
  </si>
  <si>
    <t>I1199020100001</t>
  </si>
  <si>
    <t>Un colón por tonelada de carga que se movilice por Puerto Caldera Ley Nº 6995</t>
  </si>
  <si>
    <t>I1143010100001</t>
  </si>
  <si>
    <t>I1115010000001</t>
  </si>
  <si>
    <t>Diciembre</t>
  </si>
  <si>
    <t>Noviembre</t>
  </si>
  <si>
    <t>Octubre</t>
  </si>
  <si>
    <t>Setiembre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</si>
  <si>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</si>
  <si>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</si>
  <si>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</si>
  <si>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</si>
  <si>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</si>
  <si>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</si>
  <si>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</si>
  <si>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</si>
  <si>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Subrenglón</t>
  </si>
  <si>
    <t>Renglón</t>
  </si>
  <si>
    <t>Subpartida</t>
  </si>
  <si>
    <t>Partida</t>
  </si>
  <si>
    <t>Subgrupo</t>
  </si>
  <si>
    <t>Grupo</t>
  </si>
  <si>
    <t>Subclase</t>
  </si>
  <si>
    <t>Clase</t>
  </si>
  <si>
    <t>Descripción</t>
  </si>
  <si>
    <t>Año</t>
  </si>
  <si>
    <t>PosPre</t>
  </si>
  <si>
    <t>LISTA DE INGRESOS DESCONTINUADOS</t>
  </si>
  <si>
    <t>Superávit Específico</t>
  </si>
  <si>
    <t>I3320000000000</t>
  </si>
  <si>
    <t>Superávit Poder Judicial</t>
  </si>
  <si>
    <t>I3311040000980</t>
  </si>
  <si>
    <t>Superávit Defensoría</t>
  </si>
  <si>
    <t>I3311030000980</t>
  </si>
  <si>
    <t>I3311000000900</t>
  </si>
  <si>
    <t>I3310000000000</t>
  </si>
  <si>
    <t>I3300000000000</t>
  </si>
  <si>
    <t>I3232000000000</t>
  </si>
  <si>
    <t>I3230000000000</t>
  </si>
  <si>
    <t>Crédito Export - Import Bank de la República de China, Ley N° 7624 Proyecto Construcción Carretera Florencia - Naranjo.</t>
  </si>
  <si>
    <t>I3213010000730</t>
  </si>
  <si>
    <t>I3213000000000</t>
  </si>
  <si>
    <t>PRESTAMOS DE GOBIERNOS EXTRANJEROS</t>
  </si>
  <si>
    <t>I3212000000000</t>
  </si>
  <si>
    <t>Otros préstamos de Organismos Internacionales de Desarrollo</t>
  </si>
  <si>
    <t>I3211090000000</t>
  </si>
  <si>
    <t>Crédito FIDA 371-CR, Ley N° 7659 Proyecto de Desarrollo Agrícola Península de Nicoya</t>
  </si>
  <si>
    <t>I3211050100610</t>
  </si>
  <si>
    <t>Crédito BIRF 4557-CR, Ley N° 8058 Programa de Pagos de Servicios Ambientales.</t>
  </si>
  <si>
    <t>I3211030200531</t>
  </si>
  <si>
    <t>I3211030000000</t>
  </si>
  <si>
    <t>Crédito BID 667, Ley N° 7315 Proyecto Mejoramiento de la Calidad de la Educación General Básica</t>
  </si>
  <si>
    <t>I3211021100501</t>
  </si>
  <si>
    <t>I3211020000000</t>
  </si>
  <si>
    <t>Crédito BCIE-CR-1129, Ley N° 7659. Proyecto de Desarrollo Agrícola Península de Nicoya</t>
  </si>
  <si>
    <t>I3211010200451</t>
  </si>
  <si>
    <t>Crédito BCIE-CR-26 FDS, Ley N° 7639 Programa de Infraestructura Universidad Nacional</t>
  </si>
  <si>
    <t>I3211010100450</t>
  </si>
  <si>
    <t>Banco Centroamericano de Integracion Económica</t>
  </si>
  <si>
    <t>I3211010000000</t>
  </si>
  <si>
    <t>PRESTAMOS DE INSTITUCIONES INTERNACIONALES DE DESA</t>
  </si>
  <si>
    <t>I3211000000000</t>
  </si>
  <si>
    <t>PRESTAMOS DIRECTOS</t>
  </si>
  <si>
    <t>I3210000000000</t>
  </si>
  <si>
    <t>FINANCIAMIENTO EXTERNO</t>
  </si>
  <si>
    <t>I3200000000000</t>
  </si>
  <si>
    <t>COLOCACIÓN DE TÍTULOS VALORES DE LARGO PLAZO</t>
  </si>
  <si>
    <t>I3131020000000</t>
  </si>
  <si>
    <t>COLOCACIÓN DE TÍTULOS VALORES DE CORTO PLAZO</t>
  </si>
  <si>
    <t>I3131010000000</t>
  </si>
  <si>
    <t>EMISION DE TÍTULOS VALORES</t>
  </si>
  <si>
    <t>I3130000000000</t>
  </si>
  <si>
    <t>FINANCIAMIENTO INTERNO</t>
  </si>
  <si>
    <t>I3100000000000</t>
  </si>
  <si>
    <t>FINANCIAMIENTO</t>
  </si>
  <si>
    <t>I3000000000000</t>
  </si>
  <si>
    <t>Sistema Nacional de Educación Musical (SINEM)</t>
  </si>
  <si>
    <t>Museo de Arte y Diseño Contemporáneo (MADC)</t>
  </si>
  <si>
    <t>Consejo Nacional de la Política Pública de la Pers ona Joven (CPJ)</t>
  </si>
  <si>
    <t>Transferencias de capital de Organos Desconcentra</t>
  </si>
  <si>
    <t>I2412000000000</t>
  </si>
  <si>
    <t>TRANSFERECIAS DE CAPITAL DEL SECTOR PUBLICO</t>
  </si>
  <si>
    <t>I2410000000000</t>
  </si>
  <si>
    <t>Transferencias de Capital</t>
  </si>
  <si>
    <t>I2400000000000</t>
  </si>
  <si>
    <t>INGRESOS DE CAPITAL</t>
  </si>
  <si>
    <t>I2000000000000</t>
  </si>
  <si>
    <t>Subvención de la Unión Europea para el Fortalecimi ento del Programa Justicia Restaurativa- Poder Judicial</t>
  </si>
  <si>
    <t>Transferencias corrientes de Gobiernos Extranjeros</t>
  </si>
  <si>
    <t>I1432000000000</t>
  </si>
  <si>
    <t>TRANSFERENCIAS CORRIENTES DEL SECTOR EXTERNO</t>
  </si>
  <si>
    <t>I1430000000000</t>
  </si>
  <si>
    <t>Cuotas Organismos Internacionales, Ley Nº 3418</t>
  </si>
  <si>
    <t>I1416010000000</t>
  </si>
  <si>
    <t>I1416000000000</t>
  </si>
  <si>
    <t>I1415010000000</t>
  </si>
  <si>
    <t>Transferencias corrientes de Empresas Públicas no Financieras</t>
  </si>
  <si>
    <t>I1415000000000</t>
  </si>
  <si>
    <t>I1414000000000</t>
  </si>
  <si>
    <t>I1413010000000</t>
  </si>
  <si>
    <t>Transferencias corrientes de Instituciones Desentralizadas no Empresariales</t>
  </si>
  <si>
    <t>I1413000000000</t>
  </si>
  <si>
    <t>Consejo Superior de Educación</t>
  </si>
  <si>
    <t>Transferencias de Fodesaf</t>
  </si>
  <si>
    <t>I1412010000000</t>
  </si>
  <si>
    <t>I1412000000000</t>
  </si>
  <si>
    <t>I1411000000000</t>
  </si>
  <si>
    <t>TRANSFERENCIAS CORRIENTES DEL SECTOR PUBLICO</t>
  </si>
  <si>
    <t>I1410000000000</t>
  </si>
  <si>
    <t>TRANSFERENCIAS CORRIENTES</t>
  </si>
  <si>
    <t>I1400000000000</t>
  </si>
  <si>
    <t>OTROS INGRESOS NO TRIBUTARIOS</t>
  </si>
  <si>
    <t>I1390000000000</t>
  </si>
  <si>
    <t>I1340000000000</t>
  </si>
  <si>
    <t>I1332010000000</t>
  </si>
  <si>
    <t>REMATES Y CONFISCACIONES</t>
  </si>
  <si>
    <t>I1332000000000</t>
  </si>
  <si>
    <t>I1331090000000</t>
  </si>
  <si>
    <t>Sanciones administrativas y judiciales</t>
  </si>
  <si>
    <t>I1331040000000</t>
  </si>
  <si>
    <t>I1331020000000</t>
  </si>
  <si>
    <t>MULTAS Y SANCIONES</t>
  </si>
  <si>
    <t>I1331000000000</t>
  </si>
  <si>
    <t>MULTAS, SANCIONES, REMATES Y CONFISCACIONES</t>
  </si>
  <si>
    <t>I1330000000000</t>
  </si>
  <si>
    <t>OTRAS RENTAS DE ACTIVOS FINANCIEROS</t>
  </si>
  <si>
    <t>I1323030000000</t>
  </si>
  <si>
    <t>Intereses sobre títulos valores del Gobierno Centr</t>
  </si>
  <si>
    <t>I1323010100000</t>
  </si>
  <si>
    <t>INTERESES SOBRE TÍTULOS VALORES</t>
  </si>
  <si>
    <t>I1323010000000</t>
  </si>
  <si>
    <t>RENTA DE ACTIVOS FINANCIEROS</t>
  </si>
  <si>
    <t>I1323000000000</t>
  </si>
  <si>
    <t>TRASPASO DE DIVIDENDOS</t>
  </si>
  <si>
    <t>I1321000000000</t>
  </si>
  <si>
    <t>INGRESOS DE LA PROPIEDAD</t>
  </si>
  <si>
    <t>I1320000000000</t>
  </si>
  <si>
    <t>I1313020300000</t>
  </si>
  <si>
    <t>Cánones por regulación de los servicios públicos</t>
  </si>
  <si>
    <t>I1313020100000</t>
  </si>
  <si>
    <t>DERECHOS ADMINISTRATIVOS A OTROS SERVICIOS PÚBLICOS</t>
  </si>
  <si>
    <t>I1313020000000</t>
  </si>
  <si>
    <t>I1313010300000</t>
  </si>
  <si>
    <t>I1313010100000</t>
  </si>
  <si>
    <t>DERECHOS ADMINISTRATIVOS A LOS SERVICIOS DE TRANSPORTE</t>
  </si>
  <si>
    <t>I1313010000000</t>
  </si>
  <si>
    <t>DERECHOS ADMINISTRATIVOS</t>
  </si>
  <si>
    <t>I1313000000000</t>
  </si>
  <si>
    <t>Venta de Otros Servicios</t>
  </si>
  <si>
    <t>I1312090900000</t>
  </si>
  <si>
    <t>I1312090600000</t>
  </si>
  <si>
    <t>Servicios de Investigación y Desarrollo</t>
  </si>
  <si>
    <t>I1312090200000</t>
  </si>
  <si>
    <t>OTROS SERVICIOS</t>
  </si>
  <si>
    <t>I1312090000000</t>
  </si>
  <si>
    <t>Otros alquileres</t>
  </si>
  <si>
    <t>OTROS ALQUILERES</t>
  </si>
  <si>
    <t>I1312040900000</t>
  </si>
  <si>
    <t>Alquiler de edificios e instalaciones</t>
  </si>
  <si>
    <t>I1312040100000</t>
  </si>
  <si>
    <t>ALQUILERES</t>
  </si>
  <si>
    <t>I1312040000000</t>
  </si>
  <si>
    <t>Servicio de Recaudación</t>
  </si>
  <si>
    <t>I1312030400000</t>
  </si>
  <si>
    <t>I1312030100000</t>
  </si>
  <si>
    <t>SERVICIOS FINANCIEROS Y DE SEGUROS</t>
  </si>
  <si>
    <t>I1312030000000</t>
  </si>
  <si>
    <t>VENTA DE SERVICIOS</t>
  </si>
  <si>
    <t>I1312000000000</t>
  </si>
  <si>
    <t>VENTA DE BIENES Y SERVICIOS</t>
  </si>
  <si>
    <t>I1310000000000</t>
  </si>
  <si>
    <t>INGRESOS NO TRIBUTARIOS</t>
  </si>
  <si>
    <t>I1300000000000</t>
  </si>
  <si>
    <t>Contribución a otros Régimenes de pensiones</t>
  </si>
  <si>
    <t>I1213030000000</t>
  </si>
  <si>
    <t>Contribución del Magisterio Nacional miembros pensionados y jubilados</t>
  </si>
  <si>
    <t>I1213020000000</t>
  </si>
  <si>
    <t>Contribución del Magisterio de miembros activos</t>
  </si>
  <si>
    <t>I1213010000000</t>
  </si>
  <si>
    <t>CONTRIBUCIÓN A REGIMENES ESPECIALES DE PENSIONES</t>
  </si>
  <si>
    <t>I1213000000000</t>
  </si>
  <si>
    <t>CONTRIBUCIONES A LA SEGURIDAD SOCIAL</t>
  </si>
  <si>
    <t>I1210000000000</t>
  </si>
  <si>
    <t>CONTRIBUCIONES SOCIALES</t>
  </si>
  <si>
    <t>I1200000000000</t>
  </si>
  <si>
    <t>Ingresos Tributarios Diversos</t>
  </si>
  <si>
    <t>I1199000000000</t>
  </si>
  <si>
    <t>IMPUESTO DE TIMBRES</t>
  </si>
  <si>
    <t>I1191000000000</t>
  </si>
  <si>
    <t>OTROS INGRESOS TRIBUTARIOS</t>
  </si>
  <si>
    <t>I1190000000000</t>
  </si>
  <si>
    <t>Impuesto de la Ley de Migración y Extranjería Ley Nº 8764</t>
  </si>
  <si>
    <t>I1143090100000</t>
  </si>
  <si>
    <t>Otros impuestos sobre el comercio exterior y transacciones internacionales</t>
  </si>
  <si>
    <t>I1143090000000</t>
  </si>
  <si>
    <t>I1143040000000</t>
  </si>
  <si>
    <t>Impuestos de salida al exterior</t>
  </si>
  <si>
    <t>I1143030000000</t>
  </si>
  <si>
    <t>OTROS IMPUESTOS SOBRE EL COMERCIO EXTERIOR Y TRANSACCIONES INTERNACIONALES</t>
  </si>
  <si>
    <t>I1143000000000</t>
  </si>
  <si>
    <t>IMPUESTOS A LAS EXPORTACIONES</t>
  </si>
  <si>
    <t>I1142000000000</t>
  </si>
  <si>
    <t>Impuesto sobre el valor aduanero de las mercancías</t>
  </si>
  <si>
    <t>I1141020000000</t>
  </si>
  <si>
    <t>IMPUESTOS A LAS IMPORTACIONES</t>
  </si>
  <si>
    <t>I1141000000000</t>
  </si>
  <si>
    <t>IMPUESTOS SOBRE EL COMERCIO EXTERIOR Y TRANSACCIONES INTERNACIONALES</t>
  </si>
  <si>
    <t>I1140000000000</t>
  </si>
  <si>
    <t>Impuestos específicos a los servicios de diversión</t>
  </si>
  <si>
    <t>I1132020300000</t>
  </si>
  <si>
    <t>IMPUESTOS ESPECÍFICOS SOBRE LA PRODUCCIÓN Y CONSUMO DE SERVICIOS</t>
  </si>
  <si>
    <t>I1132020000000</t>
  </si>
  <si>
    <t>Impuesto a los Productos de Tabaco Ley 9028</t>
  </si>
  <si>
    <t>I1132010450000</t>
  </si>
  <si>
    <t>Impuesto al Cemento</t>
  </si>
  <si>
    <t>I1132010440000</t>
  </si>
  <si>
    <t>Impuesto específico sobre jabones de tocador Ley Nº 8114</t>
  </si>
  <si>
    <t>I1132010430000</t>
  </si>
  <si>
    <t>Impuesto Específico sobre bebidas envasadas sin contenido Alcohólico Ley Nº 8114</t>
  </si>
  <si>
    <t>I1132010420000</t>
  </si>
  <si>
    <t>Impuesto Específico sobre Bebidas Alcohólicas Ley 7972</t>
  </si>
  <si>
    <t>I1132010410000</t>
  </si>
  <si>
    <t>Impuestos específicos sobre bienes manufacturados</t>
  </si>
  <si>
    <t>I1132010400000</t>
  </si>
  <si>
    <t>Impuesto Único a los Combustibles Ley 8114</t>
  </si>
  <si>
    <t>I1132010310000</t>
  </si>
  <si>
    <t>Impuestos específicos sobre los combustibles y energéticos</t>
  </si>
  <si>
    <t>I1132010300000</t>
  </si>
  <si>
    <t>IMPUESTOS ESPECÍFICOS SOBRE LA PRODUCCIÓN Y CONSUMO DE BIENES</t>
  </si>
  <si>
    <t>I1132010000000</t>
  </si>
  <si>
    <t>IMPUESTOS ESPECÍFICOS SOBRE LA PRODUCCIÓN Y CONSUMO DE BIENES Y SERVICIOS</t>
  </si>
  <si>
    <t>I1132000000000</t>
  </si>
  <si>
    <t>IMPUESTO SELECTIVO DE CONSUMO</t>
  </si>
  <si>
    <t>I1131020000000</t>
  </si>
  <si>
    <t>IMPUESTO GENERAL SOBRE LAS VENTAS</t>
  </si>
  <si>
    <t>I1131010000000</t>
  </si>
  <si>
    <t>IMPUESTO GENERAL SOBRE VENTAS Y CONSUMO</t>
  </si>
  <si>
    <t>I1131000000000</t>
  </si>
  <si>
    <t>IMPUESTOS SOBRE BIENES Y SERVICIOS</t>
  </si>
  <si>
    <t>I1130000000000</t>
  </si>
  <si>
    <t>Impuesto a los traspasos de vehículos, aeronaves y embarcaciones</t>
  </si>
  <si>
    <t>I1125000000000</t>
  </si>
  <si>
    <t>Impuesto a los traspasos de bienes inmuebles</t>
  </si>
  <si>
    <t>I1124000000000</t>
  </si>
  <si>
    <t>Impuesto sobre el patrimonio</t>
  </si>
  <si>
    <t>I1123000000000</t>
  </si>
  <si>
    <t>I1122000000000</t>
  </si>
  <si>
    <t>I1121000000000</t>
  </si>
  <si>
    <t>IMPUESTOS SOBRE LA PROPIEDAD</t>
  </si>
  <si>
    <t>I1120000000000</t>
  </si>
  <si>
    <t>IMPUESTO ESPECIAL SOBRE BANCOS Y ENTIDADES FINANCIERAS NO DOMICILIADAS</t>
  </si>
  <si>
    <t>I1115000000000</t>
  </si>
  <si>
    <t>IMPUESTO SOBRE REMESAS AL EXTERIOR</t>
  </si>
  <si>
    <t>I1114000000000</t>
  </si>
  <si>
    <t>IMPUESTO SOBRE INTERESES DE TÍTULOS VALORES</t>
  </si>
  <si>
    <t>I1113020000000</t>
  </si>
  <si>
    <t>IMPUESTO SOBRE DIVIDENDOS</t>
  </si>
  <si>
    <t>I1113010000000</t>
  </si>
  <si>
    <t>IMPUESTO SOBRE DIVIDENDOS E INTERESES DE TÍTULOS VALORES</t>
  </si>
  <si>
    <t>I1113000000000</t>
  </si>
  <si>
    <t>IMPUESTO SOBRE LOS INGRESOS Y UTILIDADES DE LAS PERSONAS JURIDICAS</t>
  </si>
  <si>
    <t>I1112000000000</t>
  </si>
  <si>
    <t>IMPUESTO SOBRE LOS INGRESOS Y UTILIDADES DE PERSONAS FISICAS</t>
  </si>
  <si>
    <t>I1111000000000</t>
  </si>
  <si>
    <t>I1110000000000</t>
  </si>
  <si>
    <t>INGRESOS TRIBUTARIOS</t>
  </si>
  <si>
    <t>I1100000000000</t>
  </si>
  <si>
    <t>INGRESOS CORRIENTES</t>
  </si>
  <si>
    <t>I1000000000000</t>
  </si>
  <si>
    <t>INGRESOS TOTALES</t>
  </si>
  <si>
    <t>I1</t>
  </si>
  <si>
    <t>Desc.Pos.presupuestaria</t>
  </si>
  <si>
    <t>Código Presupuestario</t>
  </si>
  <si>
    <t>Presupuesto actual</t>
  </si>
  <si>
    <t xml:space="preserve">Presupuesto inicial </t>
  </si>
  <si>
    <t>Presupuesto ajustado</t>
  </si>
  <si>
    <t>(Todas)</t>
  </si>
  <si>
    <t>Etiquetas de fila</t>
  </si>
  <si>
    <t>Total general</t>
  </si>
  <si>
    <t>Suma de Enero</t>
  </si>
  <si>
    <t>Suma de Febrero</t>
  </si>
  <si>
    <t>Suma de Marzo</t>
  </si>
  <si>
    <t>Suma de Mayo</t>
  </si>
  <si>
    <t>Suma de Junio</t>
  </si>
  <si>
    <t>Suma de Julio</t>
  </si>
  <si>
    <t>Suma de Agosto</t>
  </si>
  <si>
    <t>Suma de Setiembre</t>
  </si>
  <si>
    <t>Suma de Octubre</t>
  </si>
  <si>
    <t>Suma de Noviembre</t>
  </si>
  <si>
    <t>Suma de Diciembre</t>
  </si>
  <si>
    <t>Suma de Abril</t>
  </si>
  <si>
    <t>Mes</t>
  </si>
  <si>
    <t>Monto</t>
  </si>
  <si>
    <t>Serie mensual</t>
  </si>
  <si>
    <t>Var mensual</t>
  </si>
  <si>
    <t>n.a</t>
  </si>
  <si>
    <t>Var interanual</t>
  </si>
  <si>
    <t>Suma de Var interanual</t>
  </si>
  <si>
    <t>Suma de I trimestre_millones</t>
  </si>
  <si>
    <t>Suma de II_trimestre_millones</t>
  </si>
  <si>
    <t>Suma de III trimestre_millones</t>
  </si>
  <si>
    <t>Suma de IV trimestre_millones</t>
  </si>
  <si>
    <t>Trimestre</t>
  </si>
  <si>
    <t xml:space="preserve">Monto </t>
  </si>
  <si>
    <t>I trimestre</t>
  </si>
  <si>
    <t xml:space="preserve">II trimestre </t>
  </si>
  <si>
    <t>III trimestre</t>
  </si>
  <si>
    <t xml:space="preserve">IV trimestre </t>
  </si>
  <si>
    <t>Acumulado 12 meses</t>
  </si>
  <si>
    <t>Var interanual acum 12 meses</t>
  </si>
  <si>
    <t xml:space="preserve">N.A. </t>
  </si>
  <si>
    <t>Suma de Var interanual acum 12 meses</t>
  </si>
  <si>
    <t>Suma de Monto</t>
  </si>
  <si>
    <t xml:space="preserve">Impuesto Selectivo de Consumo </t>
  </si>
  <si>
    <t>Arancel de Aduanas</t>
  </si>
  <si>
    <t>Intereses sobre bonos INVU</t>
  </si>
  <si>
    <t>I3311050000980</t>
  </si>
  <si>
    <t>Supervávit Asamblea Legislativa</t>
  </si>
  <si>
    <t>I1112010100001</t>
  </si>
  <si>
    <t>Impuesto sobre la Renta.(Ley N° 7092 del 21 de abr il de 1988 y sus Reformas). Ingresos y utilidades Sector Público</t>
  </si>
  <si>
    <t>I1112020100001</t>
  </si>
  <si>
    <t>Impuesto sobre la Renta. (Ley N° 7092 del 21 de ab ril de 1988 y sus Reformas). Ingresos y utlidades Sector Privado</t>
  </si>
  <si>
    <t>I1113010210001</t>
  </si>
  <si>
    <t>Impuesto sobre la Renta. (Ley N° 7092 del 21 de ab ril de 1988 y sus Reformas). Dividendos Sector Privado</t>
  </si>
  <si>
    <t>I1113020110001</t>
  </si>
  <si>
    <t>Impuesto sobre la Renta. (Ley N° 7092 del 21 de ab ril de 1988 y sus Reformas). Intereses valores Sector Público</t>
  </si>
  <si>
    <t>I1131010110001</t>
  </si>
  <si>
    <t>Impuesto sobre las Ventas. (Ley Nº 7543 de 14-9-95 ). Interno</t>
  </si>
  <si>
    <t>I1131010210001</t>
  </si>
  <si>
    <t>Impuesto sobre las Ventas. (Ley Nº 7543 de 14-9-95 ). Importado</t>
  </si>
  <si>
    <t>I1131020110001</t>
  </si>
  <si>
    <t>Impuestos Selectivos de Consumo (Ley Nº 7293 de 31 -3-92 y sus Reformas). Interno</t>
  </si>
  <si>
    <t>I1131020210001</t>
  </si>
  <si>
    <t>Impuestos Selectivos de Consumo. (Ley Nº 7293 de 3 1-3-92 y sus Reformas). Importados</t>
  </si>
  <si>
    <t>I1132010432001</t>
  </si>
  <si>
    <t>Importaciones - Impuesto específico sobre jabones de tocador Ley N 8114</t>
  </si>
  <si>
    <t>I1321010000001</t>
  </si>
  <si>
    <t>20% utilidades del IMAS. (Artículo 30, Ley Nº 811 4 de 4-7-01).</t>
  </si>
  <si>
    <t>I1322020100001</t>
  </si>
  <si>
    <t>I1331010100001</t>
  </si>
  <si>
    <t>Multas de tránsito. (Ley Nº 7331 de 30-3-93).</t>
  </si>
  <si>
    <t>I1391010000001</t>
  </si>
  <si>
    <t>Reintegros en efectivo. Ley Nº 7056.</t>
  </si>
  <si>
    <t>Fodesaf-Ministerio Educación Pública</t>
  </si>
  <si>
    <t>I1412012000001</t>
  </si>
  <si>
    <t>Fodesaf-Ministerio Obras Públicas y Transporte (previo 2009)</t>
  </si>
  <si>
    <t>I1412013000001</t>
  </si>
  <si>
    <t>Fodesaf-PRONAE (previo 2009)</t>
  </si>
  <si>
    <t>I1421010000001</t>
  </si>
  <si>
    <t>Código Notarial Ley N° 7764.</t>
  </si>
  <si>
    <t>I3311000000980</t>
  </si>
  <si>
    <t>SUPERÁVIT</t>
  </si>
  <si>
    <t>I1111020101001</t>
  </si>
  <si>
    <t>IMPUESTO SOBRE BIENES Y SERVICIOS PERSONAS FISICAS (IyU P.Fisicas. S. Privado)</t>
  </si>
  <si>
    <t>I1111030101001</t>
  </si>
  <si>
    <t>IMPUESTO SOBRE BIENES Y SERVICIOS PERSONAS FISICAS</t>
  </si>
  <si>
    <t>I1111030102001</t>
  </si>
  <si>
    <t>IMPUESTO SOBRE INGRESOS Y UTILIDADES DE PERSONAS FISICAS</t>
  </si>
  <si>
    <t>I1112010101001</t>
  </si>
  <si>
    <t>IMPUESTO SOBRE LA RENTA SOBRE BIENES Y SERVICIOS EMPRESAS DEL SECTOR PUBLICO</t>
  </si>
  <si>
    <t>I1112010102001</t>
  </si>
  <si>
    <t>IMPUESTO SOBRE INGRESOS Y UTILIDADES EMPRESAS DEL SECTOR PUBLICO</t>
  </si>
  <si>
    <t>I1112020101001</t>
  </si>
  <si>
    <t>RENTA ANTICIPADA SOBRE BIENES Y SERVICIOS DE EMPRE DEL SECTOR PRIVADO</t>
  </si>
  <si>
    <t>I1112020102001</t>
  </si>
  <si>
    <t>IMPUESTO SOBRE LA RENTA</t>
  </si>
  <si>
    <t>I1113010110001</t>
  </si>
  <si>
    <t>IMPUESTO SOBRE DIVIDENDOS SECTOR PUBLICO</t>
  </si>
  <si>
    <t>I1113010211001</t>
  </si>
  <si>
    <t>PERSONAS FISICAS / DIVIDENDOS</t>
  </si>
  <si>
    <t>I1113010212001</t>
  </si>
  <si>
    <t>PERSONA JURIDICA / DIVIDENDOS</t>
  </si>
  <si>
    <t>I1113020211001</t>
  </si>
  <si>
    <t>PERSONAS FISICAS / INTERESES SOBRE TITULOS VALORES</t>
  </si>
  <si>
    <t>I1113020212001</t>
  </si>
  <si>
    <t>PERSONAS JURIDICAS / INTERESES S/ TITULOS VALORES</t>
  </si>
  <si>
    <t>I1114010110001</t>
  </si>
  <si>
    <t>REMESAS AL EXTERIOR / PERSONAS FISICAS</t>
  </si>
  <si>
    <t>I1114010120001</t>
  </si>
  <si>
    <t>REMESAS AL EXTERIOR / PERSONAS JURIDICAS</t>
  </si>
  <si>
    <t>I1114010130001</t>
  </si>
  <si>
    <t>REMESAS AL EXTERIOR / SECTOR PUBLICO</t>
  </si>
  <si>
    <t>I1122010100001</t>
  </si>
  <si>
    <t>PROPIEDAD DE VEHICULOS IMPUESTO SOBRE LA PROPIEDAD VEHIC. LEY 7088</t>
  </si>
  <si>
    <t>I1122010200001</t>
  </si>
  <si>
    <t>PROPIEDAD DE VEHICULOS 50 % CONAVI</t>
  </si>
  <si>
    <t>I1141010110001</t>
  </si>
  <si>
    <t>DER IMPORT (ARAN ADU</t>
  </si>
  <si>
    <t>I1141010120001</t>
  </si>
  <si>
    <t>I1199010100001</t>
  </si>
  <si>
    <t>PAPEL SELLADO.(L7345</t>
  </si>
  <si>
    <t>I1199010200001</t>
  </si>
  <si>
    <t>PAPEL SELLADO .(L7345</t>
  </si>
  <si>
    <t>I1199010300001</t>
  </si>
  <si>
    <t>I1311090200001</t>
  </si>
  <si>
    <t>Venta de bienes -FONAM- Ley 7554</t>
  </si>
  <si>
    <t>I1313020910001</t>
  </si>
  <si>
    <t>PERMISOS Y RENOVACION DE CEDULAS DE RESIDENCIA. (LEYES N? 7033 Y 7108 DE 13-8-86 Y 8-11-88).</t>
  </si>
  <si>
    <t>I1331090110001</t>
  </si>
  <si>
    <t>OTRAS MULTAS</t>
  </si>
  <si>
    <t>I1331090120001</t>
  </si>
  <si>
    <t>I1331090130001</t>
  </si>
  <si>
    <t>MULTAS DE ADUANAS</t>
  </si>
  <si>
    <t>I1331090140001</t>
  </si>
  <si>
    <t>1% SOBRE UTILIDADES PROTECCION AL CONSUMIDOR</t>
  </si>
  <si>
    <t>I1331090150001</t>
  </si>
  <si>
    <t>MULTA SEGUN ART. 158 INCISO 3 DE LA LEY REGULADORA DEL MERCADO DE VALORES (200 SALARIOS BASES)</t>
  </si>
  <si>
    <t>I1391020000001</t>
  </si>
  <si>
    <t>REINTEGROS EN EFECTIVO (DEVOLUCION CUOTAS OBRERO PATRONALES CCSS A MINAE)</t>
  </si>
  <si>
    <t>I1399010000001</t>
  </si>
  <si>
    <t>INGRESOS VARIOS NO ESPECIFICADOS</t>
  </si>
  <si>
    <t>I1399030000001</t>
  </si>
  <si>
    <t>I1399040000001</t>
  </si>
  <si>
    <t>I1399080000001</t>
  </si>
  <si>
    <t>I1399090000001</t>
  </si>
  <si>
    <t>I1399100000001</t>
  </si>
  <si>
    <t>I1399110000001</t>
  </si>
  <si>
    <t>I1399120000001</t>
  </si>
  <si>
    <t>I1412010000001</t>
  </si>
  <si>
    <t>DE ORGANOS DESCONCENTRADOS (FODESAF- OCIE).</t>
  </si>
  <si>
    <t>I1413011400001</t>
  </si>
  <si>
    <t>CUOTAS ORGANISMOS INTERNACIONALES. (LEY Nº3418 DE 03-10-64).</t>
  </si>
  <si>
    <t>I1413011500001</t>
  </si>
  <si>
    <t>CUOTAS ORGANISMOS INTERNACIONAL 3418</t>
  </si>
  <si>
    <t>I1416010110001</t>
  </si>
  <si>
    <t>CUOTAS ORGANISMOS INTERNACIONALES. (LEY Nº 3418 DE 03-10-64).</t>
  </si>
  <si>
    <t>I1416010120001</t>
  </si>
  <si>
    <t>I1416010130001</t>
  </si>
  <si>
    <t>I1416010210001</t>
  </si>
  <si>
    <t>I1416010220001</t>
  </si>
  <si>
    <t>I1416010230001</t>
  </si>
  <si>
    <t>I2412010000060</t>
  </si>
  <si>
    <t>Proyecto de desarrollo Agricola Peninsula de Nicoya -PRODAPEN-</t>
  </si>
  <si>
    <t>I2432010000066</t>
  </si>
  <si>
    <t>Donaciones de Relaciones Exteriores Fi</t>
  </si>
  <si>
    <t>I3131010100280</t>
  </si>
  <si>
    <t>Titulos Valores Deuda Interna</t>
  </si>
  <si>
    <t>n.a.</t>
  </si>
  <si>
    <t>Estacionalidad</t>
  </si>
  <si>
    <t xml:space="preserve">Serie mensual monto </t>
  </si>
  <si>
    <t>Serie estacionalidad</t>
  </si>
  <si>
    <t>Suma de Estacionalidad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</si>
  <si>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</si>
  <si>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</si>
  <si>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</si>
  <si>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</si>
  <si>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</si>
  <si>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</si>
  <si>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</si>
  <si>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</si>
  <si>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</si>
  <si>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</si>
  <si>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</si>
  <si>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</si>
  <si>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</si>
  <si>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</si>
  <si>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</si>
  <si>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</si>
  <si>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</si>
  <si>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</si>
  <si>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</si>
  <si>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</si>
  <si>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</si>
  <si>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</si>
  <si>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</si>
  <si>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</si>
  <si>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</si>
  <si>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</si>
  <si>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</si>
  <si>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</si>
  <si>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</si>
  <si>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</si>
  <si>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</si>
  <si>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</si>
  <si>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</si>
  <si>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</si>
  <si>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</si>
  <si>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</si>
  <si>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</si>
  <si>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</si>
  <si>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</si>
  <si>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</si>
  <si>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</si>
  <si>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</si>
  <si>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</si>
  <si>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</si>
  <si>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</si>
  <si>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</si>
  <si>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</si>
  <si>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</si>
  <si>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</si>
  <si>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</si>
  <si>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</si>
  <si>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</si>
  <si>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</si>
  <si>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</si>
  <si>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</si>
  <si>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</si>
  <si>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</si>
  <si>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</si>
  <si>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</si>
  <si>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</si>
  <si>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</si>
  <si>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</si>
  <si>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</si>
  <si>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</si>
  <si>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</si>
  <si>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</si>
  <si>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</si>
  <si>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</si>
  <si>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</si>
  <si>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</si>
  <si>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</si>
  <si>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</si>
  <si>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</si>
  <si>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</si>
  <si>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</si>
  <si>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</si>
  <si>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</si>
  <si>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</si>
  <si>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</si>
  <si>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</si>
  <si>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</si>
  <si>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</si>
  <si>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</si>
  <si>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</si>
  <si>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</si>
  <si>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</si>
  <si>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</si>
  <si>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</si>
  <si>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</si>
  <si>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</si>
  <si>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</si>
  <si>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</si>
  <si>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</si>
  <si>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</si>
  <si>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</si>
  <si>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</si>
  <si>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</si>
  <si>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</si>
  <si>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</si>
  <si>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</si>
  <si>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</si>
  <si>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</si>
  <si>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</si>
  <si>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</si>
  <si>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</si>
  <si>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</si>
  <si>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</si>
  <si>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Producto Interno Bruto a precios de mercado</t>
  </si>
  <si>
    <t xml:space="preserve">Trimestre 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</si>
  <si>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</si>
  <si>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</si>
  <si>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</si>
  <si>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</si>
  <si>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</si>
  <si>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</si>
  <si>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</si>
  <si>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</si>
  <si>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</si>
  <si>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</si>
  <si>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</si>
  <si>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</si>
  <si>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</si>
  <si>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</si>
  <si>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</si>
  <si>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</si>
  <si>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</si>
  <si>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</si>
  <si>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</si>
  <si>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</si>
  <si>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</si>
  <si>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</si>
  <si>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</si>
  <si>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</si>
  <si>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</si>
  <si>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</si>
  <si>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</si>
  <si>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</si>
  <si>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</si>
  <si>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 xml:space="preserve">     Producto Interno Bruto a precios de mercado, nominal</t>
  </si>
  <si>
    <t>Contraloría General de la República (CGR)</t>
  </si>
  <si>
    <t>División de Fiscalización Operativa y Evaluativa (DFOE)</t>
  </si>
  <si>
    <t>Área de Fiscalización del Sistema de Administración Financiera (SAF)</t>
  </si>
  <si>
    <t xml:space="preserve">Base de Datos: Ingresos fiscales de Gobierno Central </t>
  </si>
  <si>
    <t>Suma de Acumulado</t>
  </si>
  <si>
    <t>PIB</t>
  </si>
  <si>
    <t xml:space="preserve">Suma en millones </t>
  </si>
  <si>
    <t xml:space="preserve">Carga Tributaria </t>
  </si>
  <si>
    <t>I1111010101001</t>
  </si>
  <si>
    <t>I S/SAL JUB PEN O SP / IMPUESTO SOBRE LA RENTA (LEY Nº 7092 DE 21-4-88 Y SUS REFORMAS).</t>
  </si>
  <si>
    <t>Suma de Acumulado_millones</t>
  </si>
  <si>
    <t>Etiquetas de columna</t>
  </si>
  <si>
    <t>Subtotal 6 ingresos tributarios más importantes</t>
  </si>
  <si>
    <t>Fecha</t>
  </si>
  <si>
    <t xml:space="preserve">Monto acumulado por año </t>
  </si>
  <si>
    <t xml:space="preserve">Var interanual acum por año </t>
  </si>
  <si>
    <t>N/A</t>
  </si>
  <si>
    <t xml:space="preserve">Resto de ingresos tributarios </t>
  </si>
  <si>
    <t xml:space="preserve">Importancia ingresos tributarios </t>
  </si>
  <si>
    <t xml:space="preserve">Grupo </t>
  </si>
  <si>
    <t xml:space="preserve">Subgrupo </t>
  </si>
  <si>
    <t>Impuesto General sobre las Ventas</t>
  </si>
  <si>
    <t>Impuesto Único a los combustibles</t>
  </si>
  <si>
    <t xml:space="preserve">Propiedad de vehículos </t>
  </si>
  <si>
    <t xml:space="preserve">Ingresos corrientes </t>
  </si>
  <si>
    <t xml:space="preserve">Ingresos tributarios </t>
  </si>
  <si>
    <t>Impuesto a los ingresos y utilidades</t>
  </si>
  <si>
    <t xml:space="preserve">Impuesto Único a los combustibles </t>
  </si>
  <si>
    <t xml:space="preserve">Impuesto a la propiedad de vehículos </t>
  </si>
  <si>
    <t>Todas</t>
  </si>
  <si>
    <t>Busca serie de…</t>
  </si>
  <si>
    <t>Entonces seleccione los siguientes rubros en tabla dinámica</t>
  </si>
  <si>
    <t>Impuesto a casinos y salas de juego autorizadas Ley Nº 7088</t>
  </si>
  <si>
    <t>SS=Marzo</t>
  </si>
  <si>
    <t>SS= Abril</t>
  </si>
  <si>
    <t>SS= Marzo</t>
  </si>
  <si>
    <t>SS=Abril</t>
  </si>
  <si>
    <t xml:space="preserve">Variación interanual </t>
  </si>
  <si>
    <t xml:space="preserve">Suma de Variación interanual </t>
  </si>
  <si>
    <t>Ingresos por inspección de cauces de dominio público</t>
  </si>
  <si>
    <t>Suma de Ejec_I_semestre_millones</t>
  </si>
  <si>
    <t>Suma de Ejec_II_semestre_millones</t>
  </si>
  <si>
    <t>Suma de I Bimestre_millones</t>
  </si>
  <si>
    <t>Suma de II Bimestre_millones</t>
  </si>
  <si>
    <t>Suma de III Bimestre_millones</t>
  </si>
  <si>
    <t xml:space="preserve">Suma de IV Bimestre_millones </t>
  </si>
  <si>
    <t>Suma de V Bimestre_millones</t>
  </si>
  <si>
    <t>Suma de VI Bimestre_millones</t>
  </si>
  <si>
    <t xml:space="preserve">Bimestre </t>
  </si>
  <si>
    <t>I Bimestre 2009</t>
  </si>
  <si>
    <t>II Bimestre 2009</t>
  </si>
  <si>
    <t>III Bimestre 2009</t>
  </si>
  <si>
    <t>IV Bimestre 2009</t>
  </si>
  <si>
    <t>V Bimestre 2009</t>
  </si>
  <si>
    <t>VI Bimestre 2009</t>
  </si>
  <si>
    <t>I Bimestre 2010</t>
  </si>
  <si>
    <t>II Bimestre 2010</t>
  </si>
  <si>
    <t>III Bimestre 2010</t>
  </si>
  <si>
    <t>IV Bimestre 2010</t>
  </si>
  <si>
    <t>V Bimestre 2010</t>
  </si>
  <si>
    <t>VI Bimestre 2010</t>
  </si>
  <si>
    <t>I Bimestre 2011</t>
  </si>
  <si>
    <t>II Bimestre 2011</t>
  </si>
  <si>
    <t>III Bimestre 2011</t>
  </si>
  <si>
    <t>IV Bimestre 2011</t>
  </si>
  <si>
    <t>V Bimestre 2011</t>
  </si>
  <si>
    <t>VI Bimestre 2011</t>
  </si>
  <si>
    <t>I Bimestre 2012</t>
  </si>
  <si>
    <t>II Bimestre 2012</t>
  </si>
  <si>
    <t>III Bimestre 2012</t>
  </si>
  <si>
    <t>IV Bimestre 2012</t>
  </si>
  <si>
    <t>V Bimestre 2012</t>
  </si>
  <si>
    <t>VI Bimestre 2012</t>
  </si>
  <si>
    <t>I Bimestre 2013</t>
  </si>
  <si>
    <t>II Bimestre 2013</t>
  </si>
  <si>
    <t>III Bimestre 2013</t>
  </si>
  <si>
    <t>IV Bimestre 2013</t>
  </si>
  <si>
    <t>V Bimestre 2013</t>
  </si>
  <si>
    <t>VI Bimestre 2013</t>
  </si>
  <si>
    <t>I Bimestre 2014</t>
  </si>
  <si>
    <t>II Bimestre 2014</t>
  </si>
  <si>
    <t>III Bimestre 2014</t>
  </si>
  <si>
    <t>IV Bimestre 2014</t>
  </si>
  <si>
    <t>V Bimestre 2014</t>
  </si>
  <si>
    <t>VI Bimestre 2014</t>
  </si>
  <si>
    <t>I Bimestre 2015</t>
  </si>
  <si>
    <t>II Bimestre 2015</t>
  </si>
  <si>
    <t>III Bimestre 2015</t>
  </si>
  <si>
    <t>IV Bimestre 2015</t>
  </si>
  <si>
    <t>V Bimestre 2015</t>
  </si>
  <si>
    <t>VI Bimestre 2015</t>
  </si>
  <si>
    <t>I Bimestre 2016</t>
  </si>
  <si>
    <t>II Bimestre 2016</t>
  </si>
  <si>
    <t>III Bimestre 2016</t>
  </si>
  <si>
    <t>IV Bimestre 2016</t>
  </si>
  <si>
    <t>V Bimestre 2016</t>
  </si>
  <si>
    <t>VI Bimestre 2016</t>
  </si>
  <si>
    <t>I Bimestre 2017</t>
  </si>
  <si>
    <t>II Bimestre 2017</t>
  </si>
  <si>
    <t>III Bimestre 2017</t>
  </si>
  <si>
    <t>IV Bimestre 2017</t>
  </si>
  <si>
    <t>V Bimestre 2017</t>
  </si>
  <si>
    <t>VI Bimestre 2017</t>
  </si>
  <si>
    <t>I Bimestre 2018</t>
  </si>
  <si>
    <t>II Bimestre 2018</t>
  </si>
  <si>
    <t>I Bimestre 2007</t>
  </si>
  <si>
    <t>II Bimestre 2007</t>
  </si>
  <si>
    <t>III Bimestre 2007</t>
  </si>
  <si>
    <t>IV Bimestre 2007</t>
  </si>
  <si>
    <t>V Bimestre 2007</t>
  </si>
  <si>
    <t>VI Bimestre 2007</t>
  </si>
  <si>
    <t>I Bimestre 2008</t>
  </si>
  <si>
    <t>II Bimestre 2008</t>
  </si>
  <si>
    <t>III Bimestre 2008</t>
  </si>
  <si>
    <t>IV Bimestre 2008</t>
  </si>
  <si>
    <t>V Bimestre 2008</t>
  </si>
  <si>
    <t>VI Bimestre 2008</t>
  </si>
  <si>
    <t>III Bimestre 2018</t>
  </si>
  <si>
    <t>IV Bimestre 2018</t>
  </si>
  <si>
    <t>V Bimestre 2018</t>
  </si>
  <si>
    <t>VI Bimestre 2018</t>
  </si>
  <si>
    <t>Estacionalidad acumulada</t>
  </si>
  <si>
    <t>I1413070000001</t>
  </si>
  <si>
    <t>Instituto de Desarrollo Rural Fideicomiso Pequeños Medianos productores de piña.</t>
  </si>
  <si>
    <t>Monto en millones</t>
  </si>
  <si>
    <t>Pos.presupuestaria</t>
  </si>
  <si>
    <t>I</t>
  </si>
  <si>
    <t>INGRESOS_TOTAL</t>
  </si>
  <si>
    <t>Septiembre</t>
  </si>
  <si>
    <t>Intereses sobre cuentas corrientes y otros depósitos en Bancos Públicos</t>
  </si>
  <si>
    <t>MULTAS, SANCIONES, REMATES Y COMISOS</t>
  </si>
  <si>
    <t>REMATES Y COMISOS</t>
  </si>
  <si>
    <t>Remates y comisos</t>
  </si>
  <si>
    <t>Reintegros y devoluciones</t>
  </si>
  <si>
    <t>Instituto Nacional de Aprendizaje Ley Nº 7372</t>
  </si>
  <si>
    <t>Acumulado a la fecha</t>
  </si>
  <si>
    <t>Pendiente</t>
  </si>
  <si>
    <t>I3211022300516</t>
  </si>
  <si>
    <t>Crédito BID Nº4433/OC-CR Programa de Emergencias en Respuesta a la Tormenta Tropical Nate Ley N°9595</t>
  </si>
  <si>
    <t>I3321020000923</t>
  </si>
  <si>
    <t>Superávit Específico de la donación de la Unión Europea</t>
  </si>
  <si>
    <t>I1413090000001</t>
  </si>
  <si>
    <t>Servicios Nacional de Aguas Subterráneas, Riego y Avenamiento (SENARA)</t>
  </si>
  <si>
    <t>I3211022400517</t>
  </si>
  <si>
    <t>Crédito BID N° 4507/OC-CR Programa Red Vial Cantonal II (PIV2) Ley N° 8982</t>
  </si>
  <si>
    <t>I1323010600001</t>
  </si>
  <si>
    <t>Intereses sobre títulos valores de instituciones públicas</t>
  </si>
  <si>
    <t>I Bimestre 2019</t>
  </si>
  <si>
    <t>II Bimestre 2019</t>
  </si>
  <si>
    <t>III Bimestre 2019</t>
  </si>
  <si>
    <t>IV Bimestre 2019</t>
  </si>
  <si>
    <t>V Bimestre 2019</t>
  </si>
  <si>
    <t>VI Bimestre 2019</t>
  </si>
  <si>
    <t>I1113010000001</t>
  </si>
  <si>
    <t>I1113020000001</t>
  </si>
  <si>
    <t>I2340000000030</t>
  </si>
  <si>
    <t>Recuperación de otras inversiones</t>
  </si>
  <si>
    <t>Recuperación de inversiones financieras</t>
  </si>
  <si>
    <t>Proceso de Certificación de Efectividad Fiscal 2019</t>
  </si>
  <si>
    <t>trimestre 1/2018</t>
  </si>
  <si>
    <t>trimestre 2/2018</t>
  </si>
  <si>
    <t>trimestre 3/2018</t>
  </si>
  <si>
    <t>trimestre 4/2018</t>
  </si>
  <si>
    <t>trimestre 4/2017</t>
  </si>
  <si>
    <t>Impuesto a los productos de tabaco (Interno)</t>
  </si>
  <si>
    <t>I3321010000924</t>
  </si>
  <si>
    <t>Superávit Específico de la Donación República de orea Iniciativa de Cooperación entre Corea y Améri ca Latina para la Alimentación y la Agricultura (K</t>
  </si>
  <si>
    <t xml:space="preserve"> </t>
  </si>
  <si>
    <t>trimestre 1/2019</t>
  </si>
  <si>
    <t>PIB anual en millones de colones , 1991-2019</t>
  </si>
  <si>
    <t>PIB Trimestral en millones de colones 1991-2018 (Consultado 28/8/2019)</t>
  </si>
  <si>
    <t xml:space="preserve">Proceso de Certificación de Efectividad Fiscal </t>
  </si>
  <si>
    <t>I1111030200001</t>
  </si>
  <si>
    <t>Impuesto sobre rentas de capital inmobiliario de personas físicas</t>
  </si>
  <si>
    <t>I1111030300001</t>
  </si>
  <si>
    <t>Impuesto sobre rentas de capital mobiliario de personas físicas</t>
  </si>
  <si>
    <t>I1111030400001</t>
  </si>
  <si>
    <t>Impuesto sobre las ganancias y pérdidas de capital de personas físicas</t>
  </si>
  <si>
    <t>I1112010200001</t>
  </si>
  <si>
    <t>Impuesto sobre rentas de capital inmobiliario de personas jurídicas del sector público</t>
  </si>
  <si>
    <t>I1112020200001</t>
  </si>
  <si>
    <t>Impuesto sobre rentas de capital inmobiliario de personas jurídicas del Sector Privado</t>
  </si>
  <si>
    <t>I1112020300001</t>
  </si>
  <si>
    <t>Impuesto sobre rentas de capital mobiliario de personas jurídicas del Sector Privado</t>
  </si>
  <si>
    <t>I1112020400001</t>
  </si>
  <si>
    <t>Impuesto sobre las ganancias y pérdidas de capital de personas jurídicas del sector privado</t>
  </si>
  <si>
    <t>I1416020200001</t>
  </si>
  <si>
    <t>Transferencias de aseguradoras públicas para Financ. INEC Ley 9694</t>
  </si>
  <si>
    <t>I1426000000001</t>
  </si>
  <si>
    <t>Transferencias de aseguradoras privadas para Financ. INEC Ley 9694</t>
  </si>
  <si>
    <t>I1411020000001</t>
  </si>
  <si>
    <t>Transferencias corrientes Gobierno Central Superáv it Libre artículo 5 Ley 9371</t>
  </si>
  <si>
    <t>I1412130000001</t>
  </si>
  <si>
    <t>Unidad Ejecutora Programa para la Prevención de la Violencia y Promoción de la Inclusión Social del Ministerio de Justicia y Paz</t>
  </si>
  <si>
    <t>I1412140000001</t>
  </si>
  <si>
    <t>Transferencias corrientes Órganos Desconcentrados Superávit Libre artículo 5 Ley 9371</t>
  </si>
  <si>
    <t>I1413100000001</t>
  </si>
  <si>
    <t>Transferencias corrientes Instituciones Descentral izadas no Empresariales Superávit Libre artículo 5 Ley 9371</t>
  </si>
  <si>
    <t>I1414030000001</t>
  </si>
  <si>
    <t>Transferencias de Gobiernos locales Superávit Libre artículo 5 Ley Nº 9371</t>
  </si>
  <si>
    <t>I1425000000001</t>
  </si>
  <si>
    <t>Transferencias corrientes del Sector Privado-Super ávit Libre artículo 5 Ley 9371</t>
  </si>
  <si>
    <t>Certificación 2019</t>
  </si>
  <si>
    <t>Revisión CGR 2019</t>
  </si>
  <si>
    <t>Ejecución a la fecha_Certificado</t>
  </si>
  <si>
    <t>Ejecución a la fecha_revisado</t>
  </si>
  <si>
    <t>Venta de servicios -MOPT-Instituto Geográfico Naci onal</t>
  </si>
  <si>
    <t>I1112010300001</t>
  </si>
  <si>
    <t>Impuesto sobre rentas de capital mobiliario de personas jurídicas del sector público</t>
  </si>
  <si>
    <t>Impuesto sobre rentas de capital inmobiliario de personas jurídicas del sector público (post-reforma)</t>
  </si>
  <si>
    <t>I3211010500454</t>
  </si>
  <si>
    <t>I3211022500518</t>
  </si>
  <si>
    <t>I3212030000694</t>
  </si>
  <si>
    <t>I3321010000925</t>
  </si>
  <si>
    <t>Crédito BCIE 2198 Programa de Alcantarillado y Control de Inundaciones para Limón, autorizado median te Ley No.9690 del 27 de junio del 2019</t>
  </si>
  <si>
    <t>Crédito BID N° 4819/OC-CR Programa de Apoyo a la Sostenibilidad Fiscal Ley N° 9754</t>
  </si>
  <si>
    <t>Crédito KFW N° 28568 Programa de Saneamiento en Zo nas Prioritarias, Ley N° 9723</t>
  </si>
  <si>
    <t>Superávit Específico préstamo CAF Bajos de Chilama te - Vuelta Kooper</t>
  </si>
  <si>
    <t>I1112010400001</t>
  </si>
  <si>
    <t>Impuesto sobre las ganancias y pérdidas de capital de personas jurídicas del sector público</t>
  </si>
  <si>
    <t>I2413010000060</t>
  </si>
  <si>
    <t>Instituto Nacional de Aprendizaje. Ley Nº7372 de 22-11-93</t>
  </si>
  <si>
    <t>I3211090200661</t>
  </si>
  <si>
    <t>Contrato Préstamo para financiar el Programa de Apoyo para el Fortalecimiento de las Finanzas Públicas</t>
  </si>
  <si>
    <t>I1415040000001</t>
  </si>
  <si>
    <t>Refinadora Costarricense de Petroleo art. 5 y 6 Ley N°9840 Emergencia COVID-19</t>
  </si>
  <si>
    <t>I1331090700001</t>
  </si>
  <si>
    <t>Multas por incumplimiento restricción sanitaria COVID-19</t>
  </si>
  <si>
    <t>I2416020100060</t>
  </si>
  <si>
    <t>Instituto Nacional de Seguros. Atención emergencia COVID-19 Ley N°9847</t>
  </si>
  <si>
    <t>Salarios</t>
  </si>
  <si>
    <t>Ingresos y utilidades</t>
  </si>
  <si>
    <t>Cap Inmobiliario</t>
  </si>
  <si>
    <t>Cap Mobiliario</t>
  </si>
  <si>
    <t>Gan. y Perd. Cap.</t>
  </si>
  <si>
    <t xml:space="preserve">Mayo </t>
  </si>
  <si>
    <t>Físicas</t>
  </si>
  <si>
    <t>Jurídicas</t>
  </si>
  <si>
    <t>Gan y Per Capital</t>
  </si>
  <si>
    <t>Dividenos</t>
  </si>
  <si>
    <t>(Varios elementos)</t>
  </si>
  <si>
    <t>Dividendos</t>
  </si>
  <si>
    <t>Títulos Valores</t>
  </si>
  <si>
    <t xml:space="preserve">Enero </t>
  </si>
  <si>
    <t xml:space="preserve">Abril </t>
  </si>
  <si>
    <t>Remesas</t>
  </si>
  <si>
    <t>I1392000000001</t>
  </si>
  <si>
    <t>Ejecución de contratos de seguros</t>
  </si>
  <si>
    <t>I3211022600519</t>
  </si>
  <si>
    <t>Crédito BID N.°4988/OC-CR Programa hacia una Economía Verde: Apoyo al Plan de Descarbonización de Costa Rica. Ley Nº 9846</t>
  </si>
  <si>
    <t>I3211090200662</t>
  </si>
  <si>
    <t>AFD Contrato de Préstamo N.° CCR 1011 01F Ley Nº 9846. Programa de Apoyo Presupuestario para el Fortalecimiento de las Políticas</t>
  </si>
  <si>
    <t>I3211090200663</t>
  </si>
  <si>
    <t>FMI Crédito Instrumento de Financiamiento Rápido ( IFR) para apoyo presupuestario en la atención de l a emergencia COVID-19</t>
  </si>
  <si>
    <t>2020</t>
  </si>
  <si>
    <t>Serie actualizada al 03/12/2020. año base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</si>
</sst>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164" formatCode="_-* #,##0.00\ _€_-;\-* #,##0.00\ _€_-;_-* &quot;-&quot;??\ _€_-;_-@_-"/>
    <numFmt numFmtId="165" formatCode="#,##0.0"/>
    <numFmt numFmtId="166" formatCode="_-* #,##0\ _€_-;\-* #,##0\ _€_-;_-* &quot;-&quot;??\ _€_-;_-@_-"/>
    <numFmt numFmtId="167" formatCode="0.0%"/>
    <numFmt numFmtId="168" formatCode="_-* #,##0.00000\ _€_-;\-* #,##0.00000\ _€_-;_-* &quot;-&quot;??\ _€_-;_-@_-"/>
    <numFmt numFmtId="169" formatCode="_-* #,##0.0000\ _€_-;\-* #,##0.0000\ _€_-;_-* &quot;-&quot;??\ _€_-;_-@_-"/>
    <numFmt numFmtId="170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0"/>
      <name val="Arial"/>
      <family val="2"/>
    </font>
    <font>
      <sz val="2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indexed="22"/>
        <bgColor indexed="0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218">
    <xf numFmtId="0" fontId="0" fillId="0" borderId="0" xfId="0"/>
    <xf numFmtId="4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65" fontId="0" fillId="0" borderId="0" xfId="0" applyNumberFormat="1" applyAlignment="1">
      <alignment horizontal="right" vertical="top"/>
    </xf>
    <xf numFmtId="0" fontId="6" fillId="3" borderId="2" xfId="3" applyFont="1" applyFill="1" applyBorder="1" applyAlignment="1">
      <alignment horizontal="center"/>
    </xf>
    <xf numFmtId="0" fontId="0" fillId="0" borderId="3" xfId="0" applyBorder="1"/>
    <xf numFmtId="0" fontId="0" fillId="0" borderId="3" xfId="0" applyFill="1" applyBorder="1"/>
    <xf numFmtId="0" fontId="0" fillId="0" borderId="0" xfId="0" applyFill="1" applyAlignment="1">
      <alignment vertical="top"/>
    </xf>
    <xf numFmtId="0" fontId="0" fillId="0" borderId="3" xfId="0" applyBorder="1" applyAlignment="1">
      <alignment vertical="top"/>
    </xf>
    <xf numFmtId="0" fontId="3" fillId="0" borderId="3" xfId="0" applyFont="1" applyFill="1" applyBorder="1"/>
    <xf numFmtId="0" fontId="0" fillId="0" borderId="3" xfId="0" applyFill="1" applyBorder="1" applyAlignment="1">
      <alignment vertical="top"/>
    </xf>
    <xf numFmtId="0" fontId="0" fillId="0" borderId="3" xfId="0" applyFont="1" applyFill="1" applyBorder="1" applyAlignment="1">
      <alignment horizontal="left"/>
    </xf>
    <xf numFmtId="0" fontId="2" fillId="2" borderId="3" xfId="2" applyFont="1" applyBorder="1" applyAlignment="1">
      <alignment horizontal="center" vertical="center"/>
    </xf>
    <xf numFmtId="0" fontId="2" fillId="2" borderId="3" xfId="2" applyFont="1" applyBorder="1" applyAlignment="1">
      <alignment horizontal="center" vertical="center" wrapText="1"/>
    </xf>
    <xf numFmtId="0" fontId="6" fillId="3" borderId="2" xfId="3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3" xfId="1" applyNumberFormat="1" applyFont="1" applyBorder="1"/>
    <xf numFmtId="0" fontId="4" fillId="4" borderId="3" xfId="0" applyFont="1" applyFill="1" applyBorder="1" applyAlignment="1">
      <alignment horizontal="center" vertical="center"/>
    </xf>
    <xf numFmtId="41" fontId="0" fillId="0" borderId="3" xfId="4" applyFont="1" applyBorder="1"/>
    <xf numFmtId="0" fontId="0" fillId="0" borderId="0" xfId="0" applyAlignment="1">
      <alignment horizontal="left" indent="1"/>
    </xf>
    <xf numFmtId="41" fontId="0" fillId="0" borderId="0" xfId="0" applyNumberFormat="1"/>
    <xf numFmtId="167" fontId="0" fillId="0" borderId="3" xfId="5" applyNumberFormat="1" applyFont="1" applyBorder="1"/>
    <xf numFmtId="167" fontId="0" fillId="0" borderId="0" xfId="0" applyNumberFormat="1"/>
    <xf numFmtId="0" fontId="7" fillId="0" borderId="1" xfId="3" applyFont="1" applyFill="1" applyBorder="1" applyAlignment="1"/>
    <xf numFmtId="0" fontId="7" fillId="0" borderId="1" xfId="3" applyFont="1" applyFill="1" applyBorder="1" applyAlignment="1">
      <alignment horizontal="right"/>
    </xf>
    <xf numFmtId="166" fontId="7" fillId="0" borderId="1" xfId="1" applyNumberFormat="1" applyFont="1" applyFill="1" applyBorder="1" applyAlignment="1"/>
    <xf numFmtId="1" fontId="0" fillId="0" borderId="0" xfId="0" applyNumberFormat="1"/>
    <xf numFmtId="166" fontId="6" fillId="0" borderId="1" xfId="1" applyNumberFormat="1" applyFont="1" applyFill="1" applyBorder="1" applyAlignment="1">
      <alignment horizontal="center" vertical="center"/>
    </xf>
    <xf numFmtId="0" fontId="0" fillId="0" borderId="0" xfId="0" applyNumberFormat="1"/>
    <xf numFmtId="9" fontId="0" fillId="0" borderId="0" xfId="0" applyNumberFormat="1"/>
    <xf numFmtId="0" fontId="0" fillId="6" borderId="13" xfId="0" applyFill="1" applyBorder="1"/>
    <xf numFmtId="0" fontId="0" fillId="6" borderId="10" xfId="0" applyFill="1" applyBorder="1"/>
    <xf numFmtId="0" fontId="0" fillId="6" borderId="0" xfId="0" applyFill="1" applyBorder="1"/>
    <xf numFmtId="0" fontId="0" fillId="6" borderId="14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15" xfId="0" applyFill="1" applyBorder="1"/>
    <xf numFmtId="0" fontId="0" fillId="0" borderId="5" xfId="0" applyBorder="1"/>
    <xf numFmtId="0" fontId="6" fillId="0" borderId="0" xfId="3" applyFont="1" applyFill="1" applyBorder="1" applyAlignment="1">
      <alignment horizontal="center"/>
    </xf>
    <xf numFmtId="166" fontId="7" fillId="0" borderId="6" xfId="1" applyNumberFormat="1" applyFont="1" applyFill="1" applyBorder="1" applyAlignment="1"/>
    <xf numFmtId="166" fontId="6" fillId="0" borderId="0" xfId="1" applyNumberFormat="1" applyFont="1" applyFill="1" applyBorder="1" applyAlignment="1">
      <alignment horizontal="center"/>
    </xf>
    <xf numFmtId="166" fontId="6" fillId="0" borderId="0" xfId="1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" fontId="8" fillId="0" borderId="3" xfId="0" applyNumberFormat="1" applyFont="1" applyBorder="1"/>
    <xf numFmtId="165" fontId="8" fillId="0" borderId="3" xfId="0" applyNumberFormat="1" applyFont="1" applyBorder="1"/>
    <xf numFmtId="49" fontId="9" fillId="4" borderId="3" xfId="0" applyNumberFormat="1" applyFont="1" applyFill="1" applyBorder="1" applyAlignment="1">
      <alignment horizontal="center" vertical="center"/>
    </xf>
    <xf numFmtId="0" fontId="0" fillId="6" borderId="4" xfId="0" applyFill="1" applyBorder="1" applyAlignment="1"/>
    <xf numFmtId="0" fontId="0" fillId="6" borderId="5" xfId="0" applyFill="1" applyBorder="1" applyAlignment="1"/>
    <xf numFmtId="0" fontId="3" fillId="7" borderId="16" xfId="0" applyFont="1" applyFill="1" applyBorder="1" applyAlignment="1">
      <alignment horizontal="center" vertical="center"/>
    </xf>
    <xf numFmtId="10" fontId="0" fillId="0" borderId="0" xfId="5" applyNumberFormat="1" applyFont="1"/>
    <xf numFmtId="166" fontId="7" fillId="0" borderId="1" xfId="1" applyNumberFormat="1" applyFont="1" applyFill="1" applyBorder="1" applyAlignment="1">
      <alignment horizontal="right"/>
    </xf>
    <xf numFmtId="166" fontId="0" fillId="0" borderId="0" xfId="1" applyNumberFormat="1" applyFont="1"/>
    <xf numFmtId="166" fontId="5" fillId="0" borderId="0" xfId="1" applyNumberFormat="1" applyFont="1" applyAlignment="1"/>
    <xf numFmtId="166" fontId="0" fillId="0" borderId="0" xfId="1" applyNumberFormat="1" applyFont="1" applyAlignment="1">
      <alignment horizontal="right" vertical="top"/>
    </xf>
    <xf numFmtId="166" fontId="0" fillId="0" borderId="0" xfId="1" applyNumberFormat="1" applyFont="1" applyFill="1"/>
    <xf numFmtId="166" fontId="0" fillId="0" borderId="0" xfId="1" applyNumberFormat="1" applyFont="1" applyFill="1" applyAlignment="1">
      <alignment horizontal="right" vertical="top"/>
    </xf>
    <xf numFmtId="0" fontId="3" fillId="6" borderId="0" xfId="0" applyFont="1" applyFill="1" applyBorder="1" applyAlignment="1">
      <alignment horizontal="center"/>
    </xf>
    <xf numFmtId="0" fontId="0" fillId="0" borderId="0" xfId="0" applyAlignment="1">
      <alignment horizontal="left" indent="2"/>
    </xf>
    <xf numFmtId="0" fontId="0" fillId="8" borderId="0" xfId="0" applyFill="1" applyAlignment="1">
      <alignment horizontal="left"/>
    </xf>
    <xf numFmtId="166" fontId="0" fillId="8" borderId="0" xfId="0" applyNumberFormat="1" applyFill="1"/>
    <xf numFmtId="0" fontId="0" fillId="8" borderId="0" xfId="0" applyFill="1" applyAlignment="1">
      <alignment horizontal="left" indent="2"/>
    </xf>
    <xf numFmtId="0" fontId="0" fillId="0" borderId="0" xfId="0" applyAlignment="1">
      <alignment horizontal="left" indent="3"/>
    </xf>
    <xf numFmtId="0" fontId="0" fillId="8" borderId="0" xfId="0" applyFill="1" applyAlignment="1">
      <alignment horizontal="left" indent="3"/>
    </xf>
    <xf numFmtId="0" fontId="4" fillId="9" borderId="3" xfId="0" applyFont="1" applyFill="1" applyBorder="1" applyAlignment="1">
      <alignment horizontal="left" vertical="center"/>
    </xf>
    <xf numFmtId="167" fontId="4" fillId="9" borderId="3" xfId="5" applyNumberFormat="1" applyFont="1" applyFill="1" applyBorder="1"/>
    <xf numFmtId="0" fontId="0" fillId="10" borderId="3" xfId="0" applyFill="1" applyBorder="1"/>
    <xf numFmtId="167" fontId="0" fillId="10" borderId="3" xfId="5" applyNumberFormat="1" applyFont="1" applyFill="1" applyBorder="1"/>
    <xf numFmtId="167" fontId="0" fillId="0" borderId="3" xfId="5" applyNumberFormat="1" applyFont="1" applyFill="1" applyBorder="1"/>
    <xf numFmtId="166" fontId="4" fillId="9" borderId="3" xfId="1" applyNumberFormat="1" applyFont="1" applyFill="1" applyBorder="1" applyAlignment="1">
      <alignment horizontal="left" vertical="center"/>
    </xf>
    <xf numFmtId="166" fontId="4" fillId="9" borderId="3" xfId="1" applyNumberFormat="1" applyFont="1" applyFill="1" applyBorder="1"/>
    <xf numFmtId="0" fontId="6" fillId="0" borderId="0" xfId="3" applyFont="1" applyFill="1" applyBorder="1" applyAlignment="1">
      <alignment horizontal="left"/>
    </xf>
    <xf numFmtId="0" fontId="7" fillId="0" borderId="1" xfId="3" applyFont="1" applyFill="1" applyBorder="1" applyAlignment="1">
      <alignment horizontal="left"/>
    </xf>
    <xf numFmtId="0" fontId="0" fillId="0" borderId="0" xfId="0" applyAlignment="1">
      <alignment horizontal="left" vertical="top"/>
    </xf>
    <xf numFmtId="0" fontId="6" fillId="0" borderId="1" xfId="3" applyFont="1" applyFill="1" applyBorder="1" applyAlignment="1"/>
    <xf numFmtId="167" fontId="0" fillId="0" borderId="0" xfId="5" applyNumberFormat="1" applyFont="1"/>
    <xf numFmtId="17" fontId="0" fillId="0" borderId="3" xfId="0" applyNumberFormat="1" applyBorder="1"/>
    <xf numFmtId="17" fontId="0" fillId="8" borderId="3" xfId="0" applyNumberFormat="1" applyFill="1" applyBorder="1"/>
    <xf numFmtId="0" fontId="0" fillId="8" borderId="3" xfId="0" applyFill="1" applyBorder="1"/>
    <xf numFmtId="0" fontId="3" fillId="8" borderId="3" xfId="0" applyFont="1" applyFill="1" applyBorder="1"/>
    <xf numFmtId="41" fontId="0" fillId="8" borderId="3" xfId="4" applyFont="1" applyFill="1" applyBorder="1"/>
    <xf numFmtId="166" fontId="0" fillId="8" borderId="3" xfId="1" applyNumberFormat="1" applyFont="1" applyFill="1" applyBorder="1"/>
    <xf numFmtId="167" fontId="0" fillId="8" borderId="3" xfId="5" applyNumberFormat="1" applyFont="1" applyFill="1" applyBorder="1"/>
    <xf numFmtId="166" fontId="0" fillId="0" borderId="3" xfId="0" applyNumberFormat="1" applyBorder="1"/>
    <xf numFmtId="41" fontId="0" fillId="0" borderId="3" xfId="0" applyNumberFormat="1" applyBorder="1"/>
    <xf numFmtId="167" fontId="0" fillId="6" borderId="0" xfId="5" applyNumberFormat="1" applyFont="1" applyFill="1" applyBorder="1"/>
    <xf numFmtId="0" fontId="4" fillId="4" borderId="8" xfId="0" applyFont="1" applyFill="1" applyBorder="1"/>
    <xf numFmtId="0" fontId="4" fillId="4" borderId="8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168" fontId="0" fillId="0" borderId="0" xfId="1" applyNumberFormat="1" applyFont="1"/>
    <xf numFmtId="0" fontId="0" fillId="0" borderId="0" xfId="0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6" fillId="0" borderId="1" xfId="3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0" fontId="0" fillId="6" borderId="0" xfId="0" applyFill="1"/>
    <xf numFmtId="167" fontId="0" fillId="6" borderId="0" xfId="5" applyNumberFormat="1" applyFont="1" applyFill="1"/>
    <xf numFmtId="166" fontId="0" fillId="6" borderId="0" xfId="1" applyNumberFormat="1" applyFont="1" applyFill="1"/>
    <xf numFmtId="166" fontId="0" fillId="6" borderId="0" xfId="1" applyNumberFormat="1" applyFont="1" applyFill="1" applyBorder="1"/>
    <xf numFmtId="0" fontId="0" fillId="6" borderId="0" xfId="0" applyFont="1" applyFill="1" applyBorder="1"/>
    <xf numFmtId="166" fontId="6" fillId="0" borderId="1" xfId="1" applyNumberFormat="1" applyFont="1" applyFill="1" applyBorder="1" applyAlignment="1"/>
    <xf numFmtId="166" fontId="6" fillId="0" borderId="1" xfId="1" applyNumberFormat="1" applyFont="1" applyFill="1" applyBorder="1" applyAlignment="1">
      <alignment horizontal="right"/>
    </xf>
    <xf numFmtId="0" fontId="0" fillId="6" borderId="0" xfId="0" applyFill="1" applyBorder="1" applyAlignment="1">
      <alignment horizontal="center" vertical="center"/>
    </xf>
    <xf numFmtId="166" fontId="0" fillId="6" borderId="0" xfId="0" applyNumberFormat="1" applyFill="1"/>
    <xf numFmtId="9" fontId="0" fillId="6" borderId="0" xfId="5" applyFont="1" applyFill="1"/>
    <xf numFmtId="167" fontId="0" fillId="6" borderId="0" xfId="0" applyNumberFormat="1" applyFill="1"/>
    <xf numFmtId="9" fontId="0" fillId="6" borderId="0" xfId="0" applyNumberFormat="1" applyFill="1"/>
    <xf numFmtId="166" fontId="0" fillId="0" borderId="9" xfId="1" applyNumberFormat="1" applyFont="1" applyBorder="1"/>
    <xf numFmtId="167" fontId="0" fillId="0" borderId="9" xfId="5" applyNumberFormat="1" applyFont="1" applyBorder="1"/>
    <xf numFmtId="0" fontId="0" fillId="12" borderId="3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12" borderId="3" xfId="0" applyFill="1" applyBorder="1" applyAlignment="1">
      <alignment horizontal="center" vertical="center"/>
    </xf>
    <xf numFmtId="166" fontId="3" fillId="6" borderId="0" xfId="0" applyNumberFormat="1" applyFont="1" applyFill="1"/>
    <xf numFmtId="164" fontId="0" fillId="0" borderId="0" xfId="0" applyNumberFormat="1"/>
    <xf numFmtId="169" fontId="0" fillId="0" borderId="0" xfId="0" applyNumberFormat="1"/>
    <xf numFmtId="0" fontId="0" fillId="4" borderId="0" xfId="0" applyFill="1" applyAlignment="1">
      <alignment vertical="top"/>
    </xf>
    <xf numFmtId="166" fontId="3" fillId="4" borderId="0" xfId="0" applyNumberFormat="1" applyFont="1" applyFill="1"/>
    <xf numFmtId="166" fontId="0" fillId="4" borderId="0" xfId="0" applyNumberFormat="1" applyFill="1"/>
    <xf numFmtId="167" fontId="0" fillId="4" borderId="0" xfId="5" applyNumberFormat="1" applyFont="1" applyFill="1"/>
    <xf numFmtId="166" fontId="0" fillId="4" borderId="0" xfId="1" applyNumberFormat="1" applyFont="1" applyFill="1"/>
    <xf numFmtId="0" fontId="0" fillId="4" borderId="0" xfId="0" applyFill="1" applyAlignment="1">
      <alignment horizontal="center" vertical="center"/>
    </xf>
    <xf numFmtId="166" fontId="3" fillId="4" borderId="0" xfId="1" applyNumberFormat="1" applyFont="1" applyFill="1" applyAlignment="1">
      <alignment horizontal="center" vertical="center"/>
    </xf>
    <xf numFmtId="166" fontId="0" fillId="4" borderId="0" xfId="1" applyNumberFormat="1" applyFont="1" applyFill="1" applyAlignment="1">
      <alignment horizontal="center" vertical="center"/>
    </xf>
    <xf numFmtId="0" fontId="0" fillId="8" borderId="0" xfId="0" applyFill="1" applyAlignment="1">
      <alignment vertical="top"/>
    </xf>
    <xf numFmtId="166" fontId="3" fillId="8" borderId="0" xfId="0" applyNumberFormat="1" applyFont="1" applyFill="1"/>
    <xf numFmtId="167" fontId="0" fillId="8" borderId="0" xfId="5" applyNumberFormat="1" applyFont="1" applyFill="1"/>
    <xf numFmtId="166" fontId="0" fillId="8" borderId="0" xfId="1" applyNumberFormat="1" applyFont="1" applyFill="1"/>
    <xf numFmtId="0" fontId="0" fillId="11" borderId="0" xfId="0" applyFill="1" applyAlignment="1">
      <alignment vertical="top"/>
    </xf>
    <xf numFmtId="166" fontId="3" fillId="11" borderId="0" xfId="0" applyNumberFormat="1" applyFont="1" applyFill="1"/>
    <xf numFmtId="166" fontId="0" fillId="11" borderId="0" xfId="0" applyNumberFormat="1" applyFill="1"/>
    <xf numFmtId="167" fontId="0" fillId="11" borderId="0" xfId="5" applyNumberFormat="1" applyFont="1" applyFill="1"/>
    <xf numFmtId="166" fontId="0" fillId="11" borderId="0" xfId="1" applyNumberFormat="1" applyFont="1" applyFill="1"/>
    <xf numFmtId="166" fontId="3" fillId="11" borderId="0" xfId="1" applyNumberFormat="1" applyFont="1" applyFill="1"/>
    <xf numFmtId="0" fontId="0" fillId="11" borderId="0" xfId="0" applyFill="1" applyAlignment="1">
      <alignment horizontal="center"/>
    </xf>
    <xf numFmtId="166" fontId="1" fillId="11" borderId="0" xfId="1" applyNumberFormat="1" applyFont="1" applyFill="1"/>
    <xf numFmtId="0" fontId="0" fillId="13" borderId="0" xfId="0" applyFill="1" applyAlignment="1">
      <alignment vertical="top"/>
    </xf>
    <xf numFmtId="166" fontId="3" fillId="13" borderId="0" xfId="0" applyNumberFormat="1" applyFont="1" applyFill="1"/>
    <xf numFmtId="166" fontId="0" fillId="13" borderId="0" xfId="0" applyNumberFormat="1" applyFill="1"/>
    <xf numFmtId="167" fontId="0" fillId="13" borderId="0" xfId="5" applyNumberFormat="1" applyFont="1" applyFill="1"/>
    <xf numFmtId="166" fontId="0" fillId="13" borderId="0" xfId="1" applyNumberFormat="1" applyFont="1" applyFill="1"/>
    <xf numFmtId="0" fontId="0" fillId="13" borderId="0" xfId="0" applyFill="1"/>
    <xf numFmtId="166" fontId="6" fillId="0" borderId="20" xfId="1" applyNumberFormat="1" applyFont="1" applyFill="1" applyBorder="1" applyAlignment="1">
      <alignment horizontal="right"/>
    </xf>
    <xf numFmtId="17" fontId="0" fillId="14" borderId="3" xfId="0" applyNumberFormat="1" applyFill="1" applyBorder="1"/>
    <xf numFmtId="0" fontId="0" fillId="14" borderId="3" xfId="0" applyFill="1" applyBorder="1"/>
    <xf numFmtId="0" fontId="3" fillId="14" borderId="3" xfId="0" applyFont="1" applyFill="1" applyBorder="1"/>
    <xf numFmtId="166" fontId="0" fillId="14" borderId="3" xfId="1" applyNumberFormat="1" applyFont="1" applyFill="1" applyBorder="1"/>
    <xf numFmtId="167" fontId="0" fillId="14" borderId="3" xfId="5" applyNumberFormat="1" applyFont="1" applyFill="1" applyBorder="1"/>
    <xf numFmtId="166" fontId="0" fillId="0" borderId="3" xfId="1" applyNumberFormat="1" applyFont="1" applyFill="1" applyBorder="1"/>
    <xf numFmtId="166" fontId="6" fillId="0" borderId="20" xfId="1" applyNumberFormat="1" applyFont="1" applyFill="1" applyBorder="1" applyAlignment="1"/>
    <xf numFmtId="166" fontId="6" fillId="6" borderId="1" xfId="1" applyNumberFormat="1" applyFont="1" applyFill="1" applyBorder="1" applyAlignment="1">
      <alignment horizontal="right"/>
    </xf>
    <xf numFmtId="166" fontId="6" fillId="6" borderId="1" xfId="1" applyNumberFormat="1" applyFont="1" applyFill="1" applyBorder="1" applyAlignment="1"/>
    <xf numFmtId="166" fontId="6" fillId="6" borderId="20" xfId="1" applyNumberFormat="1" applyFont="1" applyFill="1" applyBorder="1" applyAlignment="1">
      <alignment horizontal="right"/>
    </xf>
    <xf numFmtId="0" fontId="10" fillId="5" borderId="7" xfId="0" applyFont="1" applyFill="1" applyBorder="1" applyAlignment="1"/>
    <xf numFmtId="0" fontId="10" fillId="5" borderId="8" xfId="0" applyFont="1" applyFill="1" applyBorder="1" applyAlignment="1"/>
    <xf numFmtId="166" fontId="0" fillId="4" borderId="0" xfId="1" applyNumberFormat="1" applyFont="1" applyFill="1" applyAlignment="1">
      <alignment horizontal="right"/>
    </xf>
    <xf numFmtId="166" fontId="3" fillId="4" borderId="0" xfId="0" applyNumberFormat="1" applyFont="1" applyFill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166" fontId="0" fillId="8" borderId="0" xfId="1" applyNumberFormat="1" applyFont="1" applyFill="1" applyAlignment="1">
      <alignment horizontal="center" vertical="center"/>
    </xf>
    <xf numFmtId="166" fontId="3" fillId="11" borderId="0" xfId="0" applyNumberFormat="1" applyFont="1" applyFill="1" applyAlignment="1">
      <alignment horizontal="center" vertical="center"/>
    </xf>
    <xf numFmtId="166" fontId="0" fillId="11" borderId="0" xfId="1" applyNumberFormat="1" applyFont="1" applyFill="1" applyAlignment="1">
      <alignment horizontal="center" vertical="center"/>
    </xf>
    <xf numFmtId="0" fontId="0" fillId="6" borderId="0" xfId="5" applyNumberFormat="1" applyFont="1" applyFill="1"/>
    <xf numFmtId="0" fontId="0" fillId="4" borderId="0" xfId="5" applyNumberFormat="1" applyFont="1" applyFill="1"/>
    <xf numFmtId="164" fontId="1" fillId="6" borderId="0" xfId="1" applyNumberFormat="1" applyFill="1"/>
    <xf numFmtId="166" fontId="0" fillId="6" borderId="0" xfId="1" applyNumberFormat="1" applyFont="1" applyFill="1" applyAlignment="1">
      <alignment horizontal="right" vertical="top"/>
    </xf>
    <xf numFmtId="166" fontId="0" fillId="6" borderId="3" xfId="1" applyNumberFormat="1" applyFont="1" applyFill="1" applyBorder="1"/>
    <xf numFmtId="167" fontId="0" fillId="6" borderId="3" xfId="5" applyNumberFormat="1" applyFont="1" applyFill="1" applyBorder="1"/>
    <xf numFmtId="167" fontId="0" fillId="8" borderId="9" xfId="5" applyNumberFormat="1" applyFont="1" applyFill="1" applyBorder="1"/>
    <xf numFmtId="17" fontId="0" fillId="6" borderId="3" xfId="0" applyNumberFormat="1" applyFill="1" applyBorder="1"/>
    <xf numFmtId="0" fontId="0" fillId="6" borderId="3" xfId="0" applyFill="1" applyBorder="1"/>
    <xf numFmtId="0" fontId="3" fillId="6" borderId="3" xfId="0" applyFont="1" applyFill="1" applyBorder="1"/>
    <xf numFmtId="41" fontId="0" fillId="6" borderId="3" xfId="4" applyFont="1" applyFill="1" applyBorder="1"/>
    <xf numFmtId="170" fontId="0" fillId="0" borderId="0" xfId="6" applyNumberFormat="1" applyFont="1" applyAlignment="1">
      <alignment horizontal="center"/>
    </xf>
    <xf numFmtId="164" fontId="0" fillId="0" borderId="0" xfId="1" applyFont="1"/>
    <xf numFmtId="167" fontId="11" fillId="0" borderId="0" xfId="5" applyNumberFormat="1" applyFont="1" applyAlignment="1">
      <alignment horizontal="center"/>
    </xf>
    <xf numFmtId="0" fontId="8" fillId="6" borderId="0" xfId="0" applyFont="1" applyFill="1" applyAlignment="1">
      <alignment vertical="top"/>
    </xf>
    <xf numFmtId="0" fontId="0" fillId="15" borderId="0" xfId="0" applyFill="1"/>
    <xf numFmtId="0" fontId="3" fillId="15" borderId="0" xfId="0" applyFont="1" applyFill="1"/>
    <xf numFmtId="0" fontId="3" fillId="15" borderId="5" xfId="0" applyFont="1" applyFill="1" applyBorder="1" applyAlignment="1">
      <alignment horizontal="left"/>
    </xf>
    <xf numFmtId="0" fontId="3" fillId="15" borderId="5" xfId="0" applyFont="1" applyFill="1" applyBorder="1"/>
    <xf numFmtId="0" fontId="12" fillId="15" borderId="0" xfId="0" applyFont="1" applyFill="1" applyAlignment="1">
      <alignment horizontal="center"/>
    </xf>
    <xf numFmtId="0" fontId="12" fillId="15" borderId="0" xfId="0" applyFont="1" applyFill="1" applyAlignment="1"/>
    <xf numFmtId="0" fontId="12" fillId="6" borderId="0" xfId="0" applyFont="1" applyFill="1" applyAlignment="1">
      <alignment horizontal="center"/>
    </xf>
    <xf numFmtId="0" fontId="12" fillId="6" borderId="0" xfId="0" applyFont="1" applyFill="1" applyAlignment="1"/>
    <xf numFmtId="4" fontId="0" fillId="6" borderId="0" xfId="0" applyNumberFormat="1" applyFill="1" applyBorder="1" applyAlignment="1">
      <alignment horizontal="right" vertical="top"/>
    </xf>
    <xf numFmtId="4" fontId="0" fillId="6" borderId="0" xfId="0" applyNumberFormat="1" applyFill="1" applyAlignment="1">
      <alignment horizontal="right" vertical="top"/>
    </xf>
    <xf numFmtId="3" fontId="0" fillId="6" borderId="0" xfId="0" applyNumberFormat="1" applyFill="1" applyAlignment="1">
      <alignment horizontal="right" vertical="top"/>
    </xf>
    <xf numFmtId="166" fontId="0" fillId="0" borderId="0" xfId="0" applyNumberFormat="1" applyFill="1"/>
    <xf numFmtId="166" fontId="0" fillId="6" borderId="0" xfId="1" applyNumberFormat="1" applyFont="1" applyFill="1" applyBorder="1" applyAlignment="1">
      <alignment horizontal="right" vertical="top"/>
    </xf>
    <xf numFmtId="0" fontId="4" fillId="11" borderId="3" xfId="0" applyFont="1" applyFill="1" applyBorder="1" applyAlignment="1">
      <alignment horizontal="center"/>
    </xf>
    <xf numFmtId="0" fontId="4" fillId="11" borderId="18" xfId="0" applyFont="1" applyFill="1" applyBorder="1" applyAlignment="1">
      <alignment horizontal="center" vertical="center" wrapText="1"/>
    </xf>
    <xf numFmtId="0" fontId="4" fillId="11" borderId="17" xfId="0" applyFont="1" applyFill="1" applyBorder="1" applyAlignment="1">
      <alignment horizontal="center" vertical="center" wrapText="1"/>
    </xf>
    <xf numFmtId="0" fontId="4" fillId="11" borderId="19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3" fillId="15" borderId="0" xfId="0" applyFont="1" applyFill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13" fillId="15" borderId="0" xfId="0" applyFont="1" applyFill="1" applyAlignment="1">
      <alignment horizontal="center"/>
    </xf>
    <xf numFmtId="0" fontId="12" fillId="15" borderId="0" xfId="0" applyFont="1" applyFill="1" applyAlignment="1">
      <alignment horizontal="center"/>
    </xf>
  </cellXfs>
  <cellStyles count="7">
    <cellStyle name="Énfasis1" xfId="2" builtinId="29"/>
    <cellStyle name="Millares" xfId="1" builtinId="3"/>
    <cellStyle name="Millares [0]" xfId="4" builtinId="6"/>
    <cellStyle name="Normal" xfId="0" builtinId="0"/>
    <cellStyle name="Normal 2" xfId="6" xr:uid="{00000000-0005-0000-0000-000004000000}"/>
    <cellStyle name="Normal_Base de datos" xfId="3" xr:uid="{00000000-0005-0000-0000-000005000000}"/>
    <cellStyle name="Porcentaje" xfId="5" builtinId="5"/>
  </cellStyles>
  <dxfs count="105"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_-* #,##0\ _€_-;\-* #,##0\ _€_-;_-* &quot;-&quot;??\ _€_-;_-@_-"/>
    </dxf>
    <dxf>
      <fill>
        <patternFill patternType="none">
          <fgColor indexed="64"/>
          <bgColor indexed="6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numFmt numFmtId="166" formatCode="_-* #,##0\ _€_-;\-* #,##0\ _€_-;_-* &quot;-&quot;??\ _€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33" formatCode="_-* #,##0_-;\-* #,##0_-;_-* &quot;-&quot;_-;_-@_-"/>
    </dxf>
    <dxf>
      <numFmt numFmtId="33" formatCode="_-* #,##0_-;\-* #,##0_-;_-* &quot;-&quot;_-;_-@_-"/>
    </dxf>
    <dxf>
      <numFmt numFmtId="167" formatCode="0.0%"/>
    </dxf>
    <dxf>
      <numFmt numFmtId="166" formatCode="_-* #,##0\ _€_-;\-* #,##0\ _€_-;_-* &quot;-&quot;??\ _€_-;_-@_-"/>
    </dxf>
    <dxf>
      <numFmt numFmtId="167" formatCode="0.0%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33" formatCode="_-* #,##0_-;\-* #,##0_-;_-* &quot;-&quot;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numFmt numFmtId="166" formatCode="_-* #,##0\ _€_-;\-* #,##0\ _€_-;_-* &quot;-&quot;??\ _€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[I_2007-2020_SAF.xlsx]Serie trimestral!Tabla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Serie trimestral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'Serie trimestral'!$H$34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'Serie trimestral'!$G$35:$G$87</c:f>
              <c:multiLvlStrCache>
                <c:ptCount val="41"/>
                <c:lvl>
                  <c:pt idx="0">
                    <c:v>I trimestre</c:v>
                  </c:pt>
                  <c:pt idx="1">
                    <c:v>II trimestre </c:v>
                  </c:pt>
                  <c:pt idx="2">
                    <c:v>III trimestre</c:v>
                  </c:pt>
                  <c:pt idx="3">
                    <c:v>IV trimestre </c:v>
                  </c:pt>
                  <c:pt idx="4">
                    <c:v>I trimestre</c:v>
                  </c:pt>
                  <c:pt idx="5">
                    <c:v>II trimestre </c:v>
                  </c:pt>
                  <c:pt idx="6">
                    <c:v>III trimestre</c:v>
                  </c:pt>
                  <c:pt idx="7">
                    <c:v>IV trimestre </c:v>
                  </c:pt>
                  <c:pt idx="8">
                    <c:v>I trimestre</c:v>
                  </c:pt>
                  <c:pt idx="9">
                    <c:v>II trimestre </c:v>
                  </c:pt>
                  <c:pt idx="10">
                    <c:v>III trimestre</c:v>
                  </c:pt>
                  <c:pt idx="11">
                    <c:v>IV trimestre </c:v>
                  </c:pt>
                  <c:pt idx="12">
                    <c:v>I trimestre</c:v>
                  </c:pt>
                  <c:pt idx="13">
                    <c:v>II trimestre </c:v>
                  </c:pt>
                  <c:pt idx="14">
                    <c:v>III trimestre</c:v>
                  </c:pt>
                  <c:pt idx="15">
                    <c:v>IV trimestre </c:v>
                  </c:pt>
                  <c:pt idx="16">
                    <c:v>I trimestre</c:v>
                  </c:pt>
                  <c:pt idx="17">
                    <c:v>II trimestre </c:v>
                  </c:pt>
                  <c:pt idx="18">
                    <c:v>III trimestre</c:v>
                  </c:pt>
                  <c:pt idx="19">
                    <c:v>IV trimestre </c:v>
                  </c:pt>
                  <c:pt idx="20">
                    <c:v>I trimestre</c:v>
                  </c:pt>
                  <c:pt idx="21">
                    <c:v>II trimestre </c:v>
                  </c:pt>
                  <c:pt idx="22">
                    <c:v>III trimestre</c:v>
                  </c:pt>
                  <c:pt idx="23">
                    <c:v>IV trimestre </c:v>
                  </c:pt>
                  <c:pt idx="24">
                    <c:v>I trimestre</c:v>
                  </c:pt>
                  <c:pt idx="25">
                    <c:v>II trimestre </c:v>
                  </c:pt>
                  <c:pt idx="26">
                    <c:v>III trimestre</c:v>
                  </c:pt>
                  <c:pt idx="27">
                    <c:v>IV trimestre </c:v>
                  </c:pt>
                  <c:pt idx="28">
                    <c:v>I trimestre</c:v>
                  </c:pt>
                  <c:pt idx="29">
                    <c:v>II trimestre </c:v>
                  </c:pt>
                  <c:pt idx="30">
                    <c:v>III trimestre</c:v>
                  </c:pt>
                  <c:pt idx="31">
                    <c:v>IV trimestre </c:v>
                  </c:pt>
                  <c:pt idx="32">
                    <c:v>I trimestre</c:v>
                  </c:pt>
                  <c:pt idx="33">
                    <c:v>II trimestre </c:v>
                  </c:pt>
                  <c:pt idx="34">
                    <c:v>III trimestre</c:v>
                  </c:pt>
                  <c:pt idx="35">
                    <c:v>IV trimestre </c:v>
                  </c:pt>
                  <c:pt idx="36">
                    <c:v>I trimestre</c:v>
                  </c:pt>
                  <c:pt idx="37">
                    <c:v>II trimestre </c:v>
                  </c:pt>
                  <c:pt idx="38">
                    <c:v>III trimestre</c:v>
                  </c:pt>
                  <c:pt idx="39">
                    <c:v>IV trimestre </c:v>
                  </c:pt>
                  <c:pt idx="40">
                    <c:v>I trimestre</c:v>
                  </c:pt>
                </c:lvl>
                <c:lvl>
                  <c:pt idx="0">
                    <c:v>2010</c:v>
                  </c:pt>
                  <c:pt idx="4">
                    <c:v>2011</c:v>
                  </c:pt>
                  <c:pt idx="8">
                    <c:v>2012</c:v>
                  </c:pt>
                  <c:pt idx="12">
                    <c:v>2013</c:v>
                  </c:pt>
                  <c:pt idx="16">
                    <c:v>2014</c:v>
                  </c:pt>
                  <c:pt idx="20">
                    <c:v>2015</c:v>
                  </c:pt>
                  <c:pt idx="24">
                    <c:v>2016</c:v>
                  </c:pt>
                  <c:pt idx="28">
                    <c:v>2017</c:v>
                  </c:pt>
                  <c:pt idx="32">
                    <c:v>2018</c:v>
                  </c:pt>
                  <c:pt idx="36">
                    <c:v>2019</c:v>
                  </c:pt>
                  <c:pt idx="40">
                    <c:v>2020</c:v>
                  </c:pt>
                </c:lvl>
              </c:multiLvlStrCache>
            </c:multiLvlStrRef>
          </c:cat>
          <c:val>
            <c:numRef>
              <c:f>'Serie trimestral'!$H$35:$H$87</c:f>
              <c:numCache>
                <c:formatCode>0.0%</c:formatCode>
                <c:ptCount val="41"/>
                <c:pt idx="0">
                  <c:v>0.15067021463409791</c:v>
                </c:pt>
                <c:pt idx="1">
                  <c:v>-0.14931232515981141</c:v>
                </c:pt>
                <c:pt idx="2">
                  <c:v>-0.10407261145369995</c:v>
                </c:pt>
                <c:pt idx="3">
                  <c:v>0.36427120689945625</c:v>
                </c:pt>
                <c:pt idx="4">
                  <c:v>-3.2750737808699526E-2</c:v>
                </c:pt>
                <c:pt idx="5">
                  <c:v>0.70757670468823886</c:v>
                </c:pt>
                <c:pt idx="6">
                  <c:v>0.98335103620993203</c:v>
                </c:pt>
                <c:pt idx="7">
                  <c:v>0.68430013234606757</c:v>
                </c:pt>
                <c:pt idx="8">
                  <c:v>0.22052894565202785</c:v>
                </c:pt>
                <c:pt idx="9">
                  <c:v>-0.2955200850745866</c:v>
                </c:pt>
                <c:pt idx="10">
                  <c:v>-0.25499421250457788</c:v>
                </c:pt>
                <c:pt idx="11">
                  <c:v>-0.4435258092253096</c:v>
                </c:pt>
                <c:pt idx="12">
                  <c:v>-4.286387393171065E-2</c:v>
                </c:pt>
                <c:pt idx="13">
                  <c:v>0.24696413212801716</c:v>
                </c:pt>
                <c:pt idx="14">
                  <c:v>5.3178285992025343E-2</c:v>
                </c:pt>
                <c:pt idx="15">
                  <c:v>-0.1519039651623435</c:v>
                </c:pt>
                <c:pt idx="16">
                  <c:v>0.21779469167195664</c:v>
                </c:pt>
                <c:pt idx="17">
                  <c:v>7.5480555923034487E-2</c:v>
                </c:pt>
                <c:pt idx="18">
                  <c:v>2.0385445074041275E-2</c:v>
                </c:pt>
                <c:pt idx="19">
                  <c:v>0.10621202521280693</c:v>
                </c:pt>
                <c:pt idx="20">
                  <c:v>-5.8628615507642423E-2</c:v>
                </c:pt>
                <c:pt idx="21">
                  <c:v>-0.1741364705873335</c:v>
                </c:pt>
                <c:pt idx="22">
                  <c:v>0.28363541102717971</c:v>
                </c:pt>
                <c:pt idx="23">
                  <c:v>0.33772447099718961</c:v>
                </c:pt>
                <c:pt idx="24">
                  <c:v>-0.14718617149280722</c:v>
                </c:pt>
                <c:pt idx="25">
                  <c:v>0.41552331461240577</c:v>
                </c:pt>
                <c:pt idx="26">
                  <c:v>-0.25157403796163769</c:v>
                </c:pt>
                <c:pt idx="27">
                  <c:v>8.0891374479989953E-3</c:v>
                </c:pt>
                <c:pt idx="28">
                  <c:v>0.26539885906666916</c:v>
                </c:pt>
                <c:pt idx="29">
                  <c:v>-5.2657626384392975E-2</c:v>
                </c:pt>
                <c:pt idx="30">
                  <c:v>-4.36859055516442E-2</c:v>
                </c:pt>
                <c:pt idx="31">
                  <c:v>0.1658743864144121</c:v>
                </c:pt>
                <c:pt idx="32">
                  <c:v>5.524987496414302E-2</c:v>
                </c:pt>
                <c:pt idx="33">
                  <c:v>1.8400186828407827E-2</c:v>
                </c:pt>
                <c:pt idx="34">
                  <c:v>0.15448265722727861</c:v>
                </c:pt>
                <c:pt idx="35">
                  <c:v>-0.1393796644630424</c:v>
                </c:pt>
                <c:pt idx="36">
                  <c:v>-1.2610038495909914E-2</c:v>
                </c:pt>
                <c:pt idx="37">
                  <c:v>4.6488155801154729E-2</c:v>
                </c:pt>
                <c:pt idx="38">
                  <c:v>1.8696247609626404E-3</c:v>
                </c:pt>
                <c:pt idx="39">
                  <c:v>0.29586462561679761</c:v>
                </c:pt>
                <c:pt idx="40">
                  <c:v>-0.1028616451806329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F-48A3-A340-38836C80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10784"/>
        <c:axId val="198712320"/>
      </c:lineChart>
      <c:catAx>
        <c:axId val="198710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8712320"/>
        <c:crosses val="autoZero"/>
        <c:auto val="1"/>
        <c:lblAlgn val="ctr"/>
        <c:lblOffset val="100"/>
        <c:noMultiLvlLbl val="0"/>
      </c:catAx>
      <c:valAx>
        <c:axId val="19871232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98710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[I_2007-2020_SAF.xlsx]Mensual y estacionalidad!Tabla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Monto mensual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estacionalidad'!$M$41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'Mensual y estacionalidad'!$L$42:$L$194</c:f>
              <c:multiLvlStrCache>
                <c:ptCount val="14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  <c:pt idx="132">
                    <c:v>Enero</c:v>
                  </c:pt>
                  <c:pt idx="133">
                    <c:v>Febrero</c:v>
                  </c:pt>
                  <c:pt idx="134">
                    <c:v>Marzo</c:v>
                  </c:pt>
                  <c:pt idx="135">
                    <c:v>Abril</c:v>
                  </c:pt>
                  <c:pt idx="136">
                    <c:v>Mayo</c:v>
                  </c:pt>
                  <c:pt idx="137">
                    <c:v>Junio</c:v>
                  </c:pt>
                  <c:pt idx="138">
                    <c:v>Julio</c:v>
                  </c:pt>
                  <c:pt idx="139">
                    <c:v>Agosto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  <c:pt idx="132">
                    <c:v>2018</c:v>
                  </c:pt>
                </c:lvl>
              </c:multiLvlStrCache>
            </c:multiLvlStrRef>
          </c:cat>
          <c:val>
            <c:numRef>
              <c:f>'Mensual y estacionalidad'!$M$42:$M$194</c:f>
              <c:numCache>
                <c:formatCode>_-* #\ ##0\ _€_-;\-* #\ ##0\ _€_-;_-* "-"??\ _€_-;_-@_-</c:formatCode>
                <c:ptCount val="140"/>
                <c:pt idx="0">
                  <c:v>7676233322.3000002</c:v>
                </c:pt>
                <c:pt idx="1">
                  <c:v>7418780629.4300003</c:v>
                </c:pt>
                <c:pt idx="2">
                  <c:v>8407810201.04</c:v>
                </c:pt>
                <c:pt idx="3">
                  <c:v>6367698713.5</c:v>
                </c:pt>
                <c:pt idx="4">
                  <c:v>8378000673.9200001</c:v>
                </c:pt>
                <c:pt idx="5">
                  <c:v>7414866520.2600002</c:v>
                </c:pt>
                <c:pt idx="6">
                  <c:v>8983368175.7700005</c:v>
                </c:pt>
                <c:pt idx="7">
                  <c:v>9633715557.3199997</c:v>
                </c:pt>
                <c:pt idx="8">
                  <c:v>8811471536.7299995</c:v>
                </c:pt>
                <c:pt idx="9">
                  <c:v>11030551897.43</c:v>
                </c:pt>
                <c:pt idx="10">
                  <c:v>12560861833.120001</c:v>
                </c:pt>
                <c:pt idx="11">
                  <c:v>10881979564.73</c:v>
                </c:pt>
                <c:pt idx="12">
                  <c:v>9107334870.6900005</c:v>
                </c:pt>
                <c:pt idx="13">
                  <c:v>8743688602.0799999</c:v>
                </c:pt>
                <c:pt idx="14">
                  <c:v>8098969582.8800001</c:v>
                </c:pt>
                <c:pt idx="15">
                  <c:v>9579070817.0499992</c:v>
                </c:pt>
                <c:pt idx="16">
                  <c:v>9695435264.9200001</c:v>
                </c:pt>
                <c:pt idx="17">
                  <c:v>9474255754.9899998</c:v>
                </c:pt>
                <c:pt idx="18">
                  <c:v>11399396330.75</c:v>
                </c:pt>
                <c:pt idx="19">
                  <c:v>11269724936.5</c:v>
                </c:pt>
                <c:pt idx="20">
                  <c:v>11073887949.799999</c:v>
                </c:pt>
                <c:pt idx="21">
                  <c:v>13168101165.09</c:v>
                </c:pt>
                <c:pt idx="22">
                  <c:v>11702882829.450001</c:v>
                </c:pt>
                <c:pt idx="23">
                  <c:v>11237587408.16</c:v>
                </c:pt>
                <c:pt idx="24">
                  <c:v>7858932403.2200003</c:v>
                </c:pt>
                <c:pt idx="25">
                  <c:v>7453571320.1199999</c:v>
                </c:pt>
                <c:pt idx="26">
                  <c:v>7682392945.96</c:v>
                </c:pt>
                <c:pt idx="27">
                  <c:v>6609769442.0200005</c:v>
                </c:pt>
                <c:pt idx="28">
                  <c:v>6861587648.54</c:v>
                </c:pt>
                <c:pt idx="29">
                  <c:v>8089590302.9200001</c:v>
                </c:pt>
                <c:pt idx="30">
                  <c:v>8396831193.04</c:v>
                </c:pt>
                <c:pt idx="31">
                  <c:v>7771649608.3100004</c:v>
                </c:pt>
                <c:pt idx="32">
                  <c:v>8364029326.5100002</c:v>
                </c:pt>
                <c:pt idx="33">
                  <c:v>9209829246.7399998</c:v>
                </c:pt>
                <c:pt idx="34">
                  <c:v>9806221936.3899994</c:v>
                </c:pt>
                <c:pt idx="35">
                  <c:v>8896537183.5300007</c:v>
                </c:pt>
                <c:pt idx="36">
                  <c:v>6983396021.4499998</c:v>
                </c:pt>
                <c:pt idx="37">
                  <c:v>7019817761.7600002</c:v>
                </c:pt>
                <c:pt idx="38">
                  <c:v>8647242184.5100002</c:v>
                </c:pt>
                <c:pt idx="39">
                  <c:v>7120257763.4300003</c:v>
                </c:pt>
                <c:pt idx="40">
                  <c:v>7656688724.0799999</c:v>
                </c:pt>
                <c:pt idx="41">
                  <c:v>8299002360.1599998</c:v>
                </c:pt>
                <c:pt idx="42">
                  <c:v>8264546171.7299995</c:v>
                </c:pt>
                <c:pt idx="43">
                  <c:v>8929912847.3999996</c:v>
                </c:pt>
                <c:pt idx="44">
                  <c:v>8831136131.7099991</c:v>
                </c:pt>
                <c:pt idx="45">
                  <c:v>9927674610.1599998</c:v>
                </c:pt>
                <c:pt idx="46">
                  <c:v>11277630084.4</c:v>
                </c:pt>
                <c:pt idx="47">
                  <c:v>10893206792.18</c:v>
                </c:pt>
                <c:pt idx="48">
                  <c:v>7811277785.0799999</c:v>
                </c:pt>
                <c:pt idx="49">
                  <c:v>8869308282.5100002</c:v>
                </c:pt>
                <c:pt idx="50">
                  <c:v>9624095231.8199997</c:v>
                </c:pt>
                <c:pt idx="51">
                  <c:v>8154392655.75</c:v>
                </c:pt>
                <c:pt idx="52">
                  <c:v>10237225412.950001</c:v>
                </c:pt>
                <c:pt idx="53">
                  <c:v>10407536131.57</c:v>
                </c:pt>
                <c:pt idx="54">
                  <c:v>9629204309.5</c:v>
                </c:pt>
                <c:pt idx="55">
                  <c:v>11075152497.889999</c:v>
                </c:pt>
                <c:pt idx="56">
                  <c:v>11086527122.26</c:v>
                </c:pt>
                <c:pt idx="57">
                  <c:v>11622154276.190001</c:v>
                </c:pt>
                <c:pt idx="58">
                  <c:v>12961684395.219999</c:v>
                </c:pt>
                <c:pt idx="59">
                  <c:v>10876133643.549999</c:v>
                </c:pt>
                <c:pt idx="60">
                  <c:v>9656477386.1299992</c:v>
                </c:pt>
                <c:pt idx="61">
                  <c:v>9687402007.7999992</c:v>
                </c:pt>
                <c:pt idx="62">
                  <c:v>9803020559.5799999</c:v>
                </c:pt>
                <c:pt idx="63">
                  <c:v>8298004671.7299995</c:v>
                </c:pt>
                <c:pt idx="64">
                  <c:v>10504638619.68</c:v>
                </c:pt>
                <c:pt idx="65">
                  <c:v>9884144146.4799995</c:v>
                </c:pt>
                <c:pt idx="66">
                  <c:v>10507438514.549999</c:v>
                </c:pt>
                <c:pt idx="67">
                  <c:v>10650820270.84</c:v>
                </c:pt>
                <c:pt idx="68">
                  <c:v>10833561514.84</c:v>
                </c:pt>
                <c:pt idx="69">
                  <c:v>12886166235.25</c:v>
                </c:pt>
                <c:pt idx="70">
                  <c:v>14343115742.469999</c:v>
                </c:pt>
                <c:pt idx="71">
                  <c:v>11302873375.07</c:v>
                </c:pt>
                <c:pt idx="72">
                  <c:v>10137268563.42</c:v>
                </c:pt>
                <c:pt idx="73">
                  <c:v>9487901956.6900005</c:v>
                </c:pt>
                <c:pt idx="74">
                  <c:v>8852766171.4300003</c:v>
                </c:pt>
                <c:pt idx="75">
                  <c:v>10024697175.73</c:v>
                </c:pt>
                <c:pt idx="76">
                  <c:v>10429460002.620001</c:v>
                </c:pt>
                <c:pt idx="77">
                  <c:v>9467715399.2000008</c:v>
                </c:pt>
                <c:pt idx="78">
                  <c:v>10883391887.459999</c:v>
                </c:pt>
                <c:pt idx="79">
                  <c:v>10709182471.76</c:v>
                </c:pt>
                <c:pt idx="80">
                  <c:v>12027996435.93</c:v>
                </c:pt>
                <c:pt idx="81">
                  <c:v>13239741188.65</c:v>
                </c:pt>
                <c:pt idx="82">
                  <c:v>13024650670.67</c:v>
                </c:pt>
                <c:pt idx="83">
                  <c:v>12349119826.139999</c:v>
                </c:pt>
                <c:pt idx="84">
                  <c:v>9967659520.7099991</c:v>
                </c:pt>
                <c:pt idx="85">
                  <c:v>10087636647.66</c:v>
                </c:pt>
                <c:pt idx="86">
                  <c:v>12258695918.85</c:v>
                </c:pt>
                <c:pt idx="87">
                  <c:v>10892021667.59</c:v>
                </c:pt>
                <c:pt idx="88">
                  <c:v>12497616759.76</c:v>
                </c:pt>
                <c:pt idx="89">
                  <c:v>10602200396.889999</c:v>
                </c:pt>
                <c:pt idx="90">
                  <c:v>11934237922.93</c:v>
                </c:pt>
                <c:pt idx="91">
                  <c:v>11527595841.35</c:v>
                </c:pt>
                <c:pt idx="92">
                  <c:v>11789757386.23</c:v>
                </c:pt>
                <c:pt idx="93">
                  <c:v>13785712657.84</c:v>
                </c:pt>
                <c:pt idx="94">
                  <c:v>14036188380.27</c:v>
                </c:pt>
                <c:pt idx="95">
                  <c:v>12846200398.780001</c:v>
                </c:pt>
                <c:pt idx="96">
                  <c:v>10502171015.610001</c:v>
                </c:pt>
                <c:pt idx="97">
                  <c:v>10410639620.559999</c:v>
                </c:pt>
                <c:pt idx="98">
                  <c:v>11844371368.209999</c:v>
                </c:pt>
                <c:pt idx="99">
                  <c:v>10525401822.389999</c:v>
                </c:pt>
                <c:pt idx="100">
                  <c:v>11078077351.719999</c:v>
                </c:pt>
                <c:pt idx="101">
                  <c:v>11397617088.92</c:v>
                </c:pt>
                <c:pt idx="102">
                  <c:v>13292357601.139999</c:v>
                </c:pt>
                <c:pt idx="103">
                  <c:v>11242105273.299999</c:v>
                </c:pt>
                <c:pt idx="104">
                  <c:v>13587717115.52</c:v>
                </c:pt>
                <c:pt idx="105">
                  <c:v>14485744824.219999</c:v>
                </c:pt>
                <c:pt idx="106">
                  <c:v>15553625017.68</c:v>
                </c:pt>
                <c:pt idx="107">
                  <c:v>14746266114.889999</c:v>
                </c:pt>
                <c:pt idx="108">
                  <c:v>11474229008.610001</c:v>
                </c:pt>
                <c:pt idx="109">
                  <c:v>11833556382.24</c:v>
                </c:pt>
                <c:pt idx="110">
                  <c:v>11439653217.9</c:v>
                </c:pt>
                <c:pt idx="111">
                  <c:v>11260447570.039999</c:v>
                </c:pt>
                <c:pt idx="112">
                  <c:v>14482735989.140001</c:v>
                </c:pt>
                <c:pt idx="113">
                  <c:v>12622237964.860001</c:v>
                </c:pt>
                <c:pt idx="114">
                  <c:v>12690576017.58</c:v>
                </c:pt>
                <c:pt idx="115">
                  <c:v>13713617706.27</c:v>
                </c:pt>
                <c:pt idx="116">
                  <c:v>13672422106.709999</c:v>
                </c:pt>
                <c:pt idx="117">
                  <c:v>14318942544.98</c:v>
                </c:pt>
                <c:pt idx="118">
                  <c:v>16008753657.370001</c:v>
                </c:pt>
                <c:pt idx="119">
                  <c:v>15041670702.690001</c:v>
                </c:pt>
                <c:pt idx="120">
                  <c:v>12629754127.950001</c:v>
                </c:pt>
                <c:pt idx="121">
                  <c:v>11139139653.58</c:v>
                </c:pt>
                <c:pt idx="122">
                  <c:v>12350384258.98</c:v>
                </c:pt>
                <c:pt idx="123">
                  <c:v>9572608198.6599998</c:v>
                </c:pt>
                <c:pt idx="124">
                  <c:v>12871984232.01</c:v>
                </c:pt>
                <c:pt idx="125">
                  <c:v>12569363630.85</c:v>
                </c:pt>
                <c:pt idx="126">
                  <c:v>11754339433.91</c:v>
                </c:pt>
                <c:pt idx="127">
                  <c:v>12783264492.35</c:v>
                </c:pt>
                <c:pt idx="128">
                  <c:v>12391433587.91</c:v>
                </c:pt>
                <c:pt idx="129">
                  <c:v>15237091881.870001</c:v>
                </c:pt>
                <c:pt idx="130">
                  <c:v>16075766187.24</c:v>
                </c:pt>
                <c:pt idx="131">
                  <c:v>13380377891.809999</c:v>
                </c:pt>
                <c:pt idx="132">
                  <c:v>12482044939.049999</c:v>
                </c:pt>
                <c:pt idx="133">
                  <c:v>11666097896.370001</c:v>
                </c:pt>
                <c:pt idx="134">
                  <c:v>11053737495.469999</c:v>
                </c:pt>
                <c:pt idx="135">
                  <c:v>11662593415.709999</c:v>
                </c:pt>
                <c:pt idx="136">
                  <c:v>11471139718.629999</c:v>
                </c:pt>
                <c:pt idx="137">
                  <c:v>10874278077.09</c:v>
                </c:pt>
                <c:pt idx="138">
                  <c:v>11485624557.379999</c:v>
                </c:pt>
                <c:pt idx="139">
                  <c:v>4510542777.9200001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3-4C6A-B560-9F7761109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696640"/>
        <c:axId val="288899456"/>
      </c:lineChart>
      <c:catAx>
        <c:axId val="271696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88899456"/>
        <c:crosses val="autoZero"/>
        <c:auto val="1"/>
        <c:lblAlgn val="ctr"/>
        <c:lblOffset val="100"/>
        <c:noMultiLvlLbl val="0"/>
      </c:catAx>
      <c:valAx>
        <c:axId val="288899456"/>
        <c:scaling>
          <c:orientation val="minMax"/>
        </c:scaling>
        <c:delete val="0"/>
        <c:axPos val="l"/>
        <c:majorGridlines/>
        <c:numFmt formatCode="_-* #\ ##0\ _€_-;\-* #\ ##0\ _€_-;_-* &quot;-&quot;??\ _€_-;_-@_-" sourceLinked="1"/>
        <c:majorTickMark val="out"/>
        <c:minorTickMark val="none"/>
        <c:tickLblPos val="nextTo"/>
        <c:crossAx val="271696640"/>
        <c:crosses val="autoZero"/>
        <c:crossBetween val="between"/>
        <c:dispUnits>
          <c:builtInUnit val="millions"/>
          <c:dispUnitsLbl/>
        </c:dispUnits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[I_2007-2020_SAF.xlsx]Mensual y estacionalidad!Tabla dinámica3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Estacionalidad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'Mensual y estacionalidad'!$J$39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'Mensual y estacionalidad'!$I$40:$I$183</c:f>
              <c:multiLvlStrCache>
                <c:ptCount val="132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</c:lvl>
              </c:multiLvlStrCache>
            </c:multiLvlStrRef>
          </c:cat>
          <c:val>
            <c:numRef>
              <c:f>'Mensual y estacionalidad'!$J$40:$J$183</c:f>
              <c:numCache>
                <c:formatCode>0.0%</c:formatCode>
                <c:ptCount val="132"/>
                <c:pt idx="0">
                  <c:v>8.2019654064255237E-2</c:v>
                </c:pt>
                <c:pt idx="1">
                  <c:v>6.4386795529464275E-2</c:v>
                </c:pt>
                <c:pt idx="2">
                  <c:v>9.1589707360401187E-2</c:v>
                </c:pt>
                <c:pt idx="3">
                  <c:v>7.62608880539139E-2</c:v>
                </c:pt>
                <c:pt idx="4">
                  <c:v>6.9707476069998567E-2</c:v>
                </c:pt>
                <c:pt idx="5">
                  <c:v>7.3816447325592824E-2</c:v>
                </c:pt>
                <c:pt idx="6">
                  <c:v>8.5314030321693421E-2</c:v>
                </c:pt>
                <c:pt idx="7">
                  <c:v>7.0348142123325311E-2</c:v>
                </c:pt>
                <c:pt idx="8">
                  <c:v>7.370471293018975E-2</c:v>
                </c:pt>
                <c:pt idx="9">
                  <c:v>9.2648281396882512E-2</c:v>
                </c:pt>
                <c:pt idx="10">
                  <c:v>8.0235128351227786E-2</c:v>
                </c:pt>
                <c:pt idx="11">
                  <c:v>0.13996873647305513</c:v>
                </c:pt>
                <c:pt idx="12">
                  <c:v>8.0083980580000394E-2</c:v>
                </c:pt>
                <c:pt idx="13">
                  <c:v>6.9095275782335264E-2</c:v>
                </c:pt>
                <c:pt idx="14">
                  <c:v>0.10289563913194559</c:v>
                </c:pt>
                <c:pt idx="15">
                  <c:v>9.1901321697973326E-2</c:v>
                </c:pt>
                <c:pt idx="16">
                  <c:v>6.8481210638442647E-2</c:v>
                </c:pt>
                <c:pt idx="17">
                  <c:v>7.492965967068782E-2</c:v>
                </c:pt>
                <c:pt idx="18">
                  <c:v>9.3525548858840041E-2</c:v>
                </c:pt>
                <c:pt idx="19">
                  <c:v>6.9630046702594026E-2</c:v>
                </c:pt>
                <c:pt idx="20">
                  <c:v>7.6451380773792862E-2</c:v>
                </c:pt>
                <c:pt idx="21">
                  <c:v>9.0149225806774036E-2</c:v>
                </c:pt>
                <c:pt idx="22">
                  <c:v>6.5428981011212112E-2</c:v>
                </c:pt>
                <c:pt idx="23">
                  <c:v>0.1174277293454018</c:v>
                </c:pt>
                <c:pt idx="24">
                  <c:v>8.7535498600532058E-2</c:v>
                </c:pt>
                <c:pt idx="25">
                  <c:v>6.7578080237904306E-2</c:v>
                </c:pt>
                <c:pt idx="26">
                  <c:v>0.10031129818458204</c:v>
                </c:pt>
                <c:pt idx="27">
                  <c:v>7.6553027475829427E-2</c:v>
                </c:pt>
                <c:pt idx="28">
                  <c:v>6.4735720011330336E-2</c:v>
                </c:pt>
                <c:pt idx="29">
                  <c:v>7.447323489717203E-2</c:v>
                </c:pt>
                <c:pt idx="30">
                  <c:v>9.2055952163510424E-2</c:v>
                </c:pt>
                <c:pt idx="31">
                  <c:v>6.645164537615196E-2</c:v>
                </c:pt>
                <c:pt idx="32">
                  <c:v>7.8924367469881324E-2</c:v>
                </c:pt>
                <c:pt idx="33">
                  <c:v>8.9953044496936585E-2</c:v>
                </c:pt>
                <c:pt idx="34">
                  <c:v>7.1686620381990071E-2</c:v>
                </c:pt>
                <c:pt idx="35">
                  <c:v>0.12974151070417961</c:v>
                </c:pt>
                <c:pt idx="36">
                  <c:v>8.0742510218215324E-2</c:v>
                </c:pt>
                <c:pt idx="37">
                  <c:v>6.270678118379916E-2</c:v>
                </c:pt>
                <c:pt idx="38">
                  <c:v>0.10487817399244161</c:v>
                </c:pt>
                <c:pt idx="39">
                  <c:v>7.0921350755861826E-2</c:v>
                </c:pt>
                <c:pt idx="40">
                  <c:v>6.6107551155408159E-2</c:v>
                </c:pt>
                <c:pt idx="41">
                  <c:v>8.2325717713674335E-2</c:v>
                </c:pt>
                <c:pt idx="42">
                  <c:v>7.8012310908442725E-2</c:v>
                </c:pt>
                <c:pt idx="43">
                  <c:v>6.9174761564246678E-2</c:v>
                </c:pt>
                <c:pt idx="44">
                  <c:v>9.2815036519489108E-2</c:v>
                </c:pt>
                <c:pt idx="45">
                  <c:v>7.9235978976460314E-2</c:v>
                </c:pt>
                <c:pt idx="46">
                  <c:v>7.44161454011881E-2</c:v>
                </c:pt>
                <c:pt idx="47">
                  <c:v>0.13866368161077255</c:v>
                </c:pt>
                <c:pt idx="48">
                  <c:v>7.3709262849881427E-2</c:v>
                </c:pt>
                <c:pt idx="49">
                  <c:v>6.1942753424268159E-2</c:v>
                </c:pt>
                <c:pt idx="50">
                  <c:v>9.3962658215046874E-2</c:v>
                </c:pt>
                <c:pt idx="51">
                  <c:v>7.2478572593411936E-2</c:v>
                </c:pt>
                <c:pt idx="52">
                  <c:v>6.5545149599276903E-2</c:v>
                </c:pt>
                <c:pt idx="53">
                  <c:v>9.292142700024629E-2</c:v>
                </c:pt>
                <c:pt idx="54">
                  <c:v>7.187280281093178E-2</c:v>
                </c:pt>
                <c:pt idx="55">
                  <c:v>7.0949806281074126E-2</c:v>
                </c:pt>
                <c:pt idx="56">
                  <c:v>9.26239908150783E-2</c:v>
                </c:pt>
                <c:pt idx="57">
                  <c:v>7.4143688844794817E-2</c:v>
                </c:pt>
                <c:pt idx="58">
                  <c:v>7.682612883325475E-2</c:v>
                </c:pt>
                <c:pt idx="59">
                  <c:v>0.15302375873273452</c:v>
                </c:pt>
                <c:pt idx="60">
                  <c:v>7.5519888802914159E-2</c:v>
                </c:pt>
                <c:pt idx="61">
                  <c:v>6.1641354043678376E-2</c:v>
                </c:pt>
                <c:pt idx="62">
                  <c:v>0.10160457648343728</c:v>
                </c:pt>
                <c:pt idx="63">
                  <c:v>7.0011390393854178E-2</c:v>
                </c:pt>
                <c:pt idx="64">
                  <c:v>7.3339284879749556E-2</c:v>
                </c:pt>
                <c:pt idx="65">
                  <c:v>9.1715375609828467E-2</c:v>
                </c:pt>
                <c:pt idx="66">
                  <c:v>7.1792798866379723E-2</c:v>
                </c:pt>
                <c:pt idx="67">
                  <c:v>6.7709510363878844E-2</c:v>
                </c:pt>
                <c:pt idx="68">
                  <c:v>9.2890707993128041E-2</c:v>
                </c:pt>
                <c:pt idx="69">
                  <c:v>7.3852199288583942E-2</c:v>
                </c:pt>
                <c:pt idx="70">
                  <c:v>7.6218735005850191E-2</c:v>
                </c:pt>
                <c:pt idx="71">
                  <c:v>0.14370417826871723</c:v>
                </c:pt>
                <c:pt idx="72">
                  <c:v>7.6043944397022084E-2</c:v>
                </c:pt>
                <c:pt idx="73">
                  <c:v>7.053099333799874E-2</c:v>
                </c:pt>
                <c:pt idx="74">
                  <c:v>9.6505490958958107E-2</c:v>
                </c:pt>
                <c:pt idx="75">
                  <c:v>7.5178351539635979E-2</c:v>
                </c:pt>
                <c:pt idx="76">
                  <c:v>6.4658666762898193E-2</c:v>
                </c:pt>
                <c:pt idx="77">
                  <c:v>8.7451438686182367E-2</c:v>
                </c:pt>
                <c:pt idx="78">
                  <c:v>7.7608993398630505E-2</c:v>
                </c:pt>
                <c:pt idx="79">
                  <c:v>6.6453753217805139E-2</c:v>
                </c:pt>
                <c:pt idx="80">
                  <c:v>9.0733556604816884E-2</c:v>
                </c:pt>
                <c:pt idx="81">
                  <c:v>7.6396609366460075E-2</c:v>
                </c:pt>
                <c:pt idx="82">
                  <c:v>7.1902106530732049E-2</c:v>
                </c:pt>
                <c:pt idx="83">
                  <c:v>0.14653609519885996</c:v>
                </c:pt>
                <c:pt idx="84">
                  <c:v>7.783097557628979E-2</c:v>
                </c:pt>
                <c:pt idx="85">
                  <c:v>6.509435905333659E-2</c:v>
                </c:pt>
                <c:pt idx="86">
                  <c:v>9.7026266274015671E-2</c:v>
                </c:pt>
                <c:pt idx="87">
                  <c:v>7.785237747426571E-2</c:v>
                </c:pt>
                <c:pt idx="88">
                  <c:v>6.4724423962435718E-2</c:v>
                </c:pt>
                <c:pt idx="89">
                  <c:v>8.4924900379575632E-2</c:v>
                </c:pt>
                <c:pt idx="90">
                  <c:v>7.1180793607456411E-2</c:v>
                </c:pt>
                <c:pt idx="91">
                  <c:v>6.3353519344573603E-2</c:v>
                </c:pt>
                <c:pt idx="92">
                  <c:v>8.8388456306428442E-2</c:v>
                </c:pt>
                <c:pt idx="93">
                  <c:v>7.0985395561024539E-2</c:v>
                </c:pt>
                <c:pt idx="94">
                  <c:v>6.8446665593610082E-2</c:v>
                </c:pt>
                <c:pt idx="95">
                  <c:v>0.13320482220419819</c:v>
                </c:pt>
                <c:pt idx="96">
                  <c:v>8.9746322049655644E-2</c:v>
                </c:pt>
                <c:pt idx="97">
                  <c:v>7.7699130137233119E-2</c:v>
                </c:pt>
                <c:pt idx="98">
                  <c:v>0.12049258342874603</c:v>
                </c:pt>
                <c:pt idx="99">
                  <c:v>8.3975414570157697E-2</c:v>
                </c:pt>
                <c:pt idx="100">
                  <c:v>7.3585804185919479E-2</c:v>
                </c:pt>
                <c:pt idx="101">
                  <c:v>0.10409779475412916</c:v>
                </c:pt>
                <c:pt idx="102">
                  <c:v>8.5316480444070503E-2</c:v>
                </c:pt>
                <c:pt idx="103">
                  <c:v>8.1393164208506452E-2</c:v>
                </c:pt>
                <c:pt idx="104">
                  <c:v>0.10586465040379857</c:v>
                </c:pt>
                <c:pt idx="105">
                  <c:v>8.6869706973939392E-2</c:v>
                </c:pt>
                <c:pt idx="106">
                  <c:v>9.0958948843844034E-2</c:v>
                </c:pt>
                <c:pt idx="107">
                  <c:v>0.17415523874441333</c:v>
                </c:pt>
                <c:pt idx="108">
                  <c:v>7.6115405709737349E-2</c:v>
                </c:pt>
                <c:pt idx="109">
                  <c:v>6.6246793593148154E-2</c:v>
                </c:pt>
                <c:pt idx="110">
                  <c:v>0.10075785345570097</c:v>
                </c:pt>
                <c:pt idx="111">
                  <c:v>7.5649335784823329E-2</c:v>
                </c:pt>
                <c:pt idx="112">
                  <c:v>6.5056268100088549E-2</c:v>
                </c:pt>
                <c:pt idx="113">
                  <c:v>9.4614872973856762E-2</c:v>
                </c:pt>
                <c:pt idx="114">
                  <c:v>7.1460245879789663E-2</c:v>
                </c:pt>
                <c:pt idx="115">
                  <c:v>6.3967071967014039E-2</c:v>
                </c:pt>
                <c:pt idx="116">
                  <c:v>9.2083504348815085E-2</c:v>
                </c:pt>
                <c:pt idx="117">
                  <c:v>7.4779501223847925E-2</c:v>
                </c:pt>
                <c:pt idx="118">
                  <c:v>7.574286810833443E-2</c:v>
                </c:pt>
                <c:pt idx="119">
                  <c:v>0.14352627885484373</c:v>
                </c:pt>
                <c:pt idx="120">
                  <c:v>7.8307056778953138E-2</c:v>
                </c:pt>
                <c:pt idx="121">
                  <c:v>6.3858040577961378E-2</c:v>
                </c:pt>
                <c:pt idx="122">
                  <c:v>0.10813852051567684</c:v>
                </c:pt>
                <c:pt idx="123">
                  <c:v>6.9789424129773486E-2</c:v>
                </c:pt>
                <c:pt idx="124">
                  <c:v>6.8457430486169021E-2</c:v>
                </c:pt>
                <c:pt idx="125">
                  <c:v>9.6461422581376036E-2</c:v>
                </c:pt>
                <c:pt idx="126">
                  <c:v>6.6358972252893403E-2</c:v>
                </c:pt>
                <c:pt idx="127">
                  <c:v>6.4796955130360157E-2</c:v>
                </c:pt>
                <c:pt idx="128">
                  <c:v>9.4740428386103304E-2</c:v>
                </c:pt>
                <c:pt idx="129">
                  <c:v>7.0472485660068862E-2</c:v>
                </c:pt>
                <c:pt idx="130">
                  <c:v>7.5714950267046249E-2</c:v>
                </c:pt>
                <c:pt idx="131">
                  <c:v>0.14290431323361813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3-4CE0-AF25-B53C0154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691712"/>
        <c:axId val="291435648"/>
      </c:lineChart>
      <c:catAx>
        <c:axId val="290691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1435648"/>
        <c:crosses val="autoZero"/>
        <c:auto val="1"/>
        <c:lblAlgn val="ctr"/>
        <c:lblOffset val="100"/>
        <c:noMultiLvlLbl val="0"/>
      </c:catAx>
      <c:valAx>
        <c:axId val="29143564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0691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[I_2007-2020_SAF.xlsx]Grafico variaciones!Tabla dinámica4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'Grafico variaciones'!$C$35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'Grafico variaciones'!$B$36:$B$112</c:f>
              <c:multiLvlStrCache>
                <c:ptCount val="7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</c:lvl>
                <c:lvl>
                  <c:pt idx="0">
                    <c:v>2013</c:v>
                  </c:pt>
                  <c:pt idx="12">
                    <c:v>2014</c:v>
                  </c:pt>
                  <c:pt idx="24">
                    <c:v>2015</c:v>
                  </c:pt>
                  <c:pt idx="36">
                    <c:v>2016</c:v>
                  </c:pt>
                  <c:pt idx="48">
                    <c:v>2017</c:v>
                  </c:pt>
                  <c:pt idx="60">
                    <c:v>2018</c:v>
                  </c:pt>
                </c:lvl>
              </c:multiLvlStrCache>
            </c:multiLvlStrRef>
          </c:cat>
          <c:val>
            <c:numRef>
              <c:f>'Grafico variaciones'!$C$36:$C$112</c:f>
              <c:numCache>
                <c:formatCode>0.0%</c:formatCode>
                <c:ptCount val="70"/>
                <c:pt idx="0">
                  <c:v>0.10214125968363796</c:v>
                </c:pt>
                <c:pt idx="1">
                  <c:v>0.2523963620498717</c:v>
                </c:pt>
                <c:pt idx="2">
                  <c:v>3.9615441960119346E-2</c:v>
                </c:pt>
                <c:pt idx="3">
                  <c:v>0.17532524101056612</c:v>
                </c:pt>
                <c:pt idx="4">
                  <c:v>-3.500726978009927E-2</c:v>
                </c:pt>
                <c:pt idx="5">
                  <c:v>4.365937026294997E-2</c:v>
                </c:pt>
                <c:pt idx="6">
                  <c:v>0.18321899467371483</c:v>
                </c:pt>
                <c:pt idx="7">
                  <c:v>7.4246155752969223E-2</c:v>
                </c:pt>
                <c:pt idx="8">
                  <c:v>6.9127816063806913E-2</c:v>
                </c:pt>
                <c:pt idx="9">
                  <c:v>0.13225596756988045</c:v>
                </c:pt>
                <c:pt idx="10">
                  <c:v>3.2556547078203435E-2</c:v>
                </c:pt>
                <c:pt idx="11">
                  <c:v>0.11611561979108354</c:v>
                </c:pt>
                <c:pt idx="12">
                  <c:v>9.5043021118405679E-2</c:v>
                </c:pt>
                <c:pt idx="13">
                  <c:v>-6.6740491879986319E-3</c:v>
                </c:pt>
                <c:pt idx="14">
                  <c:v>8.9699756057150193E-2</c:v>
                </c:pt>
                <c:pt idx="15">
                  <c:v>0.13815676239849073</c:v>
                </c:pt>
                <c:pt idx="16">
                  <c:v>9.850888580204531E-2</c:v>
                </c:pt>
                <c:pt idx="17">
                  <c:v>6.8102464219026881E-2</c:v>
                </c:pt>
                <c:pt idx="18">
                  <c:v>1.8490136724176098E-2</c:v>
                </c:pt>
                <c:pt idx="19">
                  <c:v>6.4562465836797367E-2</c:v>
                </c:pt>
                <c:pt idx="20">
                  <c:v>9.8092650717036767E-2</c:v>
                </c:pt>
                <c:pt idx="21">
                  <c:v>5.3078436485294755E-2</c:v>
                </c:pt>
                <c:pt idx="22">
                  <c:v>8.4917320002917185E-2</c:v>
                </c:pt>
                <c:pt idx="23">
                  <c:v>4.7695929453541064E-2</c:v>
                </c:pt>
                <c:pt idx="24">
                  <c:v>7.6706296278340025E-2</c:v>
                </c:pt>
                <c:pt idx="25">
                  <c:v>0.10795159052124625</c:v>
                </c:pt>
                <c:pt idx="26">
                  <c:v>0.14466353606215598</c:v>
                </c:pt>
                <c:pt idx="27">
                  <c:v>-1.9531409845268577E-2</c:v>
                </c:pt>
                <c:pt idx="28">
                  <c:v>3.4999479285237278E-2</c:v>
                </c:pt>
                <c:pt idx="29">
                  <c:v>0.11336628092237166</c:v>
                </c:pt>
                <c:pt idx="30">
                  <c:v>7.8302131177301337E-2</c:v>
                </c:pt>
                <c:pt idx="31">
                  <c:v>0.14940657893678844</c:v>
                </c:pt>
                <c:pt idx="32">
                  <c:v>6.1501124146614794E-2</c:v>
                </c:pt>
                <c:pt idx="33">
                  <c:v>7.872306036786636E-2</c:v>
                </c:pt>
                <c:pt idx="34">
                  <c:v>0.16488643148603566</c:v>
                </c:pt>
                <c:pt idx="35">
                  <c:v>0.13326919126187886</c:v>
                </c:pt>
                <c:pt idx="36">
                  <c:v>7.468086694045728E-2</c:v>
                </c:pt>
                <c:pt idx="37">
                  <c:v>8.0369502256502745E-2</c:v>
                </c:pt>
                <c:pt idx="38">
                  <c:v>5.9600612432510802E-2</c:v>
                </c:pt>
                <c:pt idx="39">
                  <c:v>0.14150172616821832</c:v>
                </c:pt>
                <c:pt idx="40">
                  <c:v>0.12025970813200182</c:v>
                </c:pt>
                <c:pt idx="41">
                  <c:v>0.15170563359114175</c:v>
                </c:pt>
                <c:pt idx="42">
                  <c:v>6.1341594756474827E-2</c:v>
                </c:pt>
                <c:pt idx="43">
                  <c:v>-4.1540776997688322E-3</c:v>
                </c:pt>
                <c:pt idx="44">
                  <c:v>0.10218496065385563</c:v>
                </c:pt>
                <c:pt idx="45">
                  <c:v>9.078163535824757E-2</c:v>
                </c:pt>
                <c:pt idx="46">
                  <c:v>5.5163897401260042E-2</c:v>
                </c:pt>
                <c:pt idx="47">
                  <c:v>4.4283683035535759E-2</c:v>
                </c:pt>
                <c:pt idx="48">
                  <c:v>8.3872529431435749E-2</c:v>
                </c:pt>
                <c:pt idx="49">
                  <c:v>1.5548339769311026E-2</c:v>
                </c:pt>
                <c:pt idx="50">
                  <c:v>0.1307104128951595</c:v>
                </c:pt>
                <c:pt idx="51">
                  <c:v>-2.8071380888318065E-2</c:v>
                </c:pt>
                <c:pt idx="52">
                  <c:v>0.10861645955165966</c:v>
                </c:pt>
                <c:pt idx="53">
                  <c:v>7.4098541073240654E-2</c:v>
                </c:pt>
                <c:pt idx="54">
                  <c:v>-2.1670791343128437E-2</c:v>
                </c:pt>
                <c:pt idx="55">
                  <c:v>6.7205369225785683E-2</c:v>
                </c:pt>
                <c:pt idx="56">
                  <c:v>8.3935351132774949E-2</c:v>
                </c:pt>
                <c:pt idx="57">
                  <c:v>-7.1425459811843561E-3</c:v>
                </c:pt>
                <c:pt idx="58">
                  <c:v>5.3148879513688518E-2</c:v>
                </c:pt>
                <c:pt idx="59">
                  <c:v>4.8971736673063093E-2</c:v>
                </c:pt>
                <c:pt idx="60">
                  <c:v>8.8225787566748703E-2</c:v>
                </c:pt>
                <c:pt idx="61">
                  <c:v>-7.4862590043398569E-3</c:v>
                </c:pt>
                <c:pt idx="62">
                  <c:v>-2.6983766760686478E-2</c:v>
                </c:pt>
                <c:pt idx="63">
                  <c:v>0.14505237331917176</c:v>
                </c:pt>
                <c:pt idx="64">
                  <c:v>-0.10741551147146244</c:v>
                </c:pt>
                <c:pt idx="65">
                  <c:v>-1.2961327581331283E-2</c:v>
                </c:pt>
                <c:pt idx="66">
                  <c:v>0.12123679651590935</c:v>
                </c:pt>
                <c:pt idx="67">
                  <c:v>-1.573040140003179E-2</c:v>
                </c:pt>
                <c:pt idx="68">
                  <c:v>-4.1614316261849749E-2</c:v>
                </c:pt>
                <c:pt idx="69">
                  <c:v>9.4736526573003133E-2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F-426C-A44E-D3A2F869A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784192"/>
        <c:axId val="326414336"/>
      </c:lineChart>
      <c:catAx>
        <c:axId val="291784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26414336"/>
        <c:crosses val="autoZero"/>
        <c:auto val="1"/>
        <c:lblAlgn val="ctr"/>
        <c:lblOffset val="100"/>
        <c:noMultiLvlLbl val="0"/>
      </c:catAx>
      <c:valAx>
        <c:axId val="32641433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91784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[I_2007-2020_SAF.xlsx]Graf_Acum_12_meses!Tabla dinámica2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Graf_Acum_12_meses!$J$34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Graf_Acum_12_meses!$I$35:$I$187</c:f>
              <c:multiLvlStrCache>
                <c:ptCount val="140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  <c:pt idx="43">
                    <c:v>Agosto</c:v>
                  </c:pt>
                  <c:pt idx="44">
                    <c:v>Setiembre</c:v>
                  </c:pt>
                  <c:pt idx="45">
                    <c:v>Octubre</c:v>
                  </c:pt>
                  <c:pt idx="46">
                    <c:v>Noviembre</c:v>
                  </c:pt>
                  <c:pt idx="47">
                    <c:v>Diciembre</c:v>
                  </c:pt>
                  <c:pt idx="48">
                    <c:v>Enero</c:v>
                  </c:pt>
                  <c:pt idx="49">
                    <c:v>Febrero</c:v>
                  </c:pt>
                  <c:pt idx="50">
                    <c:v>Marzo</c:v>
                  </c:pt>
                  <c:pt idx="51">
                    <c:v>Abril</c:v>
                  </c:pt>
                  <c:pt idx="52">
                    <c:v>Mayo</c:v>
                  </c:pt>
                  <c:pt idx="53">
                    <c:v>Junio</c:v>
                  </c:pt>
                  <c:pt idx="54">
                    <c:v>Julio</c:v>
                  </c:pt>
                  <c:pt idx="55">
                    <c:v>Agosto</c:v>
                  </c:pt>
                  <c:pt idx="56">
                    <c:v>Setiembre</c:v>
                  </c:pt>
                  <c:pt idx="57">
                    <c:v>Octubre</c:v>
                  </c:pt>
                  <c:pt idx="58">
                    <c:v>Noviembre</c:v>
                  </c:pt>
                  <c:pt idx="59">
                    <c:v>Diciembre</c:v>
                  </c:pt>
                  <c:pt idx="60">
                    <c:v>Enero</c:v>
                  </c:pt>
                  <c:pt idx="61">
                    <c:v>Febrero</c:v>
                  </c:pt>
                  <c:pt idx="62">
                    <c:v>Marzo</c:v>
                  </c:pt>
                  <c:pt idx="63">
                    <c:v>Abril</c:v>
                  </c:pt>
                  <c:pt idx="64">
                    <c:v>Mayo</c:v>
                  </c:pt>
                  <c:pt idx="65">
                    <c:v>Junio</c:v>
                  </c:pt>
                  <c:pt idx="66">
                    <c:v>Julio</c:v>
                  </c:pt>
                  <c:pt idx="67">
                    <c:v>Agosto</c:v>
                  </c:pt>
                  <c:pt idx="68">
                    <c:v>Setiembre</c:v>
                  </c:pt>
                  <c:pt idx="69">
                    <c:v>Octubre</c:v>
                  </c:pt>
                  <c:pt idx="70">
                    <c:v>Noviembre</c:v>
                  </c:pt>
                  <c:pt idx="71">
                    <c:v>Diciembre</c:v>
                  </c:pt>
                  <c:pt idx="72">
                    <c:v>Enero</c:v>
                  </c:pt>
                  <c:pt idx="73">
                    <c:v>Febrero</c:v>
                  </c:pt>
                  <c:pt idx="74">
                    <c:v>Marzo</c:v>
                  </c:pt>
                  <c:pt idx="75">
                    <c:v>Abril</c:v>
                  </c:pt>
                  <c:pt idx="76">
                    <c:v>Mayo</c:v>
                  </c:pt>
                  <c:pt idx="77">
                    <c:v>Junio</c:v>
                  </c:pt>
                  <c:pt idx="78">
                    <c:v>Julio</c:v>
                  </c:pt>
                  <c:pt idx="79">
                    <c:v>Agosto</c:v>
                  </c:pt>
                  <c:pt idx="80">
                    <c:v>Setiembre</c:v>
                  </c:pt>
                  <c:pt idx="81">
                    <c:v>Octubre</c:v>
                  </c:pt>
                  <c:pt idx="82">
                    <c:v>Noviembre</c:v>
                  </c:pt>
                  <c:pt idx="83">
                    <c:v>Diciembre</c:v>
                  </c:pt>
                  <c:pt idx="84">
                    <c:v>Enero</c:v>
                  </c:pt>
                  <c:pt idx="85">
                    <c:v>Febrero</c:v>
                  </c:pt>
                  <c:pt idx="86">
                    <c:v>Marzo</c:v>
                  </c:pt>
                  <c:pt idx="87">
                    <c:v>Abril</c:v>
                  </c:pt>
                  <c:pt idx="88">
                    <c:v>Mayo</c:v>
                  </c:pt>
                  <c:pt idx="89">
                    <c:v>Junio</c:v>
                  </c:pt>
                  <c:pt idx="90">
                    <c:v>Julio</c:v>
                  </c:pt>
                  <c:pt idx="91">
                    <c:v>Agosto</c:v>
                  </c:pt>
                  <c:pt idx="92">
                    <c:v>Setiembre</c:v>
                  </c:pt>
                  <c:pt idx="93">
                    <c:v>Octubre</c:v>
                  </c:pt>
                  <c:pt idx="94">
                    <c:v>Noviembre</c:v>
                  </c:pt>
                  <c:pt idx="95">
                    <c:v>Diciembre</c:v>
                  </c:pt>
                  <c:pt idx="96">
                    <c:v>Enero</c:v>
                  </c:pt>
                  <c:pt idx="97">
                    <c:v>Febrero</c:v>
                  </c:pt>
                  <c:pt idx="98">
                    <c:v>Marzo</c:v>
                  </c:pt>
                  <c:pt idx="99">
                    <c:v>Abril</c:v>
                  </c:pt>
                  <c:pt idx="100">
                    <c:v>Mayo</c:v>
                  </c:pt>
                  <c:pt idx="101">
                    <c:v>Junio</c:v>
                  </c:pt>
                  <c:pt idx="102">
                    <c:v>Julio</c:v>
                  </c:pt>
                  <c:pt idx="103">
                    <c:v>Agosto</c:v>
                  </c:pt>
                  <c:pt idx="104">
                    <c:v>Setiembre</c:v>
                  </c:pt>
                  <c:pt idx="105">
                    <c:v>Octubre</c:v>
                  </c:pt>
                  <c:pt idx="106">
                    <c:v>Noviembre</c:v>
                  </c:pt>
                  <c:pt idx="107">
                    <c:v>Diciembre</c:v>
                  </c:pt>
                  <c:pt idx="108">
                    <c:v>Enero</c:v>
                  </c:pt>
                  <c:pt idx="109">
                    <c:v>Febrero</c:v>
                  </c:pt>
                  <c:pt idx="110">
                    <c:v>Marzo</c:v>
                  </c:pt>
                  <c:pt idx="111">
                    <c:v>Abril</c:v>
                  </c:pt>
                  <c:pt idx="112">
                    <c:v>Mayo</c:v>
                  </c:pt>
                  <c:pt idx="113">
                    <c:v>Junio</c:v>
                  </c:pt>
                  <c:pt idx="114">
                    <c:v>Julio</c:v>
                  </c:pt>
                  <c:pt idx="115">
                    <c:v>Agosto</c:v>
                  </c:pt>
                  <c:pt idx="116">
                    <c:v>Setiembre</c:v>
                  </c:pt>
                  <c:pt idx="117">
                    <c:v>Octubre</c:v>
                  </c:pt>
                  <c:pt idx="118">
                    <c:v>Noviembre</c:v>
                  </c:pt>
                  <c:pt idx="119">
                    <c:v>Diciembre</c:v>
                  </c:pt>
                  <c:pt idx="120">
                    <c:v>Enero</c:v>
                  </c:pt>
                  <c:pt idx="121">
                    <c:v>Febrero</c:v>
                  </c:pt>
                  <c:pt idx="122">
                    <c:v>Marzo</c:v>
                  </c:pt>
                  <c:pt idx="123">
                    <c:v>Abril</c:v>
                  </c:pt>
                  <c:pt idx="124">
                    <c:v>Mayo</c:v>
                  </c:pt>
                  <c:pt idx="125">
                    <c:v>Junio</c:v>
                  </c:pt>
                  <c:pt idx="126">
                    <c:v>Julio</c:v>
                  </c:pt>
                  <c:pt idx="127">
                    <c:v>Agosto</c:v>
                  </c:pt>
                  <c:pt idx="128">
                    <c:v>Setiembre</c:v>
                  </c:pt>
                  <c:pt idx="129">
                    <c:v>Octubre</c:v>
                  </c:pt>
                  <c:pt idx="130">
                    <c:v>Noviembre</c:v>
                  </c:pt>
                  <c:pt idx="131">
                    <c:v>Diciembre</c:v>
                  </c:pt>
                  <c:pt idx="132">
                    <c:v>Enero</c:v>
                  </c:pt>
                  <c:pt idx="133">
                    <c:v>Febrero</c:v>
                  </c:pt>
                  <c:pt idx="134">
                    <c:v>Marzo</c:v>
                  </c:pt>
                  <c:pt idx="135">
                    <c:v>Abril</c:v>
                  </c:pt>
                  <c:pt idx="136">
                    <c:v>Mayo</c:v>
                  </c:pt>
                  <c:pt idx="137">
                    <c:v>Junio</c:v>
                  </c:pt>
                  <c:pt idx="138">
                    <c:v>Julio</c:v>
                  </c:pt>
                  <c:pt idx="139">
                    <c:v>Agosto</c:v>
                  </c:pt>
                </c:lvl>
                <c:lvl>
                  <c:pt idx="0">
                    <c:v>2007</c:v>
                  </c:pt>
                  <c:pt idx="12">
                    <c:v>2008</c:v>
                  </c:pt>
                  <c:pt idx="24">
                    <c:v>2009</c:v>
                  </c:pt>
                  <c:pt idx="36">
                    <c:v>2010</c:v>
                  </c:pt>
                  <c:pt idx="48">
                    <c:v>2011</c:v>
                  </c:pt>
                  <c:pt idx="60">
                    <c:v>2012</c:v>
                  </c:pt>
                  <c:pt idx="72">
                    <c:v>2013</c:v>
                  </c:pt>
                  <c:pt idx="84">
                    <c:v>2014</c:v>
                  </c:pt>
                  <c:pt idx="96">
                    <c:v>2015</c:v>
                  </c:pt>
                  <c:pt idx="108">
                    <c:v>2016</c:v>
                  </c:pt>
                  <c:pt idx="120">
                    <c:v>2017</c:v>
                  </c:pt>
                  <c:pt idx="132">
                    <c:v>2018</c:v>
                  </c:pt>
                </c:lvl>
              </c:multiLvlStrCache>
            </c:multiLvlStrRef>
          </c:cat>
          <c:val>
            <c:numRef>
              <c:f>Graf_Acum_12_meses!$J$35:$J$187</c:f>
              <c:numCache>
                <c:formatCode>0.0%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0.18711073703196579</c:v>
                </c:pt>
                <c:pt idx="24">
                  <c:v>0.17432151633475779</c:v>
                </c:pt>
                <c:pt idx="25">
                  <c:v>0.14775185653964873</c:v>
                </c:pt>
                <c:pt idx="26">
                  <c:v>0.1049960485305057</c:v>
                </c:pt>
                <c:pt idx="27">
                  <c:v>5.0134016092064915E-2</c:v>
                </c:pt>
                <c:pt idx="28">
                  <c:v>3.0885886667429308E-2</c:v>
                </c:pt>
                <c:pt idx="29">
                  <c:v>1.1692315550124732E-2</c:v>
                </c:pt>
                <c:pt idx="30">
                  <c:v>-1.8306197147275327E-2</c:v>
                </c:pt>
                <c:pt idx="31">
                  <c:v>-3.6125500253217702E-2</c:v>
                </c:pt>
                <c:pt idx="32">
                  <c:v>-5.2445574850527255E-2</c:v>
                </c:pt>
                <c:pt idx="33">
                  <c:v>-6.9529342118429538E-2</c:v>
                </c:pt>
                <c:pt idx="34">
                  <c:v>-6.5618130336052571E-2</c:v>
                </c:pt>
                <c:pt idx="35">
                  <c:v>-6.0736519193497984E-2</c:v>
                </c:pt>
                <c:pt idx="36">
                  <c:v>-6.1431809234197776E-2</c:v>
                </c:pt>
                <c:pt idx="37">
                  <c:v>-5.4736202911857768E-2</c:v>
                </c:pt>
                <c:pt idx="38">
                  <c:v>-3.1980702602433464E-2</c:v>
                </c:pt>
                <c:pt idx="39">
                  <c:v>-1.0466447795631217E-2</c:v>
                </c:pt>
                <c:pt idx="40">
                  <c:v>5.3441313663273871E-3</c:v>
                </c:pt>
                <c:pt idx="41">
                  <c:v>2.6514429054827371E-2</c:v>
                </c:pt>
                <c:pt idx="42">
                  <c:v>2.8081928505689691E-2</c:v>
                </c:pt>
                <c:pt idx="43">
                  <c:v>4.5684189496488781E-2</c:v>
                </c:pt>
                <c:pt idx="44">
                  <c:v>7.1587130878951744E-2</c:v>
                </c:pt>
                <c:pt idx="45">
                  <c:v>7.5385975651128589E-2</c:v>
                </c:pt>
                <c:pt idx="46">
                  <c:v>8.3519039878299894E-2</c:v>
                </c:pt>
                <c:pt idx="47">
                  <c:v>0.10138493653711733</c:v>
                </c:pt>
                <c:pt idx="48">
                  <c:v>0.10115193994534155</c:v>
                </c:pt>
                <c:pt idx="49">
                  <c:v>0.106262234343937</c:v>
                </c:pt>
                <c:pt idx="50">
                  <c:v>8.926549842419651E-2</c:v>
                </c:pt>
                <c:pt idx="51">
                  <c:v>9.8007367017359126E-2</c:v>
                </c:pt>
                <c:pt idx="52">
                  <c:v>9.6606525763049511E-2</c:v>
                </c:pt>
                <c:pt idx="53">
                  <c:v>0.10169453279230445</c:v>
                </c:pt>
                <c:pt idx="54">
                  <c:v>0.11019167830344889</c:v>
                </c:pt>
                <c:pt idx="55">
                  <c:v>0.11005263800400833</c:v>
                </c:pt>
                <c:pt idx="56">
                  <c:v>9.6318724809415501E-2</c:v>
                </c:pt>
                <c:pt idx="57">
                  <c:v>0.10234260765061265</c:v>
                </c:pt>
                <c:pt idx="58">
                  <c:v>0.10304597958042216</c:v>
                </c:pt>
                <c:pt idx="59">
                  <c:v>0.11144447116452172</c:v>
                </c:pt>
                <c:pt idx="60">
                  <c:v>0.11936608071424892</c:v>
                </c:pt>
                <c:pt idx="61">
                  <c:v>0.11807111237120016</c:v>
                </c:pt>
                <c:pt idx="62">
                  <c:v>0.13666233961320962</c:v>
                </c:pt>
                <c:pt idx="63">
                  <c:v>0.1297864654973786</c:v>
                </c:pt>
                <c:pt idx="64">
                  <c:v>0.13767121022817097</c:v>
                </c:pt>
                <c:pt idx="65">
                  <c:v>0.12197132844675473</c:v>
                </c:pt>
                <c:pt idx="66">
                  <c:v>0.1264520680835155</c:v>
                </c:pt>
                <c:pt idx="67">
                  <c:v>0.11885167108305317</c:v>
                </c:pt>
                <c:pt idx="68">
                  <c:v>0.116839936976179</c:v>
                </c:pt>
                <c:pt idx="69">
                  <c:v>0.11983949929435211</c:v>
                </c:pt>
                <c:pt idx="70">
                  <c:v>0.1145957471461454</c:v>
                </c:pt>
                <c:pt idx="71">
                  <c:v>8.615407029438038E-2</c:v>
                </c:pt>
                <c:pt idx="72">
                  <c:v>8.5504225236331388E-2</c:v>
                </c:pt>
                <c:pt idx="73">
                  <c:v>9.6814380139750522E-2</c:v>
                </c:pt>
                <c:pt idx="74">
                  <c:v>8.3596244001574505E-2</c:v>
                </c:pt>
                <c:pt idx="75">
                  <c:v>9.2760900670943114E-2</c:v>
                </c:pt>
                <c:pt idx="76">
                  <c:v>7.537467739416881E-2</c:v>
                </c:pt>
                <c:pt idx="77">
                  <c:v>7.2669926203943858E-2</c:v>
                </c:pt>
                <c:pt idx="78">
                  <c:v>7.9968694730969236E-2</c:v>
                </c:pt>
                <c:pt idx="79">
                  <c:v>8.247130529390212E-2</c:v>
                </c:pt>
                <c:pt idx="80">
                  <c:v>8.0625398941883475E-2</c:v>
                </c:pt>
                <c:pt idx="81">
                  <c:v>8.4383730268578372E-2</c:v>
                </c:pt>
                <c:pt idx="82">
                  <c:v>8.0905900003101161E-2</c:v>
                </c:pt>
                <c:pt idx="83">
                  <c:v>9.4545871290594663E-2</c:v>
                </c:pt>
                <c:pt idx="84">
                  <c:v>9.4017721950132804E-2</c:v>
                </c:pt>
                <c:pt idx="85">
                  <c:v>7.6880515823302353E-2</c:v>
                </c:pt>
                <c:pt idx="86">
                  <c:v>8.1884322002076182E-2</c:v>
                </c:pt>
                <c:pt idx="87">
                  <c:v>8.0045597375154376E-2</c:v>
                </c:pt>
                <c:pt idx="88">
                  <c:v>8.9442450755899294E-2</c:v>
                </c:pt>
                <c:pt idx="89">
                  <c:v>9.151386257525318E-2</c:v>
                </c:pt>
                <c:pt idx="90">
                  <c:v>7.9383959894738565E-2</c:v>
                </c:pt>
                <c:pt idx="91">
                  <c:v>7.8694576044100462E-2</c:v>
                </c:pt>
                <c:pt idx="92">
                  <c:v>8.1336371322788814E-2</c:v>
                </c:pt>
                <c:pt idx="93">
                  <c:v>7.5642150016014487E-2</c:v>
                </c:pt>
                <c:pt idx="94">
                  <c:v>7.9366092877998673E-2</c:v>
                </c:pt>
                <c:pt idx="95">
                  <c:v>6.9900383410363975E-2</c:v>
                </c:pt>
                <c:pt idx="96">
                  <c:v>6.8564828546332723E-2</c:v>
                </c:pt>
                <c:pt idx="97">
                  <c:v>7.6576813621230588E-2</c:v>
                </c:pt>
                <c:pt idx="98">
                  <c:v>8.2381052093487783E-2</c:v>
                </c:pt>
                <c:pt idx="99">
                  <c:v>6.9792589635069291E-2</c:v>
                </c:pt>
                <c:pt idx="100">
                  <c:v>6.5599433021333642E-2</c:v>
                </c:pt>
                <c:pt idx="101">
                  <c:v>6.9686484153586026E-2</c:v>
                </c:pt>
                <c:pt idx="102">
                  <c:v>7.4163679574282826E-2</c:v>
                </c:pt>
                <c:pt idx="103">
                  <c:v>7.9874301126169556E-2</c:v>
                </c:pt>
                <c:pt idx="104">
                  <c:v>7.6565249103184296E-2</c:v>
                </c:pt>
                <c:pt idx="105">
                  <c:v>7.8427382024910841E-2</c:v>
                </c:pt>
                <c:pt idx="106">
                  <c:v>8.4333654815280656E-2</c:v>
                </c:pt>
                <c:pt idx="107">
                  <c:v>9.6373645527669582E-2</c:v>
                </c:pt>
                <c:pt idx="108">
                  <c:v>9.6088199913901828E-2</c:v>
                </c:pt>
                <c:pt idx="109">
                  <c:v>9.4195604985650716E-2</c:v>
                </c:pt>
                <c:pt idx="110">
                  <c:v>8.5577649191283189E-2</c:v>
                </c:pt>
                <c:pt idx="111">
                  <c:v>9.8048387983375118E-2</c:v>
                </c:pt>
                <c:pt idx="112">
                  <c:v>0.10360453649471646</c:v>
                </c:pt>
                <c:pt idx="113">
                  <c:v>0.10728813698446138</c:v>
                </c:pt>
                <c:pt idx="114">
                  <c:v>0.10583289547956998</c:v>
                </c:pt>
                <c:pt idx="115">
                  <c:v>9.5164197014627527E-2</c:v>
                </c:pt>
                <c:pt idx="116">
                  <c:v>9.8778694944498646E-2</c:v>
                </c:pt>
                <c:pt idx="117">
                  <c:v>9.9585480124116277E-2</c:v>
                </c:pt>
                <c:pt idx="118">
                  <c:v>9.166340773690318E-2</c:v>
                </c:pt>
                <c:pt idx="119">
                  <c:v>7.9190440719229649E-2</c:v>
                </c:pt>
                <c:pt idx="120">
                  <c:v>7.9915590678714121E-2</c:v>
                </c:pt>
                <c:pt idx="121">
                  <c:v>7.5334268009244143E-2</c:v>
                </c:pt>
                <c:pt idx="122">
                  <c:v>8.2841599802151666E-2</c:v>
                </c:pt>
                <c:pt idx="123">
                  <c:v>6.9942952450317009E-2</c:v>
                </c:pt>
                <c:pt idx="124">
                  <c:v>6.9519468058033995E-2</c:v>
                </c:pt>
                <c:pt idx="125">
                  <c:v>6.3014461716451642E-2</c:v>
                </c:pt>
                <c:pt idx="126">
                  <c:v>5.6926056719401874E-2</c:v>
                </c:pt>
                <c:pt idx="127">
                  <c:v>6.1623540107935248E-2</c:v>
                </c:pt>
                <c:pt idx="128">
                  <c:v>6.0267265877820497E-2</c:v>
                </c:pt>
                <c:pt idx="129">
                  <c:v>5.3062069451109029E-2</c:v>
                </c:pt>
                <c:pt idx="130">
                  <c:v>5.2916885462621632E-2</c:v>
                </c:pt>
                <c:pt idx="131">
                  <c:v>5.3537199695731896E-2</c:v>
                </c:pt>
                <c:pt idx="132">
                  <c:v>5.4086494664170814E-2</c:v>
                </c:pt>
                <c:pt idx="133">
                  <c:v>5.2508801760191348E-2</c:v>
                </c:pt>
                <c:pt idx="134">
                  <c:v>3.5914528107376276E-2</c:v>
                </c:pt>
                <c:pt idx="135">
                  <c:v>4.8546273214727265E-2</c:v>
                </c:pt>
                <c:pt idx="136">
                  <c:v>3.3767245220717834E-2</c:v>
                </c:pt>
                <c:pt idx="137">
                  <c:v>2.5472375688261994E-2</c:v>
                </c:pt>
                <c:pt idx="138">
                  <c:v>3.523379033288454E-2</c:v>
                </c:pt>
                <c:pt idx="139">
                  <c:v>-2.0970761195292287E-2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449-BEE4-B7A5501A2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960832"/>
        <c:axId val="331433088"/>
      </c:lineChart>
      <c:catAx>
        <c:axId val="329960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31433088"/>
        <c:crosses val="autoZero"/>
        <c:auto val="1"/>
        <c:lblAlgn val="ctr"/>
        <c:lblOffset val="100"/>
        <c:noMultiLvlLbl val="0"/>
      </c:catAx>
      <c:valAx>
        <c:axId val="331433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Tasa</a:t>
                </a:r>
                <a:r>
                  <a:rPr lang="es-ES" baseline="0"/>
                  <a:t> de variación interanual</a:t>
                </a:r>
                <a:endParaRPr lang="es-ES"/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329960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Graf_Acum_12_meses!$G$35</c:f>
              <c:strCache>
                <c:ptCount val="1"/>
                <c:pt idx="0">
                  <c:v>Var interanual acum 12 meses</c:v>
                </c:pt>
              </c:strCache>
            </c:strRef>
          </c:tx>
          <c:marker>
            <c:symbol val="none"/>
          </c:marker>
          <c:cat>
            <c:numRef>
              <c:f>Graf_Acum_12_meses!$A$132:$A$197</c:f>
              <c:numCache>
                <c:formatCode>mmm\-yy</c:formatCode>
                <c:ptCount val="66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</c:numCache>
            </c:numRef>
          </c:cat>
          <c:val>
            <c:numRef>
              <c:f>Graf_Acum_12_meses!$G$132:$G$197</c:f>
              <c:numCache>
                <c:formatCode>0.0%</c:formatCode>
                <c:ptCount val="66"/>
                <c:pt idx="0">
                  <c:v>6.8564828546332723E-2</c:v>
                </c:pt>
                <c:pt idx="1">
                  <c:v>7.6576813621230588E-2</c:v>
                </c:pt>
                <c:pt idx="2">
                  <c:v>8.2381052093487561E-2</c:v>
                </c:pt>
                <c:pt idx="3">
                  <c:v>6.9792589635069291E-2</c:v>
                </c:pt>
                <c:pt idx="4">
                  <c:v>6.5599433021333642E-2</c:v>
                </c:pt>
                <c:pt idx="5">
                  <c:v>6.9686484153586026E-2</c:v>
                </c:pt>
                <c:pt idx="6">
                  <c:v>7.4163679574282826E-2</c:v>
                </c:pt>
                <c:pt idx="7">
                  <c:v>7.9874301126169556E-2</c:v>
                </c:pt>
                <c:pt idx="8">
                  <c:v>7.6565249103184296E-2</c:v>
                </c:pt>
                <c:pt idx="9">
                  <c:v>7.8427382024910841E-2</c:v>
                </c:pt>
                <c:pt idx="10">
                  <c:v>8.4333654815280656E-2</c:v>
                </c:pt>
                <c:pt idx="11">
                  <c:v>9.6373645527669582E-2</c:v>
                </c:pt>
                <c:pt idx="12">
                  <c:v>9.6088199913901828E-2</c:v>
                </c:pt>
                <c:pt idx="13">
                  <c:v>9.4195604985650716E-2</c:v>
                </c:pt>
                <c:pt idx="14">
                  <c:v>8.5577649191283189E-2</c:v>
                </c:pt>
                <c:pt idx="15">
                  <c:v>9.8048387983375118E-2</c:v>
                </c:pt>
                <c:pt idx="16">
                  <c:v>0.10360453649471646</c:v>
                </c:pt>
                <c:pt idx="17">
                  <c:v>0.10728813698446138</c:v>
                </c:pt>
                <c:pt idx="18">
                  <c:v>0.10583289547956998</c:v>
                </c:pt>
                <c:pt idx="19">
                  <c:v>9.5164197014627527E-2</c:v>
                </c:pt>
                <c:pt idx="20">
                  <c:v>9.8778694944498646E-2</c:v>
                </c:pt>
                <c:pt idx="21">
                  <c:v>9.9585480124116277E-2</c:v>
                </c:pt>
                <c:pt idx="22">
                  <c:v>9.166340773690318E-2</c:v>
                </c:pt>
                <c:pt idx="23">
                  <c:v>7.9190440719229649E-2</c:v>
                </c:pt>
                <c:pt idx="24">
                  <c:v>7.9915590678714121E-2</c:v>
                </c:pt>
                <c:pt idx="25">
                  <c:v>7.5334268009244143E-2</c:v>
                </c:pt>
                <c:pt idx="26">
                  <c:v>8.2841599802151666E-2</c:v>
                </c:pt>
                <c:pt idx="27">
                  <c:v>6.9942952450317009E-2</c:v>
                </c:pt>
                <c:pt idx="28">
                  <c:v>6.9519468058033995E-2</c:v>
                </c:pt>
                <c:pt idx="29">
                  <c:v>6.3014461716451642E-2</c:v>
                </c:pt>
                <c:pt idx="30">
                  <c:v>5.6926056719401874E-2</c:v>
                </c:pt>
                <c:pt idx="31">
                  <c:v>6.1623540107935248E-2</c:v>
                </c:pt>
                <c:pt idx="32">
                  <c:v>6.0267265877820497E-2</c:v>
                </c:pt>
                <c:pt idx="33">
                  <c:v>5.3062069451109029E-2</c:v>
                </c:pt>
                <c:pt idx="34">
                  <c:v>5.2916885462621632E-2</c:v>
                </c:pt>
                <c:pt idx="35">
                  <c:v>5.3537199695731896E-2</c:v>
                </c:pt>
                <c:pt idx="36">
                  <c:v>5.4086494664170814E-2</c:v>
                </c:pt>
                <c:pt idx="37">
                  <c:v>5.2508801760191348E-2</c:v>
                </c:pt>
                <c:pt idx="38">
                  <c:v>3.5914528107376276E-2</c:v>
                </c:pt>
                <c:pt idx="39">
                  <c:v>4.8546273214727265E-2</c:v>
                </c:pt>
                <c:pt idx="40">
                  <c:v>3.3767245220717834E-2</c:v>
                </c:pt>
                <c:pt idx="41">
                  <c:v>2.5472375688261994E-2</c:v>
                </c:pt>
                <c:pt idx="42">
                  <c:v>3.523379033288454E-2</c:v>
                </c:pt>
                <c:pt idx="43">
                  <c:v>2.9897834922857802E-2</c:v>
                </c:pt>
                <c:pt idx="44">
                  <c:v>1.8283665753258127E-2</c:v>
                </c:pt>
                <c:pt idx="45">
                  <c:v>2.5552499729152967E-2</c:v>
                </c:pt>
                <c:pt idx="46">
                  <c:v>2.364560933936577E-2</c:v>
                </c:pt>
                <c:pt idx="47">
                  <c:v>4.0143036622057648E-2</c:v>
                </c:pt>
                <c:pt idx="48">
                  <c:v>5.1331258935446211E-2</c:v>
                </c:pt>
                <c:pt idx="49">
                  <c:v>5.758829414340938E-2</c:v>
                </c:pt>
                <c:pt idx="50">
                  <c:v>6.3510711001699471E-2</c:v>
                </c:pt>
                <c:pt idx="51">
                  <c:v>5.2445967109698177E-2</c:v>
                </c:pt>
                <c:pt idx="52">
                  <c:v>6.8526312306408599E-2</c:v>
                </c:pt>
                <c:pt idx="53">
                  <c:v>7.0870627110160678E-2</c:v>
                </c:pt>
                <c:pt idx="54">
                  <c:v>6.2026721278713781E-2</c:v>
                </c:pt>
                <c:pt idx="55">
                  <c:v>7.5988115845055493E-2</c:v>
                </c:pt>
                <c:pt idx="56">
                  <c:v>9.1687992517665462E-2</c:v>
                </c:pt>
                <c:pt idx="57">
                  <c:v>0.10157586564664012</c:v>
                </c:pt>
                <c:pt idx="58">
                  <c:v>0.10525669425687756</c:v>
                </c:pt>
                <c:pt idx="59">
                  <c:v>7.059968974088271E-2</c:v>
                </c:pt>
                <c:pt idx="60">
                  <c:v>4.92485236419693E-2</c:v>
                </c:pt>
                <c:pt idx="61">
                  <c:v>5.3986131084793776E-2</c:v>
                </c:pt>
                <c:pt idx="62">
                  <c:v>5.583039345658336E-2</c:v>
                </c:pt>
                <c:pt idx="63">
                  <c:v>3.8812529016454711E-2</c:v>
                </c:pt>
                <c:pt idx="64">
                  <c:v>1.1272902393814066E-2</c:v>
                </c:pt>
                <c:pt idx="65">
                  <c:v>-2.2197303456223727E-2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B-4F00-8D8A-59F480B6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272000"/>
        <c:axId val="398273920"/>
      </c:lineChart>
      <c:dateAx>
        <c:axId val="3982720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398273920"/>
        <c:crosses val="autoZero"/>
        <c:auto val="1"/>
        <c:lblOffset val="100"/>
        <c:baseTimeUnit val="months"/>
      </c:dateAx>
      <c:valAx>
        <c:axId val="39827392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3982720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'Carga tributaria'!$E$12</c:f>
              <c:strCache>
                <c:ptCount val="1"/>
                <c:pt idx="0">
                  <c:v>Carga Tributaria </c:v>
                </c:pt>
              </c:strCache>
            </c:strRef>
          </c:tx>
          <c:marker>
            <c:symbol val="none"/>
          </c:marker>
          <c:cat>
            <c:numRef>
              <c:f>'Carga tributaria'!$A$13:$A$24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'Carga tributaria'!$E$13:$E$24</c:f>
              <c:numCache>
                <c:formatCode>0.00%</c:formatCode>
                <c:ptCount val="12"/>
                <c:pt idx="0">
                  <c:v>0.14685077560542029</c:v>
                </c:pt>
                <c:pt idx="1">
                  <c:v>0.14951189509337731</c:v>
                </c:pt>
                <c:pt idx="2">
                  <c:v>0.12911851145029263</c:v>
                </c:pt>
                <c:pt idx="3">
                  <c:v>0.12714497711915931</c:v>
                </c:pt>
                <c:pt idx="4">
                  <c:v>0.12958530127666607</c:v>
                </c:pt>
                <c:pt idx="5">
                  <c:v>0.12870095296951478</c:v>
                </c:pt>
                <c:pt idx="6">
                  <c:v>0.13242895794005263</c:v>
                </c:pt>
                <c:pt idx="7">
                  <c:v>0.12937369417207106</c:v>
                </c:pt>
                <c:pt idx="8">
                  <c:v>0.13188975376551063</c:v>
                </c:pt>
                <c:pt idx="9">
                  <c:v>0.1338550753770158</c:v>
                </c:pt>
                <c:pt idx="10">
                  <c:v>0.13229804008278745</c:v>
                </c:pt>
                <c:pt idx="11">
                  <c:v>0.13072127826555516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8-40E7-8C46-BEBF5D305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15424"/>
        <c:axId val="555979136"/>
      </c:lineChart>
      <c:catAx>
        <c:axId val="55181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5979136"/>
        <c:crosses val="autoZero"/>
        <c:auto val="1"/>
        <c:lblAlgn val="ctr"/>
        <c:lblOffset val="100"/>
        <c:noMultiLvlLbl val="0"/>
      </c:catAx>
      <c:valAx>
        <c:axId val="55597913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551815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1</xdr:row>
      <xdr:rowOff>142875</xdr:rowOff>
    </xdr:from>
    <xdr:to>
      <xdr:col>3</xdr:col>
      <xdr:colOff>1777465</xdr:colOff>
      <xdr:row>4</xdr:row>
      <xdr:rowOff>71290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333375"/>
          <a:ext cx="1158340" cy="499915"/>
        </a:xfrm>
        <a:prstGeom prst="rect">
          <a:avLst/>
        </a:prstGeom>
      </xdr:spPr>
    </xdr:pic>
    <xdr:clientData/>
  </xdr:twoCellAnchor>
  <xdr:twoCellAnchor>
    <xdr:from>
      <xdr:col>8</xdr:col>
      <xdr:colOff>1790699</xdr:colOff>
      <xdr:row>31</xdr:row>
      <xdr:rowOff>38099</xdr:rowOff>
    </xdr:from>
    <xdr:to>
      <xdr:col>18</xdr:col>
      <xdr:colOff>247650</xdr:colOff>
      <xdr:row>48</xdr:row>
      <xdr:rowOff>85725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604987</xdr:colOff>
      <xdr:row>41</xdr:row>
      <xdr:rowOff>100372</xdr:rowOff>
    </xdr:from>
    <xdr:to>
      <xdr:col>28</xdr:col>
      <xdr:colOff>664485</xdr:colOff>
      <xdr:row>66</xdr:row>
      <xdr:rowOff>89858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625297</xdr:colOff>
      <xdr:row>68</xdr:row>
      <xdr:rowOff>160657</xdr:rowOff>
    </xdr:from>
    <xdr:to>
      <xdr:col>30</xdr:col>
      <xdr:colOff>222663</xdr:colOff>
      <xdr:row>94</xdr:row>
      <xdr:rowOff>123699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389039</xdr:colOff>
      <xdr:row>3</xdr:row>
      <xdr:rowOff>91942</xdr:rowOff>
    </xdr:from>
    <xdr:to>
      <xdr:col>3</xdr:col>
      <xdr:colOff>1290204</xdr:colOff>
      <xdr:row>6</xdr:row>
      <xdr:rowOff>20357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56227" y="663442"/>
          <a:ext cx="901165" cy="49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300716</xdr:colOff>
      <xdr:row>35</xdr:row>
      <xdr:rowOff>29031</xdr:rowOff>
    </xdr:from>
    <xdr:to>
      <xdr:col>22</xdr:col>
      <xdr:colOff>691695</xdr:colOff>
      <xdr:row>58</xdr:row>
      <xdr:rowOff>113393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830943</xdr:colOff>
      <xdr:row>0</xdr:row>
      <xdr:rowOff>146052</xdr:rowOff>
    </xdr:from>
    <xdr:to>
      <xdr:col>5</xdr:col>
      <xdr:colOff>249463</xdr:colOff>
      <xdr:row>5</xdr:row>
      <xdr:rowOff>142491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7639" y="146052"/>
          <a:ext cx="1459591" cy="9602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180969</xdr:colOff>
      <xdr:row>36</xdr:row>
      <xdr:rowOff>42861</xdr:rowOff>
    </xdr:from>
    <xdr:to>
      <xdr:col>21</xdr:col>
      <xdr:colOff>578642</xdr:colOff>
      <xdr:row>55</xdr:row>
      <xdr:rowOff>185736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428625</xdr:colOff>
      <xdr:row>0</xdr:row>
      <xdr:rowOff>171449</xdr:rowOff>
    </xdr:from>
    <xdr:to>
      <xdr:col>4</xdr:col>
      <xdr:colOff>457200</xdr:colOff>
      <xdr:row>5</xdr:row>
      <xdr:rowOff>76592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171449"/>
          <a:ext cx="1219200" cy="857643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209</xdr:row>
      <xdr:rowOff>38099</xdr:rowOff>
    </xdr:from>
    <xdr:to>
      <xdr:col>6</xdr:col>
      <xdr:colOff>628651</xdr:colOff>
      <xdr:row>227</xdr:row>
      <xdr:rowOff>9525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628196</xdr:colOff>
      <xdr:row>0</xdr:row>
      <xdr:rowOff>70303</xdr:rowOff>
    </xdr:from>
    <xdr:to>
      <xdr:col>5</xdr:col>
      <xdr:colOff>400050</xdr:colOff>
      <xdr:row>5</xdr:row>
      <xdr:rowOff>148202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121" y="70303"/>
          <a:ext cx="1057729" cy="1030399"/>
        </a:xfrm>
        <a:prstGeom prst="rect">
          <a:avLst/>
        </a:prstGeom>
      </xdr:spPr>
    </xdr:pic>
    <xdr:clientData/>
  </xdr:twoCellAnchor>
  <xdr:twoCellAnchor>
    <xdr:from>
      <xdr:col>5</xdr:col>
      <xdr:colOff>776286</xdr:colOff>
      <xdr:row>11</xdr:row>
      <xdr:rowOff>104775</xdr:rowOff>
    </xdr:from>
    <xdr:to>
      <xdr:col>10</xdr:col>
      <xdr:colOff>790574</xdr:colOff>
      <xdr:row>23</xdr:row>
      <xdr:rowOff>180975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575829</xdr:colOff>
      <xdr:row>1</xdr:row>
      <xdr:rowOff>15215</xdr:rowOff>
    </xdr:from>
    <xdr:to>
      <xdr:col>6</xdr:col>
      <xdr:colOff>327232</xdr:colOff>
      <xdr:row>3</xdr:row>
      <xdr:rowOff>139078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1554" y="205715"/>
          <a:ext cx="630878" cy="5048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3340100</xdr:colOff>
      <xdr:row>0</xdr:row>
      <xdr:rowOff>51254</xdr:rowOff>
    </xdr:from>
    <xdr:to>
      <xdr:col>1</xdr:col>
      <xdr:colOff>4508500</xdr:colOff>
      <xdr:row>5</xdr:row>
      <xdr:rowOff>137264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51254"/>
          <a:ext cx="1168400" cy="10385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113845</xdr:colOff>
      <xdr:row>0</xdr:row>
      <xdr:rowOff>156029</xdr:rowOff>
    </xdr:from>
    <xdr:to>
      <xdr:col>5</xdr:col>
      <xdr:colOff>1270000</xdr:colOff>
      <xdr:row>5</xdr:row>
      <xdr:rowOff>174849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170" y="156029"/>
          <a:ext cx="1152980" cy="9713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ardo%20Rodr&#237;guez/Downloads/Gestor%20de%20datos%20(Acces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 anual"/>
      <sheetName val="Ejec anual"/>
      <sheetName val="Ejec II semestre"/>
      <sheetName val="Ejec I semestre"/>
      <sheetName val="Matriz consolidada"/>
      <sheetName val="PIB"/>
      <sheetName val="Graficos montos"/>
      <sheetName val="Graficos var mensuales"/>
      <sheetName val="Grafico var interanual"/>
      <sheetName val="Acomo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A8">
            <v>2010</v>
          </cell>
        </row>
        <row r="9">
          <cell r="A9">
            <v>2011</v>
          </cell>
        </row>
        <row r="10">
          <cell r="A10">
            <v>2012</v>
          </cell>
        </row>
        <row r="11">
          <cell r="A11">
            <v>2013</v>
          </cell>
        </row>
        <row r="12">
          <cell r="A12">
            <v>2014</v>
          </cell>
        </row>
        <row r="13">
          <cell r="A13">
            <v>2015</v>
          </cell>
        </row>
        <row r="14">
          <cell r="A14">
            <v>2016</v>
          </cell>
        </row>
        <row r="15">
          <cell r="A15">
            <v>2017</v>
          </cell>
        </row>
      </sheetData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325.39746886574" createdVersion="4" refreshedVersion="4" minRefreshableVersion="3" recordCount="140" xr:uid="{00000000-000A-0000-FFFF-FFFFBD000000}">
  <cacheSource type="worksheet">
    <worksheetSource ref="A36:C176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4510542777.9200001" maxValue="16075766187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325.399043055557" createdVersion="4" refreshedVersion="4" minRefreshableVersion="3" recordCount="140" xr:uid="{00000000-000A-0000-FFFF-FFFFBE000000}">
  <cacheSource type="worksheet">
    <worksheetSource ref="B35:F175" sheet="Graf_Acum_12_mes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60551049271.609993" maxValue="627474094770.12"/>
    </cacheField>
    <cacheField name="Acumulado 12 meses" numFmtId="166">
      <sharedItems containsMixedTypes="1" containsNumber="1" minValue="2028941824871.5103" maxValue="4450741756231.9404"/>
    </cacheField>
    <cacheField name="Var interanual acum 12 meses" numFmtId="0">
      <sharedItems containsMixedTypes="1" containsNumber="1" minValue="-6.9529342118429538E-2" maxValue="0.187110737031965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334.322082754632" createdVersion="4" refreshedVersion="4" minRefreshableVersion="3" recordCount="144" xr:uid="{00000000-000A-0000-FFFF-FFFFBF000000}">
  <cacheSource type="worksheet">
    <worksheetSource ref="E36:G180" sheet="Mensual y estacionalidad"/>
  </cacheSource>
  <cacheFields count="3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Estacionalidad" numFmtId="167">
      <sharedItems containsSemiMixedTypes="0" containsString="0" containsNumber="1" minValue="0" maxValue="0.17415523874441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411.614722222221" createdVersion="4" refreshedVersion="4" minRefreshableVersion="3" recordCount="142" xr:uid="{00000000-000A-0000-FFFF-FFFFC0000000}">
  <cacheSource type="worksheet">
    <worksheetSource ref="E36:I178" sheet="Grafico variaciones"/>
  </cacheSource>
  <cacheFields count="5"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Mes" numFmtId="0">
      <sharedItems count="12">
        <s v="Enero"/>
        <s v="Febrero"/>
        <s v="Marzo"/>
        <s v="Abril"/>
        <s v="Mayo"/>
        <s v="Junio"/>
        <s v="Julio"/>
        <s v="Agosto"/>
        <s v="Setiembre"/>
        <s v="Octubre"/>
        <s v="Noviembre"/>
        <s v="Diciembre"/>
      </sharedItems>
    </cacheField>
    <cacheField name="Monto" numFmtId="0">
      <sharedItems containsSemiMixedTypes="0" containsString="0" containsNumber="1" minValue="130637062419.18004" maxValue="627474094770.12"/>
    </cacheField>
    <cacheField name="Var mensual" numFmtId="0">
      <sharedItems containsMixedTypes="1" containsNumber="1" minValue="-0.46396405832163545" maxValue="1.0379944659372144"/>
    </cacheField>
    <cacheField name="Var interanual" numFmtId="0">
      <sharedItems containsMixedTypes="1" containsNumber="1" minValue="-0.21760142591280052" maxValue="0.430576649697088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780.339474537039" createdVersion="4" refreshedVersion="4" minRefreshableVersion="3" recordCount="2261" xr:uid="{00000000-000A-0000-FFFF-FFFFC1000000}">
  <cacheSource type="worksheet">
    <worksheetSource ref="A1:R2262" sheet="Base de datos"/>
  </cacheSource>
  <cacheFields count="61">
    <cacheField name="PosPre" numFmtId="0">
      <sharedItems count="323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</sharedItems>
    </cacheField>
    <cacheField name="Añ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Descripción" numFmtId="0">
      <sharedItems count="286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1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4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48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</sharedItems>
    </cacheField>
    <cacheField name="Partida cod" numFmtId="0">
      <sharedItems containsSemiMixedTypes="0" containsString="0" containsNumber="1" containsInteger="1" minValue="111101" maxValue="332101"/>
    </cacheField>
    <cacheField name="Partida" numFmtId="0">
      <sharedItems count="116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Derechos administrativos a actividades comerciales" u="1"/>
        <s v="Unidad Coordinadora Proyecto " u="1"/>
      </sharedItems>
    </cacheField>
    <cacheField name="Subpartida cod" numFmtId="0">
      <sharedItems containsSemiMixedTypes="0" containsString="0" containsNumber="1" containsInteger="1" minValue="11110101" maxValue="33210100"/>
    </cacheField>
    <cacheField name="Subpartida" numFmtId="0">
      <sharedItems containsMixedTypes="1" containsNumber="1" containsInteger="1" minValue="0" maxValue="0" count="112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n v="0" u="1"/>
      </sharedItems>
    </cacheField>
    <cacheField name="Renglón cod" numFmtId="0">
      <sharedItems containsSemiMixedTypes="0" containsString="0" containsNumber="1" containsInteger="1" minValue="111101010" maxValue="332101000"/>
    </cacheField>
    <cacheField name="Renglón" numFmtId="0">
      <sharedItems/>
    </cacheField>
    <cacheField name="Subrenglón cod" numFmtId="0">
      <sharedItems containsSemiMixedTypes="0" containsString="0" containsNumber="1" containsInteger="1" minValue="1111010100" maxValue="3321010000"/>
    </cacheField>
    <cacheField name="Subrenglón" numFmtId="0">
      <sharedItems/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166">
      <sharedItems containsString="0" containsBlank="1" containsNumber="1" containsInteger="1" minValue="0" maxValue="2470089423214"/>
    </cacheField>
    <cacheField name="Presupuesto actual" numFmtId="0">
      <sharedItems containsString="0" containsBlank="1" containsNumber="1" minValue="0" maxValue="3562739974018"/>
    </cacheField>
    <cacheField name="Presupuesto ajustado" numFmtId="0">
      <sharedItems containsString="0" containsBlank="1" containsNumber="1" minValue="0" maxValue="3562739974018"/>
    </cacheField>
    <cacheField name="Enero" numFmtId="0">
      <sharedItems containsSemiMixedTypes="0" containsString="0" containsNumber="1" minValue="-855157135.57000005" maxValue="271468845511.60001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596685263712.04004"/>
    </cacheField>
    <cacheField name="Abril" numFmtId="0">
      <sharedItems containsString="0" containsBlank="1" containsNumber="1" minValue="-8055513711.7399998" maxValue="256556289189.79999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313053796613.03003"/>
    </cacheField>
    <cacheField name="Octubre" numFmtId="0">
      <sharedItems containsSemiMixedTypes="0" containsString="0" containsNumber="1" minValue="-645985591.80999994" maxValue="231508278741.64999"/>
    </cacheField>
    <cacheField name="Noviembre" numFmtId="0">
      <sharedItems containsSemiMixedTypes="0" containsString="0" containsNumber="1" minValue="-24018836536.43" maxValue="216373810277.14001"/>
    </cacheField>
    <cacheField name="Diciembre" numFmtId="0">
      <sharedItems containsSemiMixedTypes="0" containsString="0" containsNumber="1" minValue="-13793165791.16" maxValue="567280561384.21997"/>
    </cacheField>
    <cacheField name="Acumulado" numFmtId="0">
      <sharedItems containsSemiMixedTypes="0" containsString="0" containsNumber="1" minValue="-2999.62" maxValue="2896319074141.7402"/>
    </cacheField>
    <cacheField name="Dif Pto Estimado - AcReal" numFmtId="0">
      <sharedItems containsSemiMixedTypes="0" containsString="0" containsNumber="1" minValue="-1055607978923.22" maxValue="788013935732.89001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3973.663685763888" createdVersion="4" refreshedVersion="4" minRefreshableVersion="3" recordCount="53" xr:uid="{00000000-000A-0000-FFFF-FFFFC2000000}">
  <cacheSource type="worksheet">
    <worksheetSource ref="B34:E87" sheet="Serie trimestral"/>
  </cacheSource>
  <cacheFields count="4"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Trimestre" numFmtId="0">
      <sharedItems count="4">
        <s v="I trimestre"/>
        <s v="II trimestre "/>
        <s v="III trimestre"/>
        <s v="IV trimestre "/>
      </sharedItems>
    </cacheField>
    <cacheField name="Monto " numFmtId="41">
      <sharedItems containsSemiMixedTypes="0" containsString="0" containsNumber="1" minValue="6620.8691694600002" maxValue="67150.020303779995"/>
    </cacheField>
    <cacheField name="Variación interanual " numFmtId="0">
      <sharedItems containsMixedTypes="1" containsNumber="1" minValue="-0.69857992553326231" maxValue="3.66887883175785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4145.878312615743" createdVersion="4" refreshedVersion="4" minRefreshableVersion="3" recordCount="2620" xr:uid="{00000000-000A-0000-FFFF-FFFFC3000000}">
  <cacheSource type="worksheet">
    <worksheetSource ref="A1:R1048576" sheet="Base de datos"/>
  </cacheSource>
  <cacheFields count="40">
    <cacheField name="PosPre" numFmtId="0">
      <sharedItems containsBlank="1"/>
    </cacheField>
    <cacheField name="Año" numFmtId="0">
      <sharedItems containsString="0" containsBlank="1" containsNumber="1" containsInteger="1" minValue="2007" maxValue="2020" count="15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Descripción" numFmtId="0">
      <sharedItems containsBlank="1" count="324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m/>
        <s v="DONACION KOLFACI" u="1"/>
      </sharedItems>
    </cacheField>
    <cacheField name="Clase cod" numFmtId="0">
      <sharedItems containsString="0" containsBlank="1" containsNumber="1" containsInteger="1" minValue="1" maxValue="3"/>
    </cacheField>
    <cacheField name="Clase" numFmtId="0">
      <sharedItems containsBlank="1" count="4">
        <s v="Ingresos corrientes"/>
        <s v="Ingresos de capital"/>
        <s v="Financiamiento"/>
        <m/>
      </sharedItems>
    </cacheField>
    <cacheField name="Subclase cod" numFmtId="0">
      <sharedItems containsString="0" containsBlank="1" containsNumber="1" containsInteger="1" minValue="11" maxValue="33"/>
    </cacheField>
    <cacheField name="Subclase" numFmtId="0">
      <sharedItems containsBlank="1" count="13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  <m/>
      </sharedItems>
    </cacheField>
    <cacheField name="Grupo cod" numFmtId="0">
      <sharedItems containsString="0" containsBlank="1" containsNumber="1" containsInteger="1" minValue="111" maxValue="332"/>
    </cacheField>
    <cacheField name="Grupo" numFmtId="0">
      <sharedItems containsBlank="1" count="27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  <m/>
      </sharedItems>
    </cacheField>
    <cacheField name="Subgrupo cod" numFmtId="0">
      <sharedItems containsString="0" containsBlank="1" containsNumber="1" containsInteger="1" minValue="1111" maxValue="3321"/>
    </cacheField>
    <cacheField name="Subgrupo" numFmtId="0">
      <sharedItems containsBlank="1" count="53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  <m/>
      </sharedItems>
    </cacheField>
    <cacheField name="Partida cod" numFmtId="0">
      <sharedItems containsString="0" containsBlank="1" containsNumber="1" containsInteger="1" minValue="111101" maxValue="332102"/>
    </cacheField>
    <cacheField name="Partida" numFmtId="0">
      <sharedItems containsBlank="1" containsMixedTypes="1" containsNumber="1" containsInteger="1" minValue="0" maxValue="0"/>
    </cacheField>
    <cacheField name="Subpartida cod" numFmtId="0">
      <sharedItems containsString="0" containsBlank="1" containsNumber="1" containsInteger="1" minValue="11110101" maxValue="33210200"/>
    </cacheField>
    <cacheField name="Subpartida" numFmtId="0">
      <sharedItems containsBlank="1" containsMixedTypes="1" containsNumber="1" containsInteger="1" minValue="0" maxValue="0"/>
    </cacheField>
    <cacheField name="Renglón cod" numFmtId="0">
      <sharedItems containsString="0" containsBlank="1" containsNumber="1" containsInteger="1" minValue="111101010" maxValue="332102000"/>
    </cacheField>
    <cacheField name="Renglón" numFmtId="0">
      <sharedItems containsBlank="1" containsMixedTypes="1" containsNumber="1" containsInteger="1" minValue="0" maxValue="0"/>
    </cacheField>
    <cacheField name="Subrenglón cod" numFmtId="0">
      <sharedItems containsString="0" containsBlank="1" containsNumber="1" containsInteger="1" minValue="1111010100" maxValue="3321020000"/>
    </cacheField>
    <cacheField name="Subrenglón" numFmtId="0">
      <sharedItems containsBlank="1" containsMixedTypes="1" containsNumber="1" containsInteger="1" minValue="0" maxValue="0"/>
    </cacheField>
    <cacheField name="Fuente cod" numFmtId="0">
      <sharedItems containsString="0" containsBlank="1" containsNumber="1" containsInteger="1" minValue="1" maxValue="980"/>
    </cacheField>
    <cacheField name="Fuente" numFmtId="0">
      <sharedItems containsBlank="1"/>
    </cacheField>
    <cacheField name="Presupuesto inicial " numFmtId="0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tring="0" containsBlank="1" containsNumber="1" minValue="-855157135.57000005" maxValue="307265769006.40002"/>
    </cacheField>
    <cacheField name="Febrero" numFmtId="0">
      <sharedItems containsString="0" containsBlank="1" containsNumber="1" minValue="-8089573131.2399998" maxValue="341219755186.03998"/>
    </cacheField>
    <cacheField name="Marzo" numFmtId="0">
      <sharedItems containsString="0" containsBlank="1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tring="0" containsBlank="1" containsNumber="1" minValue="-15445637638.620001" maxValue="552090000000"/>
    </cacheField>
    <cacheField name="Junio" numFmtId="0">
      <sharedItems containsString="0" containsBlank="1" containsNumber="1" minValue="-9041700493.9699993" maxValue="251018088920.53"/>
    </cacheField>
    <cacheField name="Julio" numFmtId="0">
      <sharedItems containsString="0" containsBlank="1" containsNumber="1" minValue="-5112151938.8699999" maxValue="439996721197.90002"/>
    </cacheField>
    <cacheField name="Agosto" numFmtId="0">
      <sharedItems containsString="0" containsBlank="1" containsNumber="1" minValue="-57652750431.029999" maxValue="307118919120.84003"/>
    </cacheField>
    <cacheField name="Setiembre" numFmtId="0">
      <sharedItems containsString="0" containsBlank="1" containsNumber="1" minValue="-12831503799" maxValue="507647469646.67999"/>
    </cacheField>
    <cacheField name="Octubre" numFmtId="0">
      <sharedItems containsString="0" containsBlank="1" containsNumber="1" minValue="-645985591.80999994" maxValue="276654675596.79999"/>
    </cacheField>
    <cacheField name="Noviembre" numFmtId="0">
      <sharedItems containsString="0" containsBlank="1" containsNumber="1" minValue="-24018836536.43" maxValue="861720000000.06995"/>
    </cacheField>
    <cacheField name="Diciembre" numFmtId="0">
      <sharedItems containsString="0" containsBlank="1" containsNumber="1" minValue="-121202458605.49001" maxValue="567280561384.21997"/>
    </cacheField>
    <cacheField name="Acumulado" numFmtId="0">
      <sharedItems containsString="0" containsBlank="1" containsNumber="1" minValue="-2999.62" maxValue="3692043237608.5098"/>
    </cacheField>
    <cacheField name="Dif Pto Estimado - AcReal" numFmtId="0">
      <sharedItems containsString="0" containsBlank="1" containsNumber="1" minValue="-1055607978923.22" maxValue="1541270149247.74"/>
    </cacheField>
    <cacheField name="% Ingreso Acum Real" numFmtId="0">
      <sharedItems containsString="0" containsBlank="1" containsNumber="1" minValue="0" maxValue="226330.57"/>
    </cacheField>
    <cacheField name="% (+)Pendiente (-)Excedente" numFmtId="0">
      <sharedItems containsString="0" containsBlank="1" containsNumber="1" minValue="-226230.57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Rodríguez Hernández" refreshedDate="44168.607265856481" createdVersion="4" refreshedVersion="4" minRefreshableVersion="3" recordCount="2618" xr:uid="{00000000-000A-0000-FFFF-FFFFC4000000}">
  <cacheSource type="worksheet">
    <worksheetSource ref="A1:R2619" sheet="Base de datos"/>
  </cacheSource>
  <cacheFields count="61">
    <cacheField name="PosPre" numFmtId="0">
      <sharedItems count="357">
        <s v="I1111010101001"/>
        <s v="I1111020101001"/>
        <s v="I1111030101001"/>
        <s v="I1111030102001"/>
        <s v="I1112010101001"/>
        <s v="I1112010102001"/>
        <s v="I1112020100001"/>
        <s v="I1112020101001"/>
        <s v="I1112020102001"/>
        <s v="I1113010110001"/>
        <s v="I1113010211001"/>
        <s v="I1113010212001"/>
        <s v="I1113020110001"/>
        <s v="I1113020211001"/>
        <s v="I1113020212001"/>
        <s v="I1114010110001"/>
        <s v="I1114010120001"/>
        <s v="I1114010130001"/>
        <s v="I1115010100001"/>
        <s v="I1122010100001"/>
        <s v="I1122010200001"/>
        <s v="I1122020000001"/>
        <s v="I1123010000001"/>
        <s v="I1124010000001"/>
        <s v="I1125010000001"/>
        <s v="I1131010110001"/>
        <s v="I1131010210001"/>
        <s v="I1131020110001"/>
        <s v="I1131020210001"/>
        <s v="I1132010220001"/>
        <s v="I1132010311001"/>
        <s v="I1132010312001"/>
        <s v="I1132010411001"/>
        <s v="I1132010412001"/>
        <s v="I1132010421001"/>
        <s v="I1132010422001"/>
        <s v="I1132010432001"/>
        <s v="I1132020310001"/>
        <s v="I1141010110001"/>
        <s v="I1141010120001"/>
        <s v="I1141020100001"/>
        <s v="I1142010100001"/>
        <s v="I1142090100001"/>
        <s v="I1143010100001"/>
        <s v="I1143030100001"/>
        <s v="I1143040100001"/>
        <s v="I1143090100001"/>
        <s v="I1191010000001"/>
        <s v="I1199010100001"/>
        <s v="I1199010200001"/>
        <s v="I1199010300001"/>
        <s v="I1199020100001"/>
        <s v="I1199020200001"/>
        <s v="I1213010100001"/>
        <s v="I1213020100001"/>
        <s v="I1213030100001"/>
        <s v="I1311090100001"/>
        <s v="I1311090200001"/>
        <s v="I1312040110001"/>
        <s v="I1312090210001"/>
        <s v="I1312090910001"/>
        <s v="I1312090920001"/>
        <s v="I1313010110001"/>
        <s v="I1313010120001"/>
        <s v="I1313010310001"/>
        <s v="I1313010320001"/>
        <s v="I1313010330001"/>
        <s v="I1313010340001"/>
        <s v="I1313020910001"/>
        <s v="I1321010000001"/>
        <s v="I1321020000001"/>
        <s v="I1322020100001"/>
        <s v="I1323010610001"/>
        <s v="I1331010100001"/>
        <s v="I1331040100001"/>
        <s v="I1331090110001"/>
        <s v="I1331090120001"/>
        <s v="I1331090130001"/>
        <s v="I1331090140001"/>
        <s v="I1331090150001"/>
        <s v="I1332010100001"/>
        <s v="I1391010000001"/>
        <s v="I1391020000001"/>
        <s v="I1399010000001"/>
        <s v="I1399030000001"/>
        <s v="I1399040000001"/>
        <s v="I1399080000001"/>
        <s v="I1399090000001"/>
        <s v="I1399100000001"/>
        <s v="I1399110000001"/>
        <s v="I1399120000001"/>
        <s v="I1412010000001"/>
        <s v="I1412020000001"/>
        <s v="I1412040000001"/>
        <s v="I1413010100001"/>
        <s v="I1413010300001"/>
        <s v="I1413010400001"/>
        <s v="I1413010500001"/>
        <s v="I1413010800001"/>
        <s v="I1413011000001"/>
        <s v="I1413011100001"/>
        <s v="I1413011200001"/>
        <s v="I1413011300001"/>
        <s v="I1413011400001"/>
        <s v="I1413011500001"/>
        <s v="I1413020000001"/>
        <s v="I1414010000001"/>
        <s v="I1415010100001"/>
        <s v="I1415010200001"/>
        <s v="I1415010300001"/>
        <s v="I1415010400001"/>
        <s v="I1415010500001"/>
        <s v="I1416010110001"/>
        <s v="I1416010120001"/>
        <s v="I1416010130001"/>
        <s v="I1416010210001"/>
        <s v="I1416010220001"/>
        <s v="I1416010230001"/>
        <s v="I1421000000001"/>
        <s v="I2412010000060"/>
        <s v="I2432010000066"/>
        <s v="I2510000000121"/>
        <s v="I3131010100280"/>
        <s v="I3211010300452"/>
        <s v="I3211020900498"/>
        <s v="I3211021000499"/>
        <s v="I3211021100500"/>
        <s v="I3211021300502"/>
        <s v="I3211030300532"/>
        <s v="I3212010000690"/>
        <s v="I3212030000692"/>
        <s v="I3311030000980"/>
        <s v="I3311040000980"/>
        <s v="I1111010100001"/>
        <s v="I1111020100001"/>
        <s v="I1111030100001"/>
        <s v="I1112010100001"/>
        <s v="I1112020000001"/>
        <s v="I1113010200001"/>
        <s v="I1113010210001"/>
        <s v="I1114010100001"/>
        <s v="I1122010000001"/>
        <s v="I1131010100001"/>
        <s v="I1132010210001"/>
        <s v="I1132010440001"/>
        <s v="I1141010100001"/>
        <s v="I1143090200001"/>
        <s v="I1199010000001"/>
        <s v="I1313020310001"/>
        <s v="I1313020320001"/>
        <s v="I1323030100001"/>
        <s v="I1331020100001"/>
        <s v="I1331020200001"/>
        <s v="I1331040200001"/>
        <s v="I1331090100001"/>
        <s v="I1331090200001"/>
        <s v="I1331090300001"/>
        <s v="I1391000000001"/>
        <s v="I1399000000001"/>
        <s v="I1412010100001"/>
        <s v="I1412010300001"/>
        <s v="I1412011000001"/>
        <s v="I1412012000001"/>
        <s v="I1412013000001"/>
        <s v="I1413010200001"/>
        <s v="I1413010600001"/>
        <s v="I1413010900001"/>
        <s v="I1413030000001"/>
        <s v="I1416010100001"/>
        <s v="I1416010200001"/>
        <s v="I1416010300001"/>
        <s v="I1416010400001"/>
        <s v="I1416010500001"/>
        <s v="I1421010000001"/>
        <s v="I3131010000280"/>
        <s v="I3131020000280"/>
        <s v="I3211030400533"/>
        <s v="I3212030000693"/>
        <s v="I3311000000900"/>
        <s v="I3311000000980"/>
        <s v="I1112010000001"/>
        <s v="I1113010100001"/>
        <s v="I1113020100001"/>
        <s v="I1113020200001"/>
        <s v="I1114010000001"/>
        <s v="I1115010000001"/>
        <s v="I1121010000001"/>
        <s v="I1131010200001"/>
        <s v="I1131020100001"/>
        <s v="I1131020200001"/>
        <s v="I1132010431001"/>
        <s v="I1312030101001"/>
        <s v="I1312090110001"/>
        <s v="I1312090220001"/>
        <s v="I1331010000001"/>
        <s v="I1331090900001"/>
        <s v="I1412010400001"/>
        <s v="I1413010700001"/>
        <s v="I1416010600001"/>
        <s v="I2432040000070"/>
        <s v="I3131010000281"/>
        <s v="I3211010400453"/>
        <s v="I3211021400503"/>
        <s v="I3211030500534"/>
        <s v="I3211030500535"/>
        <s v="I3311050000980"/>
        <s v="I1322020000001"/>
        <s v="I1331090400001"/>
        <s v="I1412010500001"/>
        <s v="I1412010600001"/>
        <s v="I1412010700001"/>
        <s v="I1412010800001"/>
        <s v="I1412010900001"/>
        <s v="I1412011100001"/>
        <s v="I1412011200001"/>
        <s v="I1412011300001"/>
        <s v="I1412011400001"/>
        <s v="I1412030000001"/>
        <s v="I1415010600001"/>
        <s v="I1415020000001"/>
        <s v="I1432020000001"/>
        <s v="I3211021500504"/>
        <s v="I3211030500536"/>
        <s v="I3211030600537"/>
        <s v="I3211090100650"/>
        <s v="I3211090200660"/>
        <s v="I1323020510001"/>
        <s v="I1323020610001"/>
        <s v="I1416020000001"/>
        <s v="I1123020000001"/>
        <s v="I1132010451001"/>
        <s v="I1132010452001"/>
        <s v="I1143090110001"/>
        <s v="I1143090130001"/>
        <s v="I1312030102001"/>
        <s v="I1412010200001"/>
        <s v="I1431010000001"/>
        <s v="I1431020000001"/>
        <s v="I2431020000065"/>
        <s v="I3211021600505"/>
        <s v="I3211021700506"/>
        <s v="I3211021800507"/>
        <s v="I3232010000890"/>
        <s v="I3311060000905"/>
        <s v="I1132020320001"/>
        <s v="I1142090200001"/>
        <s v="I1143030200001"/>
        <s v="I1143090120001"/>
        <s v="I1312090930001"/>
        <s v="I1413040000001"/>
        <s v="I1431030000001"/>
        <s v="I1432030000001"/>
        <s v="I2111000000002"/>
        <s v="I2412020000060"/>
        <s v="I3131010000282"/>
        <s v="I3131020000283"/>
        <s v="I3211030700538"/>
        <s v="I3311060000906"/>
        <s v="I1312090610001"/>
        <s v="I1313020340001"/>
        <s v="I1341000000001"/>
        <s v="I1423000000001"/>
        <s v="I1424000000001"/>
        <s v="I2412050000060"/>
        <s v="I3211021900508"/>
        <s v="I3321010000922"/>
        <s v="I1312090230001"/>
        <s v="I1312090940001"/>
        <s v="I1321030000001"/>
        <s v="I1412050000001"/>
        <s v="I1412060000001"/>
        <s v="I1412070000001"/>
        <s v="I1412080000001"/>
        <s v="I1412090000001"/>
        <s v="I1413050000001"/>
        <s v="I1414020000001"/>
        <s v="I2412030000060"/>
        <s v="I2412080000060"/>
        <s v="I3211022000509"/>
        <s v="I3211022100510"/>
        <s v="I3212001000511"/>
        <s v="I3212002000512"/>
        <s v="I1213010200001"/>
        <s v="I1312030401001"/>
        <s v="I1312030402001"/>
        <s v="I1313020130001"/>
        <s v="I1313020140001"/>
        <s v="I1323010100001"/>
        <s v="I1331090500001"/>
        <s v="I1411000000001"/>
        <s v="I1413060000001"/>
        <s v="I1413080000001"/>
        <s v="I1432040000001"/>
        <s v="I2412060000060"/>
        <s v="I2412070000060"/>
        <s v="I3211010500513"/>
        <s v="I3321010000923"/>
        <s v="I1411010000001"/>
        <s v="I1412110000001"/>
        <s v="I2113000000004"/>
        <s v="I3211030200514"/>
        <s v="I1412011500001"/>
        <s v="I1123030000001"/>
        <s v="I1213030200001"/>
        <s v="I1213040100001"/>
        <s v="I1312040900001"/>
        <s v="I1313020350001"/>
        <s v="I1331090600001"/>
        <s v="I1412120000001"/>
        <s v="I1432050000001"/>
        <s v="I2412090000060"/>
        <s v="I2412100000060"/>
        <s v="I2412110000060"/>
        <s v="I2412120000060"/>
        <s v="I2412130000060"/>
        <s v="I1323010600001"/>
        <s v="I1413070000001"/>
        <s v="I1413090000001"/>
        <s v="I2340000000030"/>
        <s v="I2412140000060"/>
        <s v="I3211022200515"/>
        <s v="I3211022300516"/>
        <s v="I3211022400517"/>
        <s v="I3321020000923"/>
        <s v="I1111030200001"/>
        <s v="I1111030300001"/>
        <s v="I1111030400001"/>
        <s v="I1112010200001"/>
        <s v="I1112010300001"/>
        <s v="I1112020200001"/>
        <s v="I1112020300001"/>
        <s v="I1112020400001"/>
        <s v="I1113010000001"/>
        <s v="I1113020000001"/>
        <s v="I1411020000001"/>
        <s v="I1412130000001"/>
        <s v="I1412140000001"/>
        <s v="I1413100000001"/>
        <s v="I1414030000001"/>
        <s v="I1416020200001"/>
        <s v="I1425000000001"/>
        <s v="I1426000000001"/>
        <s v="I3211010500454"/>
        <s v="I3211022500518"/>
        <s v="I3212030000694"/>
        <s v="I3321010000924"/>
        <s v="I3321010000925"/>
        <s v="I1112010400001"/>
        <s v="I1331090700001"/>
        <s v="I1392000000001"/>
        <s v="I1415040000001"/>
        <s v="I2413010000060"/>
        <s v="I2416020100060"/>
        <s v="I3211022600519"/>
        <s v="I3211090200661"/>
        <s v="I3211090200662"/>
        <s v="I3211090200663"/>
      </sharedItems>
    </cacheField>
    <cacheField name="Año" numFmtId="0">
      <sharedItems containsSemiMixedTypes="0" containsString="0" containsNumber="1" containsInteger="1" minValue="2007" maxValue="2020" count="14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Descripción" numFmtId="0">
      <sharedItems count="323">
        <s v="I S/SAL JUB PEN O SP / IMPUESTO SOBRE LA RENTA (LEY Nº 7092 DE 21-4-88 Y SUS REFORMAS)."/>
        <s v="IMPUESTO SOBRE BIENES Y SERVICIOS PERSONAS FISICAS (IyU P.Fisicas. S. Privado)"/>
        <s v="IMPUESTO SOBRE BIENES Y SERVICIOS PERSONAS FISICAS"/>
        <s v="IMPUESTO SOBRE INGRESOS Y UTILIDADES DE PERSONAS FISICAS"/>
        <s v="IMPUESTO SOBRE LA RENTA SOBRE BIENES Y SERVICIOS EMPRESAS DEL SECTOR PUBLICO"/>
        <s v="IMPUESTO SOBRE INGRESOS Y UTILIDADES EMPRESAS DEL SECTOR PUBLICO"/>
        <s v="Impuesto sobre la Renta. (Ley N° 7092 del 21 de ab ril de 1988 y sus Reformas). Ingresos y utlidades Sector Privado"/>
        <s v="RENTA ANTICIPADA SOBRE BIENES Y SERVICIOS DE EMPRE DEL SECTOR PRIVADO"/>
        <s v="IMPUESTO SOBRE LA RENTA"/>
        <s v="IMPUESTO SOBRE DIVIDENDOS SECTOR PUBLICO"/>
        <s v="PERSONAS FISICAS / DIVIDENDOS"/>
        <s v="PERSONA JURIDICA / DIVIDENDOS"/>
        <s v="Impuesto sobre la Renta. (Ley N° 7092 del 21 de ab ril de 1988 y sus Reformas). Intereses valores Sector Público"/>
        <s v="PERSONAS FISICAS / INTERESES SOBRE TITULOS VALORES"/>
        <s v="PERSONAS JURIDICAS / INTERESES S/ TITULOS VALORES"/>
        <s v="REMESAS AL EXTERIOR / PERSONAS FISICAS"/>
        <s v="REMESAS AL EXTERIOR / PERSONAS JURIDICAS"/>
        <s v="REMESAS AL EXTERIOR / SECTOR PUBLICO"/>
        <s v="Impuesto especial sobre bancos y entidades financieras no domiciliadas Ley 8114"/>
        <s v="PROPIEDAD DE VEHICULOS IMPUESTO SOBRE LA PROPIEDAD VEHIC. LEY 7088"/>
        <s v="PROPIEDAD DE VEHICULOS 50 % CONAVI"/>
        <s v="Timbre de Fauna Silvestre Ley Nº 7317"/>
        <s v="Incremento Timbre de Educación y Cultura Ley N° 68"/>
        <s v="Impuesto de traspaso de bienes inmuebles LeyNº7088"/>
        <s v="Impuesto de Traspaso de Vehículos Usados LeyNº7088"/>
        <s v="Impuesto sobre las Ventas. (Ley Nº 7543 de 14-9-95 ). Interno"/>
        <s v="Impuesto sobre las Ventas. (Ley Nº 7543 de 14-9-95 ). Importado"/>
        <s v="Impuestos Selectivos de Consumo (Ley Nº 7293 de 31 -3-92 y sus Reformas). Interno"/>
        <s v="Impuestos Selectivos de Consumo. (Ley Nº 7293 de 3 1-3-92 y sus Reformas). Importados"/>
        <s v="Licencia de Caza y Pesca MIRENEM ( Ley Nº 7317)"/>
        <s v="Interno"/>
        <s v="Importaciones"/>
        <s v="Importaciones - Impuesto específico sobre jabones de tocador Ley N 8114"/>
        <s v="Impuesto a casinos y salas de juego autorizadas Ley Nº 9050"/>
        <s v="DER IMPORT (ARAN ADU"/>
        <s v="1% sobre el valor aduanero de las mercancías Ley Nº 7292 y sus Reformas"/>
        <s v="Derechos sobre exportación de banano. Ley Nº 7313"/>
        <s v="¢1.5 por caja de banano exportada Ley Nº 7147"/>
        <s v="Un colón por tonelada de carga que se movilice por Puerto Caldera Ley Nº 6995"/>
        <s v="Derechos de salida del Territorio Nacional Ley. Nº 8316"/>
        <s v="Derechos consulares Ley Nº 7293"/>
        <s v="Impuesto de la Ley de Migración y Extranjería Ley Nº 8487"/>
        <s v="Timbre Fiscal Ley Nº 7208"/>
        <s v="PAPEL SELLADO.(L7345"/>
        <s v="PAPEL SELLADO .(L7345"/>
        <s v="Anticipos de Aduana"/>
        <s v="Anticipo Impuesto Banano"/>
        <s v="Contribuciones al Magisterio Nacional -Activos Ley Nº 7531"/>
        <s v="Contribuciones Magisterio Nacional-Pensionados Ley Nº 7531"/>
        <s v="Deducción sueldos para pensionados Ley Nº 7302"/>
        <s v="Venta de Bienes-MOPT-Instituto Geográfico Nacional"/>
        <s v="Venta de bienes -FONAM- Ley 7554"/>
        <s v="Alquileres de Edificios"/>
        <s v="Venta Servicios Metrológicos MEIC Ley Nº 8279"/>
        <s v="Costo confección documentos migratorios Ley Nº8487"/>
        <s v="Venta de Servicios Instituto Geográfico Nacional MOPT"/>
        <s v="Licencias de conducir Ley Nº 7055"/>
        <s v="Canon Consejo de Transporte Público Ley Nº 7969"/>
        <s v="Revisión de barcos por Capitanía de Puertos Resol. Nº 40"/>
        <s v="Derechos de Inscripción Registro Naval Art. 33 Ley Nº 8000"/>
        <s v="Derechos de zarpe embarcaciones extranjeras Art.32 Ley Nº 8000"/>
        <s v="Canon por certificados de navegabilidad Art. 31. Ley Nº 8000"/>
        <s v="PERMISOS Y RENOVACION DE CEDULAS DE RESIDENCIA. (LEYES N? 7033 Y 7108 DE 13-8-86 Y 8-11-88)."/>
        <s v="20% utilidades del IMAS. (Artículo 30, Ley Nº 811 4 de 4-7-01)."/>
        <s v="Dividendos Acciones Cemex Costa Rica S.A."/>
        <s v="Alquiler de terrenos"/>
        <s v="Intereses sobre bonos INVU"/>
        <s v="Multas de tránsito. (Ley Nº 7331 de 30-3-93)."/>
        <s v="Sanciones Administrativas y Otros (Ley 7092)"/>
        <s v="OTRAS MULTAS"/>
        <s v="Multas por incumplimiento"/>
        <s v="MULTAS DE ADUANAS"/>
        <s v="1% SOBRE UTILIDADES PROTECCION AL CONSUMIDOR"/>
        <s v="MULTA SEGUN ART. 158 INCISO 3 DE LA LEY REGULADORA DEL MERCADO DE VALORES (200 SALARIOS BASES)"/>
        <s v="Remates."/>
        <s v="Reintegros en efectivo. Ley Nº 7056."/>
        <s v="REINTEGROS EN EFECTIVO (DEVOLUCION CUOTAS OBRERO PATRONALES CCSS A MINAE)"/>
        <s v="INGRESOS VARIOS NO ESPECIFICADOS"/>
        <s v="DE ORGANOS DESCONCENTRADOS (FODESAF- OCIE)."/>
        <s v="Junta Administrativa del Registro Nacional, Ley Nº 7138"/>
        <s v="Unidad Coordinadora del Programa de Mejoramiento de la Calidad de la Educación (Promece)"/>
        <s v="Consejo Nacional de Investigaciones Científicas y"/>
        <s v="Instituto Costarricense de Turismo"/>
        <s v="Instituto Nacional de Estadísticas y Censos"/>
        <s v="Instituto Nacional de la Mujer"/>
        <s v="Instituto Mixto de Ayuda Social"/>
        <s v="Autoridad Reguladora de Servicios Públicos"/>
        <s v="Instituto Nacional de Pesca y Acuicultura"/>
        <s v="Instituto Nacional de Aprendizaje"/>
        <s v="Instituto Nacional de Fomento y Asesoría Municipal"/>
        <s v="CUOTAS ORGANISMOS INTERNACIONALES. (LEY Nº3418 DE 03-10-64)."/>
        <s v="CUOTAS ORGANISMOS INTERNACIONAL 3418"/>
        <s v="Instituto Nacional de Aprendizaje Ley Nº 7272"/>
        <s v="Transferencias de Municipalidades Ley Nº 7729"/>
        <s v="Instituto Costarricense de Acueductos y Alcantaril"/>
        <s v="Instituto Costarricense de Electricidad"/>
        <s v="Instituto Costarricense de Puertos del Pacífico"/>
        <s v="Junta Adm. Portuaria y de Administración de la Ver"/>
        <s v="Consejo Nacional de Producción"/>
        <s v="CUOTAS ORGANISMOS INTERNACIONALES. (LEY Nº 3418 DE 03-10-64)."/>
        <s v="Del Sector Privado-Código Notarial-Ley Nº 7764"/>
        <s v="Proyecto de desarrollo Agricola Peninsula de Nicoya -PRODAPEN-"/>
        <s v="Donaciones de Relaciones Exteriores Fi"/>
        <s v="Reintegro e Intereses del Crédito Externo PL-480"/>
        <s v="Titulos Valores Deuda Interna"/>
        <s v="Crédito BCIE-1605, Ley N° 8359 Programa para completar el complejo vial Costanera Sur"/>
        <s v="Crédito BID 1284/OC-CR, Ley N° 8154 Programa de Regularización del catastro y Registro"/>
        <s v="Crédito BID 1377/OC-CR, Ley N° 8273 Segunda Etapa del Programa de Modernización de la Administración de Justicia"/>
        <s v="Crédito BID 1451/OC-CR, Ley N° 8403 Programa de Desarrollo del Sector Salud"/>
        <s v="Crédito BID 1436/OC-CR, Ley N° 8408 Programa de Fomento de la Producción Agropecuaria Sostenible"/>
        <s v="Crédito BIRF 70-68-CR, Ley N° 8269 Proyecto de Fortalecimiento y Modernización del Sector Salud"/>
        <s v="Crédito del Gobierno de los EEUU, Convenio PL-480 Leyes N° 6945, 6978, 7019, 7059, 7098, 7203 y 7307"/>
        <s v="Crédito KFW 2002-65-066, Leyes N° 6979, 7132 y 7109 Programa de Rehabilitación y Mantenimiento de la Red Vial Cantonal"/>
        <s v="Superávit Defensoría"/>
        <s v="Superávit Poder Judicial"/>
        <s v="Impuesto sobre salarios, jubilaciones, pensiones y otros pagos laborales del Sector Público"/>
        <s v="Impuesto sobre salarios, jubilaciones, pensiones y otros pagos laborales del Sector Privado"/>
        <s v="Impuesto sobre los ingresos y utilidades de personas físicas"/>
        <s v="Impuesto sobre la Renta.(Ley N° 7092 del 21 de abr il de 1988 y sus Reformas). Ingresos y utilidades Sector Público"/>
        <s v="Impuesto sobre los ingresos y utilidades de las personas jurídicas del Sector Privado"/>
        <s v="Del Sector Privado"/>
        <s v="Impuesto sobre la Renta. (Ley N° 7092 del 21 de ab ril de 1988 y sus Reformas). Dividendos Sector Privado"/>
        <s v="Impuesto sobre remesas al exterior"/>
        <s v="Impuesto sobre la propiedad de vehículos, aeronaves y embarcaciones Ley N. 7088"/>
        <s v="Impuesto sobre las ventas de bienes y servicios internos Ley Nº 7543"/>
        <s v="Licencia de Caza y Pesca Continental (Ley Nº 7317)"/>
        <s v="Impuesto cemento"/>
        <s v="Arancel de Aduanas Ley Nº 7417"/>
        <s v="Impuesto General Forestal Ley 7575"/>
        <s v="Papel Sellado Ley Nº 7345"/>
        <s v="Radio y televisión, Ley Nº 1758."/>
        <s v="Frecuencias de radio, Ley Nº 1758"/>
        <s v="Intereses sobre cuentas corrientes y otros depósitos en Bancos Estatales"/>
        <s v="Impuestos Internos"/>
        <s v="Impuestos Aduanas"/>
        <s v="Ejecución garantías de cumplimiento y participación"/>
        <s v="Multas Sugeval"/>
        <s v="1% Ley Protección al Consumidor"/>
        <s v="Reintegros en efectivo"/>
        <s v="Fodesaf - Ministerio Educación Pública Ley 8783 artículo 3 inciso e)"/>
        <s v="Fodesaf-Pronae-Ministerio de Trabajo"/>
        <s v="Fodesaf-Ministerio Educación Pública"/>
        <s v="Fodesaf-Ministerio Obras Públicas y Transporte (previo 2009)"/>
        <s v="Fodesaf-PRONAE (previo 2009)"/>
        <s v="Junta Administrativa Colegio San Luis Gonzaga"/>
        <s v="Patronato Nacional de la Infancia"/>
        <s v="Servicio Nacional de Aguas Subterraneas, Riego y Avenamiento"/>
        <s v="Junta de Desarrollo de la Zona Sur. Ley Nº 7730"/>
        <s v="Banco de Costa Rica"/>
        <s v="Banco Crédito Agrícola de Cartago"/>
        <s v="Banco Nacional de Costa Rica"/>
        <s v="Instituto Nacional de Vivienda y Urbanismo"/>
        <s v="Instituto Nacional de Seguros"/>
        <s v="Código Notarial Ley N° 7764."/>
        <s v="Títulos valores de deuda interna (corto plazo)"/>
        <s v="Títulos valores de deuda interna (largo plazo)"/>
        <s v="Crédito BIRF 7284-CR Proyecto Equidad y Eficiencia de la Educación"/>
        <s v="Créditos KFW, Ley N° 7132 Programa de Agua Potable y Saneamiento Básico Rural II"/>
        <s v="-"/>
        <s v="SUPERÁVIT"/>
        <s v="Impuesto sobre los ingresos y utilidades de las personas jurídicas del Sector Público"/>
        <s v="Del Sector Público"/>
        <s v="Impuesto Solidario para el Fortalecimiento de Programas de Vivienda Ley 8683"/>
        <s v="Impuesto sobre las ventas de bienes y servicios importados Ley Nº 7543"/>
        <s v="Impuesto selectivo de consumo de bienes internos Ley Nº7293"/>
        <s v="Impuesto selectivo de consumo de bienes importados Ley Nº 7293"/>
        <s v="Costo de Transferencia Switf"/>
        <s v="Venta Servicios Capacitación Contraloría General de la República"/>
        <s v="Servicios Ambientales SETENA Ley 7554"/>
        <s v="Multas de tránsito"/>
        <s v="Multas Varias"/>
        <s v="Fodesaf-Pronamype"/>
        <s v="Instituto de Desarrollo Rural"/>
        <s v="Instituto de Fomento Cooperativo"/>
        <s v="Donación República de China"/>
        <s v="Títulos valores de deuda interna (Deuda Política)"/>
        <s v="Crédito BCIE 1709, Ley N° 8685 Programa de Gestión Integrada de Recursos Hídricos"/>
        <s v="Crédito BID 1556/OC-CR. Programa de Desarrollo Sostenible de la Cuenca del Río Sixaola"/>
        <s v="Crédito BIRF 7388-CR Proyecto Introducción Instrumentos Financieros para Gestión Ambiental"/>
        <s v="Crédito BIRF 7594-CR Opción de Desembolsos Diferido Ante el Riesgo de Catástrofes (CAT-DDO)"/>
        <s v="Supervávit Asamblea Legislativa"/>
        <s v="No encontrado"/>
        <s v="Infracciones a las Leyes Laborales"/>
        <s v="Fodesaf-Pensiones Régimen No Contributivo"/>
        <s v="Fodesaf-MEP-Comedores escolares Juntas de Educación Y Administrativas ARTÍCULO Nº 78 DE LA CONSTITUCIÓN POLÍTICA"/>
        <s v="Fodesaf-MEP-Programa Avancemos SEGÚN LEY N° 4760 DEL 04/05/1971 Y SUS REFORMAS"/>
        <s v="Fodesaf-IMAS-Mujeres Jefes de Hogar Ley LEY N° 4760, CAPITULO IV, ARTÍCULO 14, INCISO B DEL 5/4/1971"/>
        <s v="Fodesaf-Desaf-Ley 8783"/>
        <s v="Consejo de Seguridad Vial"/>
        <s v="Instituto Costarricense de Ferrocarriles"/>
        <s v="Crédito BID 2007/-OC-CR, Ley N° 8845 Programa de Infraestructura Vial (PIVI) "/>
        <s v="Crédito BIRF 7498-CR, Ley N° 8725 Proyecto de Limón Cuidad-Puerto"/>
        <s v="Crédito BIRF 7686-CR, Ley N° 8843 Apoyo de Políticas de Desarrollo de las Finanzas Públicas y la Competitividad"/>
        <s v="Crédito Banco Japonés de Cooperación Internacional CR-P4, Ley N° 8559 Proyecto de Mejoramiento del Medio Ambiente del Area Metropolitana de San José"/>
        <s v="Crédito Corporación Andina De Fomento, Ley N° 8844 Proyecto Bajos de Chilamate - Vuelta Kooper"/>
        <s v="Deuda Renegociada ICAA"/>
        <s v="Deuda Renegociada Banco Central de Costa Rica"/>
        <s v="Instituto Nacional de Seguros (Proyecto Parques Culturales)"/>
        <s v="Impuesto a las Personas Jurídicas Ley 9024"/>
        <s v="Impuesto a los Productos de Tabaco Internos"/>
        <s v="Impuesto a los Productos de Tabaco Aduanas"/>
        <s v="Fondo Social Migratorio Art. 241 Ley N° 8764"/>
        <s v="Otros impuestos de la Ley de Migración y Extranjería Ley N° 8764"/>
        <s v="Servicio de Recaudación Tesorería Nacional."/>
        <s v="Fodesaf-Ministerio de Obras Públicas y Transportes"/>
        <s v="Donación PNUD-Programa Regularización de Registro y Catastro"/>
        <s v="DONACION BANCO INTERN. DE RECONST. Y FOMENTO. FONDO PARA EL MEDIO AMBIENTE"/>
        <s v="Crédito BID 2098/-OC-CR, Ley N° 8982 Programa Red Vial Cantonal (PIV1)"/>
        <s v="Credito BID 1824/OC-CR, Ley N° 8967 Programa de turismo en Áreas Silvestres Protegidas y su Contrato Modificatorio"/>
        <s v="Crédito BID 2526/OC-CR, Ley N° 9025 Programa para la Prevención de la Violencia y Promoción de la Inclusión Social}"/>
        <s v="Colocación de títulos valores de deuda externa"/>
        <s v="Superávit Contraloría"/>
        <s v="Impuesto sobre empresas de enlace de llamadas de apuestas electrónicas Ley N°9050"/>
        <s v="Impuestos a las exportaciones por vía terrestre Ley N° 9154"/>
        <s v="Derechos de salida del Territorio Nacional por vía terrestre Ley N° 9154"/>
        <s v="Fondo Especial de Migración Ley No. 8764"/>
        <s v="Honorarios por Servicios de Defensa Civil de la Víctima"/>
        <s v="Instituto Nacional de Estadística y Censos Ley Nº 7839 artículo 13 -Convenio BCCR-INEC-MH para Estudio Económico a Empresas"/>
        <s v="Donación BCIE- Comunicación Política con los Ciudadanos"/>
        <s v="Donación Union Europea Programa de Seguridad Ciudadana"/>
        <s v="Venta de Terrenos"/>
        <s v="Títulos valores de deuda interna (Caja Única)"/>
        <s v="Títulos valores de deuda interna (Fideicomiso agropecuario)"/>
        <s v="Crédifo BIRF N° 8194-CR para el Proyecto de Mejoramiento de la Educación Superior"/>
        <s v="Superávit Asamblea Legislativa"/>
        <s v="Servicios de publicidad e impresión"/>
        <s v="Concesión de Explotación minera ley No. 8246"/>
        <s v="Intereses Moratorios por atraso en pago de impuestos"/>
        <s v="Del Sector Privado-Arquidiócesis de San José"/>
        <s v="Del Sector Privado-Asociación de Desarrollo Integral de Bustamante de Desamparados"/>
        <s v="Transferencia de Capital Unidad de Coordinación del Proyecto Limón Ciudad Puerto"/>
        <s v="Crédito BID Nº 2852/OC-CR-Programa de Innovación y Capital Humano para la Competitividad, Ley N° 9218"/>
        <s v="Superávit Específico Colocación Títulos en el Exterior"/>
        <s v="Ingresos por inspección de cauces de dominio público"/>
        <s v="Venta de Servicio de Consulta de datos del TSE"/>
        <s v="25% utilidades del INS (artículo 52 Ley N° 8653 de"/>
        <s v="Comisión Nacional de Emergencias Ley No. 8933"/>
        <s v="Consejo Técnico de Aviación Civil Ley No. 5222"/>
        <s v="Dirección de Geología y Minas"/>
        <s v="Sistema Nacional de Áreas de Conservación"/>
        <s v="Unidad Ejecutora Programa Regularización del Catastro y Registro"/>
        <s v="Senara Ley Fodea 7064 artículo 42"/>
        <s v="Transferencias corrientes de Municipalidades Ley 7755 Partidas Específicas (devoluciones)"/>
        <s v="Transferencia de capital Instituto Metereológico Nacional"/>
        <s v="FODESAF- Ministerio de Cultura"/>
        <s v="Crédito BID N° 3071/OC-CR-Programa de Infraestructura de Transporte (PIT) Ley N° 9283"/>
        <s v="Crédito BID N° 3072/CH-CR-Programa de Infraestructura de Transporte (PIT) Ley N° 9283"/>
        <s v="Cred EXIMBANK Ley 9293Proyecto Rehabilitación y Ampliación de la Ruta Nacional N°_x000a_32, Tramo: Ruta N° 4 - Limón"/>
        <s v="Contrib. por traslado al régimen de Reparto L8721"/>
        <s v="Servicios tributarios ley N°9355"/>
        <s v="Canon por aprovechamiento de aguas"/>
        <s v="Canon ambiental por vertidos"/>
        <s v="Intereses p otros equivalentes efect sect púb int"/>
        <s v="Multas ley 8246 Código de Miniería"/>
        <s v="Donaciones corrientes del Gobierno Central"/>
        <s v="Instituto de Desarrollo Rural Ley N° 5792 Art. 5"/>
        <s v="Instituto Nacional de Fomento y Asesoría Municipal recursos convenio MIVAH-PRUGAM"/>
        <s v="Donación República de Corea Iniciativa de Cooperación entre Corea y América Latina para la Alimentación y la Agricultura (KOLFACI)"/>
        <s v="Instituto Meteorológico (Dirección de Agua)"/>
        <s v="Crédito BCIE-2157, Ley 9327 Proyecto de Mercado Regional Mayorista de la Región Chorotega"/>
        <s v="Superávit Específico Donación UE"/>
        <s v="Fideicomiso No. 955 Ministerio de Hacienda _ Banco Nacional de Costa Rica"/>
        <s v="Instituto Meteorológico Nacional"/>
        <s v="Venta de maquinaria y equipo"/>
        <s v="Crédito BIRF 8593-CR, Ley No 9396, Programa por Resultados para el Fortalecimiento del Seguro Universal de Salud en Costa Rica"/>
        <s v="Fodesaf-Mi primer Empleo"/>
        <s v="Impuesto a las Personas Jurídicas Ley 9428"/>
        <s v="Contribución Especial Solidaria Ley 9383"/>
        <s v="Otros alquileres"/>
        <s v="Derechos de Inscripción de Gestión de Residuos Ley 8839"/>
        <s v="Multas artículo 36 ley N°9028 productos del tabaco"/>
        <s v="Consejo Superior de Educación"/>
        <s v="Subvención de la Unión Europea para el Fortalecimi ento del Programa Justicia Restaurativa- Poder Judicial"/>
        <s v="Consejo Nacional de la Política Pública de la Pers ona Joven (CPJ)"/>
        <s v="Museo de Arte Costarricense"/>
        <s v="Museo de Arte y Diseño Contemporáneo (MADC)"/>
        <s v="Sistema Nacional de Educación Musical (SINEM)"/>
        <s v="Servicio de Recaudación Tesorería Nacional"/>
        <s v="Intereses sobre títulos valores de instituciones públicas"/>
        <s v="Instituto de Desarrollo Rural Fideicomiso Pequeños Medianos productores de piña."/>
        <s v="Servicios Nacional de Aguas Subterráneas, Riego y Avenamiento (SENARA)"/>
        <s v="Recuperación de otras inversiones"/>
        <s v="Dirección Nacional de Centros de Educación y Nutrición y de Centros Infantiles de Atención Integral (Dirección de CEN-CINAI)"/>
        <s v="Crédito BID N°3488/OC-CR-Programa de Integración Fronteriza (PIF) Ley N°9451"/>
        <s v="Crédito BID Nº4433/OC-CR Programa de Emergencias en Respuesta a la Tormenta Tropical Nate Ley N°9595"/>
        <s v="Crédito BID N° 4507/OC-CR Programa Red Vial Cantonal II (PIV2) Ley N° 8982"/>
        <s v="Superávit Específico de la donación de la Unión Europea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Impuesto sobre dividendos"/>
        <s v="Impuestos sobre los intereses de títulos valores"/>
        <s v="Impuesto a los productos de tabaco (Interno)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s v="Recuperación de inversiones financieras"/>
        <s v="Crédito BCIE 2198 Programa de Alcantarillado y Control de Inundaciones para Limón, autorizado median te Ley No.9690 del 27 de junio del 2019"/>
        <s v="Crédito BID N° 4819/OC-CR Programa de Apoyo a la Sostenibilidad Fiscal Ley N° 9754"/>
        <s v="Crédito KFW N° 28568 Programa de Saneamiento en Zo nas Prioritarias, Ley N° 9723"/>
        <s v="Superávit Específico de la Donación República de orea Iniciativa de Cooperación entre Corea y Améri ca Latina para la Alimentación y la Agricultura (K"/>
        <s v="Superávit Específico préstamo CAF Bajos de Chilama te - Vuelta Kooper"/>
        <s v="Impuesto sobre las ganancias y pérdidas de capital de personas jurídicas del sector público"/>
        <s v="Multas por incumplimiento restricción sanitaria COVID-19"/>
        <s v="Ejecución de contratos de seguros"/>
        <s v="Refinadora Costarricense de Petroleo art. 5 y 6 Ley N°9840 Emergencia COVID-19"/>
        <s v="Instituto Nacional de Aprendizaje. Ley Nº7372 de 22-11-93"/>
        <s v="Instituto Nacional de Seguros. Atención emergencia COVID-19 Ley N°9847"/>
        <s v="Crédito BID N.°4988/OC-CR Programa hacia una Economía Verde: Apoyo al Plan de Descarbonización de Costa Rica. Ley Nº 9846"/>
        <s v="Contrato Préstamo para financiar el Programa de Apoyo para el Fortalecimiento de las Finanzas Públicas"/>
        <s v="AFD Contrato de Préstamo N.° CCR 1011 01F Ley Nº 9846. Programa de Apoyo Presupuestario para el Fortalecimiento de las Políticas"/>
        <s v="FMI Crédito Instrumento de Financiamiento Rápido ( IFR) para apoyo presupuestario en la atención de l a emergencia COVID-19"/>
        <s v="DONACION KOLFACI" u="1"/>
      </sharedItems>
    </cacheField>
    <cacheField name="Clase cod" numFmtId="0">
      <sharedItems containsSemiMixedTypes="0" containsString="0" containsNumber="1" containsInteger="1" minValue="1" maxValue="3"/>
    </cacheField>
    <cacheField name="Clase" numFmtId="0">
      <sharedItems count="3">
        <s v="Ingresos corrientes"/>
        <s v="Ingresos de capital"/>
        <s v="Financiamiento"/>
      </sharedItems>
    </cacheField>
    <cacheField name="Subclase cod" numFmtId="0">
      <sharedItems containsSemiMixedTypes="0" containsString="0" containsNumber="1" containsInteger="1" minValue="11" maxValue="33"/>
    </cacheField>
    <cacheField name="Subclase" numFmtId="0">
      <sharedItems count="12">
        <s v="Ingresos tributarios"/>
        <s v="Contribuciones sociales"/>
        <s v="Ingresos no tributarios"/>
        <s v="Transferencias corrientes"/>
        <s v="Transferencias de capital"/>
        <s v="Otros ingresos de capital"/>
        <s v="Financiamiento interno"/>
        <s v="Financiamiento externo"/>
        <s v="Recursos de vigencias anteriores"/>
        <s v="Venta de activos"/>
        <s v="Recuperación de préstamos "/>
        <s v="Recuperación de préstamos e inversiones financieras"/>
      </sharedItems>
    </cacheField>
    <cacheField name="Grupo cod" numFmtId="0">
      <sharedItems containsSemiMixedTypes="0" containsString="0" containsNumber="1" containsInteger="1" minValue="111" maxValue="332"/>
    </cacheField>
    <cacheField name="Grupo" numFmtId="0">
      <sharedItems count="26">
        <s v="Impuestos a los ingresos y utilidades"/>
        <s v="Impuestos sobre la propiedad"/>
        <s v="Impuestos sobre bienes y servicios"/>
        <s v="Impuestos sobre el comercio exterior y las transacciones internacionales"/>
        <s v="Otros ingresos tributarios"/>
        <s v="Contribuciones a la seguridad social"/>
        <s v="Venta de bienes y servicios"/>
        <s v="Ingresos de la propiedad"/>
        <s v="Multas, sanciones, remates y confiscaciones"/>
        <s v="Otros ingresos no tributarios"/>
        <s v="Transferencias corrientes del sector público"/>
        <s v="Transferencias corrientes del sector privado"/>
        <s v="Transferencias de capital del sector público"/>
        <s v="Transferencias de capital del sector externo"/>
        <s v="-"/>
        <s v="Colocación de títulos valores"/>
        <s v="Créditos directos"/>
        <s v="Superávit libre"/>
        <s v="Transferencias corrientes del sector externo"/>
        <s v="Colocación de títulos valores en el exterior"/>
        <s v="Venta de activos fijos"/>
        <s v="Intereses Moratorios"/>
        <s v="Superávit específico"/>
        <s v="Recuperación de otras  inversiones "/>
        <s v="Multas, sanciones, remates y comisos"/>
        <s v="Recuperación de inversiones financieras"/>
      </sharedItems>
    </cacheField>
    <cacheField name="Subgrupo cod" numFmtId="0">
      <sharedItems containsSemiMixedTypes="0" containsString="0" containsNumber="1" containsInteger="1" minValue="1111" maxValue="3321"/>
    </cacheField>
    <cacheField name="Subgrupo" numFmtId="0">
      <sharedItems count="52">
        <s v="Impuestos sobre los ingresos y utilidades de personas físicas"/>
        <s v="Impuestos sobre los ingresos y utilidades de personas jurídicas"/>
        <s v="Impuestos sobre dividendos e intereses de títulos valores"/>
        <s v="Impuesto sobre remesas al exterior"/>
        <s v="Impuesto especial sobre bancos y entidades financieras no domiciliadas"/>
        <s v="Impuesto sobre la propiedad de vehículos, aeronaves y embarcaciones"/>
        <s v="Impuestos sobre el patrimonio"/>
        <s v="Impuestos sobre el traspaso de bienes inmuebles"/>
        <s v="Impuestos sobre el traspaso de vehículos, aeronaves y embarcaciones "/>
        <s v="Impuesto general sobre ventas y consumo"/>
        <s v="Impuestos específicos sobre la producción y consumo de bienes y servicios "/>
        <s v="Impuestos a las importaciones"/>
        <s v="Impuestos a las exportaciones"/>
        <s v="Otros impuestos sobre el comercio exterior y las transacciones internacionales"/>
        <s v="Impuesto de timbres"/>
        <s v="Ingresos tributarios diversos"/>
        <s v="Contribución a regímenes especiales de pensiones"/>
        <s v="Venta de bienes"/>
        <s v="Venta de servicios"/>
        <s v="Derechos administrativos"/>
        <s v="Traspaso de dividendos"/>
        <s v="Renta de la propiedad"/>
        <s v="Renta de activos financieros"/>
        <s v="Multas y sanciones"/>
        <s v="Remates y confiscaciones"/>
        <s v="Reintegros en efectivo Ley N° 7056"/>
        <s v="Ingresos varios no especificados"/>
        <s v="Transferencias corrientes de Órganos Desconcentrados"/>
        <s v="Transferencias corrientes de Instituciones Descentralizadas No Empresariales"/>
        <s v="Transferencias corrientes de Gobiernos Locales"/>
        <s v="Transferencias corrientes de Empresas Públicas No Financieras"/>
        <s v="Transferencias corrientes de Instituciones Públicas Financieras"/>
        <s v="Transferencias corrientes del sector privado"/>
        <s v="Transferencias de capital de Órganos Desconcentrados"/>
        <s v="Transferencias de capital de gobiernos extranjeros"/>
        <s v="-"/>
        <s v="Títulos valores"/>
        <s v="Créditos de organismos internacionales de desarrollo"/>
        <s v="Créditos de gobiernos extranjeros"/>
        <s v="Impuesto sobre la propiedad de bienes inmuebles"/>
        <s v="Transferencias corrientes de gobiernos extranjeros"/>
        <s v="Transfererencias corrientes de organismos internacionales"/>
        <s v="Transferencias de capital de organismos internacionales"/>
        <s v="Colocación de títulos valores de largo plazo"/>
        <s v="Venta de terrenos"/>
        <s v="Int.Mor Atra.Pag.Imp"/>
        <s v="Transferencias corrientes del Gobierno Central"/>
        <s v="Venta de maquinaria y equipo"/>
        <s v="Remates y comisos"/>
        <s v="Ejecución de contratos de seguros"/>
        <s v="Transferencias de capital de Instituciones Descentralizadas No Empresariales"/>
        <s v="Transferencias de capital de Instituciones Públicas Financieras"/>
      </sharedItems>
    </cacheField>
    <cacheField name="Partida cod" numFmtId="0">
      <sharedItems containsSemiMixedTypes="0" containsString="0" containsNumber="1" containsInteger="1" minValue="111101" maxValue="332102"/>
    </cacheField>
    <cacheField name="Partida" numFmtId="0">
      <sharedItems containsMixedTypes="1" containsNumber="1" containsInteger="1" minValue="0" maxValue="0" count="127">
        <s v="Impuesto  sobre  salarios,  jubilaciones,  pensiones  y otros pagos laborales del Sector Público         "/>
        <s v="Impuesto  sobre  salarios,  jubilaciones,  pensiones  y otros pagos laborales del Sector Privado      "/>
        <s v="Impuestos sobre los ingresos y utilidades de personas físicas"/>
        <s v="Impuestos sobre los ingresos y utilidades de las personas jurídicas del Sector Público"/>
        <s v="Impuestos sobre los ingresos y utilidades de las personas jurídicas del Sector Privado"/>
        <s v="Impuesto sobre dividendos"/>
        <s v="Impuestos sobre los intereses de títulos valores"/>
        <s v="Impuesto sobre remesas al exterior"/>
        <s v="Impuesto especial sobre bancos y entidades financieras no domiciliadas"/>
        <s v="Impuesto a la propiedad de vehículos Ley N°7088"/>
        <s v="Timbre Fauna Silvestre Ley N°7317"/>
        <s v="Incremento Timbre de Educación y Cultura Ley N° 6879"/>
        <s v="Impuestos sobre el traspaso de bienes inmuebles"/>
        <s v="Impuesto sobre el traspaso de vehículos usados Ley N° 7088"/>
        <s v="Impuesto general sobre las ventas"/>
        <s v="Impuesto selectivo de consumo"/>
        <s v="Impuestos específicos sobre la producción y consumo de bienes"/>
        <s v="Impuestos específicos sobre la producción y consumo de servicios"/>
        <s v="Derechos de importación de mercancías"/>
        <s v="Impuestos sobre el valor aduanero de las mercancías"/>
        <s v="Derechos de exportación de mercancías"/>
        <s v="Otros impuestos a las exportaciones"/>
        <s v="Impuestos por movilización de carga portuaria"/>
        <s v="Impuesto de salida al exterior"/>
        <s v="Derechos consulares"/>
        <s v="Otros impuestos sobre el comercio exterior y las transacciones internacionales"/>
        <s v="Timbre Fiscal Ley N° 7208"/>
        <s v="Papel Sellado Ley N° 7345"/>
        <s v="Ingresos por distribuir"/>
        <s v="Contribución del Magisterio Nacional miembros activos"/>
        <s v="Contribución del Magisterio Nacional miembros pensionados"/>
        <s v="Contribución a otros regímenes de pensiones"/>
        <s v="Venta de otros bienes"/>
        <s v="Alquileres"/>
        <s v="Otros servicios"/>
        <s v="Derechos administrativos a los servicios de transporte"/>
        <s v="20% utilidades del IMAS"/>
        <s v="Acciones CEMEX-CR SA"/>
        <s v="Alquiler de terrenos"/>
        <s v="Intereses sobre títulos valores"/>
        <s v="Multas de tránsito"/>
        <s v="Sanciones administrativas"/>
        <s v="Otras multas"/>
        <s v="Remates y confiscaciones"/>
        <s v="-"/>
        <s v="Transferencias de FODESAF"/>
        <s v="Transferencias de la Junta Administrativa del Registro Nacional Ley N° 7138"/>
        <s v="PROMECE"/>
        <s v="Cuotas a Organismos Internacionales, Ley N° 3418"/>
        <s v="Instituto Nacional de Aprendizaje Ley N° 7372"/>
        <s v="Transferencias de Municipalidades Ley N° 7729"/>
        <s v="Cuotas Organismos Internacionales, Ley N° 3418"/>
        <s v="Código Notalerial Ley 7764"/>
        <s v="Colocación de títulos valores de corto plazo"/>
        <s v="Banco Centroaméricano de Integración Económica"/>
        <s v="Banco Interamericano de Desarrollo"/>
        <s v="Banco Mundial"/>
        <s v="Otras rentas de activos financieros"/>
        <s v="Multas por atraso en pago de impuestos"/>
        <s v="Junta de Desarrollo de la Zona Sur. Ley N° 7730"/>
        <s v="Colocación de títulos valores de largo plazo"/>
        <s v="Impuesto solidario de vivienda Ley N°8683"/>
        <s v="Servicios financieros y de seguros"/>
        <s v="Derechos administrativos a otros servicios públicos"/>
        <s v="Donación China"/>
        <s v="Consejo de Seguridad Vial"/>
        <s v="RECOPE Ley N° 7399 Art 56"/>
        <s v="Donación República de China"/>
        <s v="Otros Créditos de organismos internacionales de desarrollo"/>
        <s v="Intereses y comisiones sobre préstamos"/>
        <s v="INS Parques Culturales"/>
        <s v="Impuesto sobre personas jurídicas Ley N° 9024"/>
        <s v="Donación BIRF"/>
        <s v="Donación PNUD"/>
        <s v="Instituto Nacional de Estadística y Censos Ley N° 7839 artículo 13 -Convenio BCCR-INEC-MH para Estudio Económico a Empresas"/>
        <s v="Donación BCIE"/>
        <s v="Donación Unión Europea"/>
        <s v="Proyecto de Desarrollo Agrícola Península de Nicoya (PRODAPEN)"/>
        <s v="Int.Mor Atra.Pag.Imp"/>
        <s v="Arquidiócesis de San José"/>
        <s v="Asociación de Desarrollo Bust Desamparados"/>
        <s v="Unidad Coordinadora Proyecto Limón Ciudad Puerto"/>
        <s v="Utilidades INS (25%)"/>
        <s v="CNE Ley 8933"/>
        <s v="CTAC Ley 5222"/>
        <s v="Direc.Geología Minas"/>
        <s v="SINAC"/>
        <s v="Unidad Ejecutora del Programa de Catastro y Registro"/>
        <s v="SENARA Ley 7064"/>
        <s v="Transferencias de Municipalidades Ley N° 7755"/>
        <s v="Transf.Captal Inst M"/>
        <s v="FODESAF - Min. Cultu"/>
        <s v="Contrib. trasl L8721"/>
        <s v="Donaciones corrientes del Gobierno Central"/>
        <s v="INDER"/>
        <s v="Instituto Nacional de Fomento y Asesoría Municipal recursos convenio MIVAH-PRUGAM"/>
        <s v="DONACION KOLFACI"/>
        <s v="Dir. Geologias Minas"/>
        <s v="IMN"/>
        <s v="Instituto Meteorológico Nacional"/>
        <s v="Impuesto a las Personas Jurídicas Ley 9428"/>
        <s v="Contribución Especial Solidaria Ley 9383"/>
        <s v="Otros alquileres"/>
        <s v="Consejo Superior de Educación"/>
        <s v="Subvención de la Unión Europea para el Fortalecimi ento del Programa Justicia Restaurativa- Poder Judicial"/>
        <s v="Comisión Nacional de Emergencias Ley No. 8933"/>
        <s v="Consejo Nacional de la Política Pública de la Persona Joven (CPJ)"/>
        <s v="Museo de Arte Costarricense"/>
        <s v="Museo de Arte y Diseño Contemporáneo (MADC)"/>
        <s v="Sistema Nacional de Educación Musical (SINEM)"/>
        <s v="Derechos administrativos a los servicios de transporte "/>
        <s v="Instituto de Desarrollo Rural Fideicomiso Pequeños Medianos productores de piña."/>
        <s v="Servicios Nacional de Aguas Subterráneas, Riego y Avenamiento (SENARA)"/>
        <s v="Dirección Nacional de Centros de Educación y Nutri ción y de Centros Infantiles de Atención Integral (Dirección de CEN-CINAI)"/>
        <s v="Contribución del Magisterio Nacional miembros pensionados y jubilados"/>
        <s v="Transferencias corrientes Gobierno Central Superáv it Libre artículo 5 Ley 9371"/>
        <s v="Unidad Ejecutora Programa para la Prevención de la Violencia y Promoción de la Inclusión Social del Ministerio de Justicia y Paz"/>
        <s v="Transferencias corrientes Órganos Desconcentrados Superávit Libre artículo 5 Ley 9371"/>
        <s v="Transferencias corrientes Instituciones Descentral izadas no Empresariales Superávit Libre artículo 5 Ley 9371"/>
        <s v="Transferencias de Gobiernos locales Superávit Libre artículo 5 Ley Nº 9371"/>
        <s v="Transferencias de aseguradoras públicas para Financ. INEC Ley 9694"/>
        <s v="Transferencias corrientes del Sector Privado-Super ávit Libre artículo 5 Ley 9371"/>
        <s v="Transferencias de aseguradoras privadas para Financ. INEC Ley 9694"/>
        <n v="0"/>
        <s v="Refinadora Costarricense de Petroleo art. 5 y 6 Ley N°9840 Emergencia COVID-19"/>
        <s v="Instituto Nacional de Aprendizaje. Ley Nº7372 de 22-11-93"/>
        <s v="Instituto Nacional de Seguros. Atención emergencia COVID-19 Ley N°9847"/>
      </sharedItems>
    </cacheField>
    <cacheField name="Subpartida cod" numFmtId="0">
      <sharedItems containsSemiMixedTypes="0" containsString="0" containsNumber="1" containsInteger="1" minValue="11110101" maxValue="33210200"/>
    </cacheField>
    <cacheField name="Subpartida" numFmtId="0">
      <sharedItems containsMixedTypes="1" containsNumber="1" containsInteger="1" minValue="0" maxValue="0" count="123">
        <s v="-"/>
        <s v="Del sector público"/>
        <s v="Del sector privado"/>
        <s v="Impuesto sobre la venta de bienes y servicios internos"/>
        <s v="Impuesto sobre la venta de bienes y servicios importados"/>
        <s v="Impuesto selectivo de consumo de bienes internos"/>
        <s v="Impuesto selectivo de consumo de bienes importados"/>
        <s v="Impuestos específicos sobre la explotación de recursos naturales y minerales"/>
        <s v="Impuesto único a los combustibles Ley N° 8114"/>
        <s v="Impuestos sobre bebidas alcohólicas Ley N° 7972"/>
        <s v="Impuestos sobre bebidas envasadas sin contenido alcohólico"/>
        <s v="Impuesto sobre el jabón de tocador Ley N° 8114"/>
        <s v="Impuestos específicos a los servicios de diversión y esparcimiento"/>
        <s v="Arancel de aduanas"/>
        <s v="1% sobre el valor aduanero de las mercancías"/>
        <s v="Derecho sobre exportación del banano"/>
        <s v="¢1.5 p/caja Ban Expo"/>
        <s v="Derecho de salida del territorio nacional vía áerea"/>
        <s v="Derechos consulares Ley N° 7293"/>
        <s v="Impuestos Ley de Migración N° 8764"/>
        <s v="Anticipos de aduanas"/>
        <s v="Anticipos impuesto al banano"/>
        <s v="Venta bienes IGN-MOPT"/>
        <s v="Venta de bienes -FONAM- Ley 7554"/>
        <s v="Alquiler de edificos e instalaciones"/>
        <s v="Servicios de investigación y desarrollo"/>
        <s v="Venta de otros servicios"/>
        <s v="Derechos administrativos a los servicios de transporte por carretera"/>
        <s v="Derechos administrativos a los servicios de transporte portuario"/>
        <s v="Otros derechos administrativos a otros servicios públicos"/>
        <s v="Instereses sobre títulos valores de instituciones públicas"/>
        <s v="Sanciones Administrativas y Otros Ley No. 7092"/>
        <s v="OTRAS MULTAS (2007)"/>
        <s v="MULTAS POR INCUMPLIMIENTO (2007)"/>
        <s v="MULTAS DE ADUANAS (2007)"/>
        <s v="1% SOBRE UTILIDADES PROTECCION AL CONSUMIDOR (2007)"/>
        <s v="MULTA SEGUN ART. 158 INCISO 3 DE LA LEY REGULADORA DEL MERCADO DE VALORES (200 SALARIOS BASES)"/>
        <s v="Remates Ley N° 3421"/>
        <s v="CONICIT"/>
        <s v="ICT"/>
        <s v="INEC"/>
        <s v="INAMU"/>
        <s v="IMAS"/>
        <s v="ARESEP"/>
        <s v="INCOPESCA"/>
        <s v="INA"/>
        <s v="IFAM"/>
        <s v="AyA"/>
        <s v="ICE"/>
        <s v="INCOOP"/>
        <s v="JAPDEVA"/>
        <s v="CNP"/>
        <s v="Impuesto al cemento"/>
        <s v="Impuesto General Forestal "/>
        <s v="Derechos administrativos a actividades comerciales"/>
        <s v="Int S/CC y O Ban Est"/>
        <s v="Impuestos Internos"/>
        <s v="Impuestos Aduanas"/>
        <s v="Ejecución de garantías de cumplimiento y participación"/>
        <s v="Multas Sugeval"/>
        <s v="1% Ley Protección al Consumidor"/>
        <s v="Multas por Incumplimiento"/>
        <s v="Fodesaf-Comedores-Ministerio Educación Pública Ley N° 8783 Artículo 3 inciso e"/>
        <s v="Fodesaf-Pronae-Ministerio de Trabajo"/>
        <s v="Fodesaf Ley 8783"/>
        <s v="Fodesaf-Ministerio Obras Públicas y Transporte (previo 2009)"/>
        <s v="Fodesaf-PRONAE (previo 2009)"/>
        <s v="Junta Administrativa Colegio San Luis Gonzaga"/>
        <s v="PANI"/>
        <s v="SENARA"/>
        <s v="Banco de Costa Rica"/>
        <s v="Bancrédito"/>
        <s v="Banco Nacional de Costa Rica"/>
        <s v="INVU"/>
        <s v="INS"/>
        <s v="Servicios financieros"/>
        <s v="Servicios de formación y capacitación"/>
        <s v="Multas Varias"/>
        <s v="Fodesaf-Pronamype"/>
        <s v="IDA"/>
        <s v="INFOCOOP"/>
        <s v="Infracciones Ley Lab"/>
        <s v="Fodesaf-Régimen no Contribuitivo de Pensiones-CCSS Ley No. 8783"/>
        <s v="Fodesaf-MEP-Comedores Escolares Juntas Ley No. 8783"/>
        <s v="Fodesaf-MEP-Programa Avancemos-Ley No. 8783"/>
        <s v="Fodesaf-IMAS-Jefas de Hogar Ley No. 8783"/>
        <s v="Fodesaf-Desaf- Ley No. 8783"/>
        <s v="Fodesaf-CONAI-L8783"/>
        <s v="Fodesaf-IMAS-L 8783"/>
        <s v="Fodesaf-BANHV-FOSUVI"/>
        <s v="INCOFER"/>
        <s v="Intereses y comisiones sobre préstamos a empresas públicas no financieras"/>
        <s v="Intereses y comisiones sobre préstamos a instituciones públicas financieras"/>
        <s v="INS Parques Culturales"/>
        <s v="Impuesto productos de tabaco Ley N° 9028"/>
        <s v="Fodesaf-Ministerio de Obras Públicas y Transportes"/>
        <s v="Impuestos exportación vía terrestre"/>
        <s v="Derecho de salida del territorio nacional vía terrestre"/>
        <s v="Honorarios defensa civil víctimas"/>
        <s v="Servicios Públicos e Impre"/>
        <s v="Ingresos por inspección"/>
        <s v="Consulta datos TSE"/>
        <s v="Servicios de recaudación"/>
        <s v="Cánones por regulación de los servicios públicos"/>
        <s v="Intereses p otros equivalentes efect sect púb int"/>
        <s v="Multas Ley 8246 N° Código de Miniería"/>
        <s v="0"/>
        <s v="Fideicomiso No. 955 Ministerio de Hacienda _ Banco Nacional de Costa Rica"/>
        <s v="Fodesaf-Mi primer Empleo"/>
        <s v="Multas artículo 36 Ley N° 9028 productos del tabaco"/>
        <s v="Deducción sueldos para pensionados Ley Nº 7302"/>
        <s v="Impuesto sobre rentas de capital inmobiliario de personas físicas"/>
        <s v="Impuesto sobre rentas de capital mobiliario de personas físicas"/>
        <s v="Impuesto sobre las ganancias y pérdidas de capital de personas físicas"/>
        <s v="Impuesto sobre rentas de capital inmobiliario de personas jurídicas del sector público"/>
        <s v="Impuesto sobre rentas de capital mobiliario de personas jurídicas del sector público"/>
        <s v="Impuesto sobre rentas de capital inmobiliario de personas jurídicas del Sector Privado"/>
        <s v="Impuesto sobre rentas de capital mobiliario de personas jurídicas del Sector Privado"/>
        <s v="Impuesto sobre las ganancias y pérdidas de capital de personas jurídicas del sector privado"/>
        <s v="Transferencias corrientes Gobierno Central Superáv it Libre artículo 5 Ley 9371"/>
        <s v="Transferencias de aseguradoras públicas para Financ. INEC Ley 9694"/>
        <s v="Multas por incumplimiento restricción sanitaria COVID-19"/>
        <n v="0"/>
      </sharedItems>
    </cacheField>
    <cacheField name="Renglón cod" numFmtId="0">
      <sharedItems containsSemiMixedTypes="0" containsString="0" containsNumber="1" containsInteger="1" minValue="111101010" maxValue="332102000"/>
    </cacheField>
    <cacheField name="Renglón" numFmtId="0">
      <sharedItems containsMixedTypes="1" containsNumber="1" containsInteger="1" minValue="0" maxValue="0" count="45">
        <s v="-"/>
        <s v="Impuesto de Ventas Ley N° 7543"/>
        <s v="Impuesto de ventas bienes y servicios importados"/>
        <s v="Impuesto selectivo de consumo de bienes internos"/>
        <s v="Impuesto selectivo de consumo de bienes importados"/>
        <s v="Licencia de caza y pesca MIRENEM"/>
        <s v="Interno"/>
        <s v="Externo"/>
        <s v="Importaciones"/>
        <s v="Impuesto sobre casinos Ley N° 9050"/>
        <s v="Alquiler de edificios"/>
        <s v="Serv Metrolog MEIC"/>
        <s v="Costo Doc Migrator."/>
        <s v="Venta Ser. IGN-MOPT"/>
        <s v="Licencia de Conducir Ley N° 7055"/>
        <s v="Canon CTP Ley N° 7969"/>
        <s v="Rev Barcos Cap Puert"/>
        <s v="Der. Registro Naval"/>
        <s v="Der Zarpe Embar Ext."/>
        <s v="Canon Cert Navegab."/>
        <s v="PERMISOS Y RENOVACION DE CEDULAS DE RESIDENCIA. (LEYES N? 7033 Y 7108 DE 13-8-86 Y 8-11-88)."/>
        <s v="Intereses bonos INVU"/>
        <s v="Licencia de caza y pesca continental"/>
        <s v="Impuesto al cemento"/>
        <s v="Radio y TV Ley N° 1758"/>
        <s v="Frecuencias de Radio Ley N° 1758"/>
        <s v="Costo Transf. SWIFT"/>
        <s v="Servicios capacitación CGR"/>
        <s v="Serv Amb SETENA"/>
        <s v="0"/>
        <s v="Deuda renegociada AyA"/>
        <s v="Deuda renegociada BCCR"/>
        <s v="Aduanas"/>
        <s v="Fond.Soc Migra L8764"/>
        <s v="Otros Imp Migra 8764"/>
        <s v="Servicio de recaudación Tesorería Nacional"/>
        <s v="Impuesto sobre empresas de apuestas electrónicas Ley N° 9050"/>
        <s v="Fondo Esp.Migracion"/>
        <s v="Conc.explo.min L8246"/>
        <s v="Servicios tributarios Ley N° 9355"/>
        <s v="Canon por aprovechamiento de aguas"/>
        <s v="Canon ambiental por vertidos"/>
        <s v="Derechos de Inscripción de Gestión de Residuos Ley 8839"/>
        <s v="Serv.Rec.Teso.Nac."/>
        <n v="0"/>
      </sharedItems>
    </cacheField>
    <cacheField name="Subrenglón cod" numFmtId="0">
      <sharedItems containsSemiMixedTypes="0" containsString="0" containsNumber="1" containsInteger="1" minValue="1111010100" maxValue="3321020000"/>
    </cacheField>
    <cacheField name="Subrenglón" numFmtId="0">
      <sharedItems containsMixedTypes="1" containsNumber="1" containsInteger="1" minValue="0" maxValue="0" count="5">
        <s v="-"/>
        <s v="0"/>
        <s v="Donaciones corrientes del Gobierno Central"/>
        <s v="Instituto Nacional de Fomento y Asesoría Municipal recursos convenio MIVAH-PRUGAM"/>
        <n v="0"/>
      </sharedItems>
    </cacheField>
    <cacheField name="Fuente cod" numFmtId="0">
      <sharedItems containsSemiMixedTypes="0" containsString="0" containsNumber="1" containsInteger="1" minValue="1" maxValue="980"/>
    </cacheField>
    <cacheField name="Fuente" numFmtId="0">
      <sharedItems/>
    </cacheField>
    <cacheField name="Presupuesto inicial " numFmtId="0">
      <sharedItems containsString="0" containsBlank="1" containsNumber="1" containsInteger="1" minValue="0" maxValue="4152612940568"/>
    </cacheField>
    <cacheField name="Presupuesto actual" numFmtId="0">
      <sharedItems containsString="0" containsBlank="1" containsNumber="1" minValue="0" maxValue="4100294701198.9502"/>
    </cacheField>
    <cacheField name="Presupuesto ajustado" numFmtId="0">
      <sharedItems containsString="0" containsBlank="1" containsNumber="1" minValue="0" maxValue="4100294701198.9502"/>
    </cacheField>
    <cacheField name="Enero" numFmtId="0">
      <sharedItems containsSemiMixedTypes="0" containsString="0" containsNumber="1" minValue="-855157135.57000005" maxValue="307265769006.40002"/>
    </cacheField>
    <cacheField name="Febrero" numFmtId="0">
      <sharedItems containsSemiMixedTypes="0" containsString="0" containsNumber="1" minValue="-8089573131.2399998" maxValue="341219755186.03998"/>
    </cacheField>
    <cacheField name="Marzo" numFmtId="0">
      <sharedItems containsSemiMixedTypes="0" containsString="0" containsNumber="1" minValue="-2478924503.21" maxValue="817360755016.04004"/>
    </cacheField>
    <cacheField name="Abril" numFmtId="0">
      <sharedItems containsString="0" containsBlank="1" containsNumber="1" minValue="-8055513711.7399998" maxValue="492880285779.65997"/>
    </cacheField>
    <cacheField name="Mayo" numFmtId="0">
      <sharedItems containsSemiMixedTypes="0" containsString="0" containsNumber="1" minValue="-15445637638.620001" maxValue="552090000000"/>
    </cacheField>
    <cacheField name="Junio" numFmtId="0">
      <sharedItems containsSemiMixedTypes="0" containsString="0" containsNumber="1" minValue="-9041700493.9699993" maxValue="251018088920.53"/>
    </cacheField>
    <cacheField name="Julio" numFmtId="0">
      <sharedItems containsSemiMixedTypes="0" containsString="0" containsNumber="1" minValue="-5112151938.8699999" maxValue="439996721197.90002"/>
    </cacheField>
    <cacheField name="Agosto" numFmtId="0">
      <sharedItems containsSemiMixedTypes="0" containsString="0" containsNumber="1" minValue="-57652750431.029999" maxValue="307118919120.84003"/>
    </cacheField>
    <cacheField name="Setiembre" numFmtId="0">
      <sharedItems containsSemiMixedTypes="0" containsString="0" containsNumber="1" minValue="-12831503799" maxValue="507647469646.67999"/>
    </cacheField>
    <cacheField name="Octubre" numFmtId="0">
      <sharedItems containsSemiMixedTypes="0" containsString="0" containsNumber="1" minValue="-645985591.80999994" maxValue="276654675596.79999"/>
    </cacheField>
    <cacheField name="Noviembre" numFmtId="0">
      <sharedItems containsSemiMixedTypes="0" containsString="0" containsNumber="1" minValue="-24018836536.43" maxValue="861720000000.06995"/>
    </cacheField>
    <cacheField name="Diciembre" numFmtId="0">
      <sharedItems containsSemiMixedTypes="0" containsString="0" containsNumber="1" minValue="-121202458605.49001" maxValue="567280561384.21997"/>
    </cacheField>
    <cacheField name="Acumulado" numFmtId="0">
      <sharedItems containsSemiMixedTypes="0" containsString="0" containsNumber="1" minValue="-2999.62" maxValue="3692043237608.5098"/>
    </cacheField>
    <cacheField name="Dif Pto Estimado - AcReal" numFmtId="0">
      <sharedItems containsSemiMixedTypes="0" containsString="0" containsNumber="1" minValue="-1055607978923.22" maxValue="1344684801770.4099"/>
    </cacheField>
    <cacheField name="% Ingreso Acum Real" numFmtId="0">
      <sharedItems containsSemiMixedTypes="0" containsString="0" containsNumber="1" minValue="0" maxValue="226330.57"/>
    </cacheField>
    <cacheField name="% (+)Pendiente (-)Excedente" numFmtId="0">
      <sharedItems containsSemiMixedTypes="0" containsString="0" containsNumber="1" minValue="-226230.57" maxValue="100"/>
    </cacheField>
    <cacheField name="Presp_inicial_millones" numFmtId="0" formula="('Presupuesto inicial '/1000000)" databaseField="0"/>
    <cacheField name="Pres_actual_millones" numFmtId="0" formula="('Presupuesto actual'/1000000)" databaseField="0"/>
    <cacheField name="Ejec_I_semestre" numFmtId="0" formula="(Enero+Febrero+Marzo+Abril+Mayo+Junio)" databaseField="0"/>
    <cacheField name="Ejec_I_semestre_millones" numFmtId="0" formula="(Ejec_I_semestre)/1000000" databaseField="0"/>
    <cacheField name="Ejec_II_semestre" numFmtId="0" formula="(Julio+Agosto+Setiembre+Octubre+Noviembre+Diciembre)" databaseField="0"/>
    <cacheField name="Ejec_II_semestre_millones" numFmtId="0" formula="(Ejec_II_semestre)/1000000" databaseField="0"/>
    <cacheField name="I trimestre" numFmtId="0" formula="(Enero+Febrero+Marzo)" databaseField="0"/>
    <cacheField name="II trimestre" numFmtId="0" formula="(Abril+Mayo+Junio)" databaseField="0"/>
    <cacheField name="III trimestre" numFmtId="0" formula="(Julio+Agosto+Setiembre)" databaseField="0"/>
    <cacheField name="IV trimestre" numFmtId="0" formula="(Octubre+Noviembre+Diciembre)" databaseField="0"/>
    <cacheField name="I trimestre_millones" numFmtId="0" formula="('I trimestre')/1000000" databaseField="0"/>
    <cacheField name="II_trimestre_millones" numFmtId="0" formula="('II trimestre')/1000000" databaseField="0"/>
    <cacheField name="III trimestre_millones" numFmtId="0" formula="('III trimestre')/1000000" databaseField="0"/>
    <cacheField name="IV trimestre_millones" numFmtId="0" formula="('IV trimestre')/1000000" databaseField="0"/>
    <cacheField name="Acumulado_millones" numFmtId="0" formula="(Acumulado/1000000)" databaseField="0"/>
    <cacheField name="I Bimestre_millones" numFmtId="0" formula="(Enero+Febrero)/1000000" databaseField="0"/>
    <cacheField name="II Bimestre_millones" numFmtId="0" formula="(Marzo+Abril)/1000000" databaseField="0"/>
    <cacheField name="III Bimestre_millones" numFmtId="0" formula="(Mayo+Junio)/1000000" databaseField="0"/>
    <cacheField name="IV Bimestre_millones " numFmtId="0" formula="(Julio+Agosto)/1000000" databaseField="0"/>
    <cacheField name="V Bimestre_millones" numFmtId="0" formula="(Setiembre+Octubre)/1000000" databaseField="0"/>
    <cacheField name="VI Bimestre_millones" numFmtId="0" formula="(Noviembre+Diciembre)/1000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">
  <r>
    <x v="0"/>
    <x v="0"/>
    <n v="7676233322.3000002"/>
  </r>
  <r>
    <x v="0"/>
    <x v="1"/>
    <n v="7418780629.4300003"/>
  </r>
  <r>
    <x v="0"/>
    <x v="2"/>
    <n v="8407810201.04"/>
  </r>
  <r>
    <x v="0"/>
    <x v="3"/>
    <n v="6367698713.5"/>
  </r>
  <r>
    <x v="0"/>
    <x v="4"/>
    <n v="8378000673.9200001"/>
  </r>
  <r>
    <x v="0"/>
    <x v="5"/>
    <n v="7414866520.2600002"/>
  </r>
  <r>
    <x v="0"/>
    <x v="6"/>
    <n v="8983368175.7700005"/>
  </r>
  <r>
    <x v="0"/>
    <x v="7"/>
    <n v="9633715557.3199997"/>
  </r>
  <r>
    <x v="0"/>
    <x v="8"/>
    <n v="8811471536.7299995"/>
  </r>
  <r>
    <x v="0"/>
    <x v="9"/>
    <n v="11030551897.43"/>
  </r>
  <r>
    <x v="0"/>
    <x v="10"/>
    <n v="12560861833.120001"/>
  </r>
  <r>
    <x v="0"/>
    <x v="11"/>
    <n v="10881979564.73"/>
  </r>
  <r>
    <x v="1"/>
    <x v="0"/>
    <n v="9107334870.6900005"/>
  </r>
  <r>
    <x v="1"/>
    <x v="1"/>
    <n v="8743688602.0799999"/>
  </r>
  <r>
    <x v="1"/>
    <x v="2"/>
    <n v="8098969582.8800001"/>
  </r>
  <r>
    <x v="1"/>
    <x v="3"/>
    <n v="9579070817.0499992"/>
  </r>
  <r>
    <x v="1"/>
    <x v="4"/>
    <n v="9695435264.9200001"/>
  </r>
  <r>
    <x v="1"/>
    <x v="5"/>
    <n v="9474255754.9899998"/>
  </r>
  <r>
    <x v="1"/>
    <x v="6"/>
    <n v="11399396330.75"/>
  </r>
  <r>
    <x v="1"/>
    <x v="7"/>
    <n v="11269724936.5"/>
  </r>
  <r>
    <x v="1"/>
    <x v="8"/>
    <n v="11073887949.799999"/>
  </r>
  <r>
    <x v="1"/>
    <x v="9"/>
    <n v="13168101165.09"/>
  </r>
  <r>
    <x v="1"/>
    <x v="10"/>
    <n v="11702882829.450001"/>
  </r>
  <r>
    <x v="1"/>
    <x v="11"/>
    <n v="11237587408.16"/>
  </r>
  <r>
    <x v="2"/>
    <x v="0"/>
    <n v="7858932403.2200003"/>
  </r>
  <r>
    <x v="2"/>
    <x v="1"/>
    <n v="7453571320.1199999"/>
  </r>
  <r>
    <x v="2"/>
    <x v="2"/>
    <n v="7682392945.96"/>
  </r>
  <r>
    <x v="2"/>
    <x v="3"/>
    <n v="6609769442.0200005"/>
  </r>
  <r>
    <x v="2"/>
    <x v="4"/>
    <n v="6861587648.54"/>
  </r>
  <r>
    <x v="2"/>
    <x v="5"/>
    <n v="8089590302.9200001"/>
  </r>
  <r>
    <x v="2"/>
    <x v="6"/>
    <n v="8396831193.04"/>
  </r>
  <r>
    <x v="2"/>
    <x v="7"/>
    <n v="7771649608.3100004"/>
  </r>
  <r>
    <x v="2"/>
    <x v="8"/>
    <n v="8364029326.5100002"/>
  </r>
  <r>
    <x v="2"/>
    <x v="9"/>
    <n v="9209829246.7399998"/>
  </r>
  <r>
    <x v="2"/>
    <x v="10"/>
    <n v="9806221936.3899994"/>
  </r>
  <r>
    <x v="2"/>
    <x v="11"/>
    <n v="8896537183.5300007"/>
  </r>
  <r>
    <x v="3"/>
    <x v="0"/>
    <n v="6983396021.4499998"/>
  </r>
  <r>
    <x v="3"/>
    <x v="1"/>
    <n v="7019817761.7600002"/>
  </r>
  <r>
    <x v="3"/>
    <x v="2"/>
    <n v="8647242184.5100002"/>
  </r>
  <r>
    <x v="3"/>
    <x v="3"/>
    <n v="7120257763.4300003"/>
  </r>
  <r>
    <x v="3"/>
    <x v="4"/>
    <n v="7656688724.0799999"/>
  </r>
  <r>
    <x v="3"/>
    <x v="5"/>
    <n v="8299002360.1599998"/>
  </r>
  <r>
    <x v="3"/>
    <x v="6"/>
    <n v="8264546171.7299995"/>
  </r>
  <r>
    <x v="3"/>
    <x v="7"/>
    <n v="8929912847.3999996"/>
  </r>
  <r>
    <x v="3"/>
    <x v="8"/>
    <n v="8831136131.7099991"/>
  </r>
  <r>
    <x v="3"/>
    <x v="9"/>
    <n v="9927674610.1599998"/>
  </r>
  <r>
    <x v="3"/>
    <x v="10"/>
    <n v="11277630084.4"/>
  </r>
  <r>
    <x v="3"/>
    <x v="11"/>
    <n v="10893206792.18"/>
  </r>
  <r>
    <x v="4"/>
    <x v="0"/>
    <n v="7811277785.0799999"/>
  </r>
  <r>
    <x v="4"/>
    <x v="1"/>
    <n v="8869308282.5100002"/>
  </r>
  <r>
    <x v="4"/>
    <x v="2"/>
    <n v="9624095231.8199997"/>
  </r>
  <r>
    <x v="4"/>
    <x v="3"/>
    <n v="8154392655.75"/>
  </r>
  <r>
    <x v="4"/>
    <x v="4"/>
    <n v="10237225412.950001"/>
  </r>
  <r>
    <x v="4"/>
    <x v="5"/>
    <n v="10407536131.57"/>
  </r>
  <r>
    <x v="4"/>
    <x v="6"/>
    <n v="9629204309.5"/>
  </r>
  <r>
    <x v="4"/>
    <x v="7"/>
    <n v="11075152497.889999"/>
  </r>
  <r>
    <x v="4"/>
    <x v="8"/>
    <n v="11086527122.26"/>
  </r>
  <r>
    <x v="4"/>
    <x v="9"/>
    <n v="11622154276.190001"/>
  </r>
  <r>
    <x v="4"/>
    <x v="10"/>
    <n v="12961684395.219999"/>
  </r>
  <r>
    <x v="4"/>
    <x v="11"/>
    <n v="10876133643.549999"/>
  </r>
  <r>
    <x v="5"/>
    <x v="0"/>
    <n v="9656477386.1299992"/>
  </r>
  <r>
    <x v="5"/>
    <x v="1"/>
    <n v="9687402007.7999992"/>
  </r>
  <r>
    <x v="5"/>
    <x v="2"/>
    <n v="9803020559.5799999"/>
  </r>
  <r>
    <x v="5"/>
    <x v="3"/>
    <n v="8298004671.7299995"/>
  </r>
  <r>
    <x v="5"/>
    <x v="4"/>
    <n v="10504638619.68"/>
  </r>
  <r>
    <x v="5"/>
    <x v="5"/>
    <n v="9884144146.4799995"/>
  </r>
  <r>
    <x v="5"/>
    <x v="6"/>
    <n v="10507438514.549999"/>
  </r>
  <r>
    <x v="5"/>
    <x v="7"/>
    <n v="10650820270.84"/>
  </r>
  <r>
    <x v="5"/>
    <x v="8"/>
    <n v="10833561514.84"/>
  </r>
  <r>
    <x v="5"/>
    <x v="9"/>
    <n v="12886166235.25"/>
  </r>
  <r>
    <x v="5"/>
    <x v="10"/>
    <n v="14343115742.469999"/>
  </r>
  <r>
    <x v="5"/>
    <x v="11"/>
    <n v="11302873375.07"/>
  </r>
  <r>
    <x v="6"/>
    <x v="0"/>
    <n v="10137268563.42"/>
  </r>
  <r>
    <x v="6"/>
    <x v="1"/>
    <n v="9487901956.6900005"/>
  </r>
  <r>
    <x v="6"/>
    <x v="2"/>
    <n v="8852766171.4300003"/>
  </r>
  <r>
    <x v="6"/>
    <x v="3"/>
    <n v="10024697175.73"/>
  </r>
  <r>
    <x v="6"/>
    <x v="4"/>
    <n v="10429460002.620001"/>
  </r>
  <r>
    <x v="6"/>
    <x v="5"/>
    <n v="9467715399.2000008"/>
  </r>
  <r>
    <x v="6"/>
    <x v="6"/>
    <n v="10883391887.459999"/>
  </r>
  <r>
    <x v="6"/>
    <x v="7"/>
    <n v="10709182471.76"/>
  </r>
  <r>
    <x v="6"/>
    <x v="8"/>
    <n v="12027996435.93"/>
  </r>
  <r>
    <x v="6"/>
    <x v="9"/>
    <n v="13239741188.65"/>
  </r>
  <r>
    <x v="6"/>
    <x v="10"/>
    <n v="13024650670.67"/>
  </r>
  <r>
    <x v="6"/>
    <x v="11"/>
    <n v="12349119826.139999"/>
  </r>
  <r>
    <x v="7"/>
    <x v="0"/>
    <n v="9967659520.7099991"/>
  </r>
  <r>
    <x v="7"/>
    <x v="1"/>
    <n v="10087636647.66"/>
  </r>
  <r>
    <x v="7"/>
    <x v="2"/>
    <n v="12258695918.85"/>
  </r>
  <r>
    <x v="7"/>
    <x v="3"/>
    <n v="10892021667.59"/>
  </r>
  <r>
    <x v="7"/>
    <x v="4"/>
    <n v="12497616759.76"/>
  </r>
  <r>
    <x v="7"/>
    <x v="5"/>
    <n v="10602200396.889999"/>
  </r>
  <r>
    <x v="7"/>
    <x v="6"/>
    <n v="11934237922.93"/>
  </r>
  <r>
    <x v="7"/>
    <x v="7"/>
    <n v="11527595841.35"/>
  </r>
  <r>
    <x v="7"/>
    <x v="8"/>
    <n v="11789757386.23"/>
  </r>
  <r>
    <x v="7"/>
    <x v="9"/>
    <n v="13785712657.84"/>
  </r>
  <r>
    <x v="7"/>
    <x v="10"/>
    <n v="14036188380.27"/>
  </r>
  <r>
    <x v="7"/>
    <x v="11"/>
    <n v="12846200398.780001"/>
  </r>
  <r>
    <x v="8"/>
    <x v="0"/>
    <n v="10502171015.610001"/>
  </r>
  <r>
    <x v="8"/>
    <x v="1"/>
    <n v="10410639620.559999"/>
  </r>
  <r>
    <x v="8"/>
    <x v="2"/>
    <n v="11844371368.209999"/>
  </r>
  <r>
    <x v="8"/>
    <x v="3"/>
    <n v="10525401822.389999"/>
  </r>
  <r>
    <x v="8"/>
    <x v="4"/>
    <n v="11078077351.719999"/>
  </r>
  <r>
    <x v="8"/>
    <x v="5"/>
    <n v="11397617088.92"/>
  </r>
  <r>
    <x v="8"/>
    <x v="6"/>
    <n v="13292357601.139999"/>
  </r>
  <r>
    <x v="8"/>
    <x v="7"/>
    <n v="11242105273.299999"/>
  </r>
  <r>
    <x v="8"/>
    <x v="8"/>
    <n v="13587717115.52"/>
  </r>
  <r>
    <x v="8"/>
    <x v="9"/>
    <n v="14485744824.219999"/>
  </r>
  <r>
    <x v="8"/>
    <x v="10"/>
    <n v="15553625017.68"/>
  </r>
  <r>
    <x v="8"/>
    <x v="11"/>
    <n v="14746266114.889999"/>
  </r>
  <r>
    <x v="9"/>
    <x v="0"/>
    <n v="11474229008.610001"/>
  </r>
  <r>
    <x v="9"/>
    <x v="1"/>
    <n v="11833556382.24"/>
  </r>
  <r>
    <x v="9"/>
    <x v="2"/>
    <n v="11439653217.9"/>
  </r>
  <r>
    <x v="9"/>
    <x v="3"/>
    <n v="11260447570.039999"/>
  </r>
  <r>
    <x v="9"/>
    <x v="4"/>
    <n v="14482735989.140001"/>
  </r>
  <r>
    <x v="9"/>
    <x v="5"/>
    <n v="12622237964.860001"/>
  </r>
  <r>
    <x v="9"/>
    <x v="6"/>
    <n v="12690576017.58"/>
  </r>
  <r>
    <x v="9"/>
    <x v="7"/>
    <n v="13713617706.27"/>
  </r>
  <r>
    <x v="9"/>
    <x v="8"/>
    <n v="13672422106.709999"/>
  </r>
  <r>
    <x v="9"/>
    <x v="9"/>
    <n v="14318942544.98"/>
  </r>
  <r>
    <x v="9"/>
    <x v="10"/>
    <n v="16008753657.370001"/>
  </r>
  <r>
    <x v="9"/>
    <x v="11"/>
    <n v="15041670702.690001"/>
  </r>
  <r>
    <x v="10"/>
    <x v="0"/>
    <n v="12629754127.950001"/>
  </r>
  <r>
    <x v="10"/>
    <x v="1"/>
    <n v="11139139653.58"/>
  </r>
  <r>
    <x v="10"/>
    <x v="2"/>
    <n v="12350384258.98"/>
  </r>
  <r>
    <x v="10"/>
    <x v="3"/>
    <n v="9572608198.6599998"/>
  </r>
  <r>
    <x v="10"/>
    <x v="4"/>
    <n v="12871984232.01"/>
  </r>
  <r>
    <x v="10"/>
    <x v="5"/>
    <n v="12569363630.85"/>
  </r>
  <r>
    <x v="10"/>
    <x v="6"/>
    <n v="11754339433.91"/>
  </r>
  <r>
    <x v="10"/>
    <x v="7"/>
    <n v="12783264492.35"/>
  </r>
  <r>
    <x v="10"/>
    <x v="8"/>
    <n v="12391433587.91"/>
  </r>
  <r>
    <x v="10"/>
    <x v="9"/>
    <n v="15237091881.870001"/>
  </r>
  <r>
    <x v="10"/>
    <x v="10"/>
    <n v="16075766187.24"/>
  </r>
  <r>
    <x v="10"/>
    <x v="11"/>
    <n v="13380377891.809999"/>
  </r>
  <r>
    <x v="11"/>
    <x v="0"/>
    <n v="12482044939.049999"/>
  </r>
  <r>
    <x v="11"/>
    <x v="1"/>
    <n v="11666097896.370001"/>
  </r>
  <r>
    <x v="11"/>
    <x v="2"/>
    <n v="11053737495.469999"/>
  </r>
  <r>
    <x v="11"/>
    <x v="3"/>
    <n v="11662593415.709999"/>
  </r>
  <r>
    <x v="11"/>
    <x v="4"/>
    <n v="11471139718.629999"/>
  </r>
  <r>
    <x v="11"/>
    <x v="5"/>
    <n v="10874278077.09"/>
  </r>
  <r>
    <x v="11"/>
    <x v="6"/>
    <n v="11485624557.379999"/>
  </r>
  <r>
    <x v="11"/>
    <x v="7"/>
    <n v="4510542777.92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0">
  <r>
    <x v="0"/>
    <x v="0"/>
    <n v="166413106592.45999"/>
    <s v="N.A. "/>
    <s v="N.A. "/>
  </r>
  <r>
    <x v="0"/>
    <x v="1"/>
    <n v="130637062419.18004"/>
    <s v="N.A. "/>
    <s v="N.A. "/>
  </r>
  <r>
    <x v="0"/>
    <x v="2"/>
    <n v="185830187991.25998"/>
    <s v="N.A. "/>
    <s v="N.A. "/>
  </r>
  <r>
    <x v="0"/>
    <x v="3"/>
    <n v="154728905374.43002"/>
    <s v="N.A. "/>
    <s v="N.A. "/>
  </r>
  <r>
    <x v="0"/>
    <x v="4"/>
    <n v="141432413704.65002"/>
    <s v="N.A. "/>
    <s v="N.A. "/>
  </r>
  <r>
    <x v="0"/>
    <x v="5"/>
    <n v="149769277342.32001"/>
    <s v="N.A. "/>
    <s v="N.A. "/>
  </r>
  <r>
    <x v="0"/>
    <x v="6"/>
    <n v="173097204368.04001"/>
    <s v="N.A. "/>
    <s v="N.A. "/>
  </r>
  <r>
    <x v="0"/>
    <x v="7"/>
    <n v="142732287856.02002"/>
    <s v="N.A. "/>
    <s v="N.A. "/>
  </r>
  <r>
    <x v="0"/>
    <x v="8"/>
    <n v="149542574754.20999"/>
    <s v="N.A. "/>
    <s v="N.A. "/>
  </r>
  <r>
    <x v="0"/>
    <x v="9"/>
    <n v="187977973128.60001"/>
    <s v="N.A. "/>
    <s v="N.A. "/>
  </r>
  <r>
    <x v="0"/>
    <x v="10"/>
    <n v="162792407735.73996"/>
    <s v="N.A. "/>
    <s v="N.A. "/>
  </r>
  <r>
    <x v="0"/>
    <x v="11"/>
    <n v="283988423604.59998"/>
    <n v="2028941824871.5103"/>
    <s v="N.A. "/>
  </r>
  <r>
    <x v="1"/>
    <x v="0"/>
    <n v="192888563839.37"/>
    <n v="2055417282118.4204"/>
    <s v="N.A. "/>
  </r>
  <r>
    <x v="1"/>
    <x v="1"/>
    <n v="166421404345.97995"/>
    <n v="2091201624045.2202"/>
    <s v="N.A. "/>
  </r>
  <r>
    <x v="1"/>
    <x v="2"/>
    <n v="247832237031.07999"/>
    <n v="2153203673085.04"/>
    <s v="N.A. "/>
  </r>
  <r>
    <x v="1"/>
    <x v="3"/>
    <n v="221351559061.85001"/>
    <n v="2219826326772.46"/>
    <s v="N.A. "/>
  </r>
  <r>
    <x v="1"/>
    <x v="4"/>
    <n v="164942380165.97006"/>
    <n v="2243336293233.7803"/>
    <s v="N.A. "/>
  </r>
  <r>
    <x v="1"/>
    <x v="5"/>
    <n v="180473976670.19992"/>
    <n v="2274040992561.6602"/>
    <s v="N.A. "/>
  </r>
  <r>
    <x v="1"/>
    <x v="6"/>
    <n v="225263637883.85001"/>
    <n v="2326207426077.4702"/>
    <s v="N.A. "/>
  </r>
  <r>
    <x v="1"/>
    <x v="7"/>
    <n v="167709442153.84998"/>
    <n v="2351184580375.2998"/>
    <s v="N.A. "/>
  </r>
  <r>
    <x v="1"/>
    <x v="8"/>
    <n v="184139161592.53003"/>
    <n v="2385781167213.6201"/>
    <s v="N.A. "/>
  </r>
  <r>
    <x v="1"/>
    <x v="9"/>
    <n v="217131498349.14999"/>
    <n v="2414934692434.1699"/>
    <s v="N.A. "/>
  </r>
  <r>
    <x v="1"/>
    <x v="10"/>
    <n v="157590845126.87009"/>
    <n v="2409733129825.3003"/>
    <s v="N.A. "/>
  </r>
  <r>
    <x v="1"/>
    <x v="11"/>
    <n v="282833918897.5"/>
    <n v="2408578625118.2002"/>
    <n v="0.18711073703196579"/>
  </r>
  <r>
    <x v="2"/>
    <x v="0"/>
    <n v="198030678159.13995"/>
    <n v="2413720739437.9702"/>
    <n v="0.17432151633475779"/>
  </r>
  <r>
    <x v="2"/>
    <x v="1"/>
    <n v="152881211304.64001"/>
    <n v="2400180546396.6299"/>
    <n v="0.14775185653964873"/>
  </r>
  <r>
    <x v="2"/>
    <x v="2"/>
    <n v="226933241074.79001"/>
    <n v="2379281550440.3398"/>
    <n v="0.1049960485305057"/>
  </r>
  <r>
    <x v="2"/>
    <x v="3"/>
    <n v="173185144181.96997"/>
    <n v="2331115135560.46"/>
    <n v="5.0134016092064915E-2"/>
  </r>
  <r>
    <x v="2"/>
    <x v="4"/>
    <n v="146450968349.03998"/>
    <n v="2312623723743.5298"/>
    <n v="3.0885886667429308E-2"/>
  </r>
  <r>
    <x v="2"/>
    <x v="5"/>
    <n v="168480050347.28006"/>
    <n v="2300629797420.6099"/>
    <n v="1.1692315550124732E-2"/>
  </r>
  <r>
    <x v="2"/>
    <x v="6"/>
    <n v="208257254793.47998"/>
    <n v="2283623414330.2402"/>
    <n v="-1.8306197147275327E-2"/>
  </r>
  <r>
    <x v="2"/>
    <x v="7"/>
    <n v="150332889045.20004"/>
    <n v="2266246861221.5903"/>
    <n v="-3.6125500253217702E-2"/>
  </r>
  <r>
    <x v="2"/>
    <x v="8"/>
    <n v="178549802802.47998"/>
    <n v="2260657502431.54"/>
    <n v="-5.2445574850527255E-2"/>
  </r>
  <r>
    <x v="2"/>
    <x v="9"/>
    <n v="203499867927.85995"/>
    <n v="2247025872010.25"/>
    <n v="-6.9529342118429538E-2"/>
  </r>
  <r>
    <x v="2"/>
    <x v="10"/>
    <n v="162175920353.94003"/>
    <n v="2251610947237.3198"/>
    <n v="-6.5618130336052571E-2"/>
  </r>
  <r>
    <x v="2"/>
    <x v="11"/>
    <n v="293512914884.84009"/>
    <n v="2262289943224.6597"/>
    <n v="-6.0736519193497984E-2"/>
  </r>
  <r>
    <x v="3"/>
    <x v="0"/>
    <n v="201182242362.67007"/>
    <n v="2265441507428.1899"/>
    <n v="-6.1431809234197776E-2"/>
  </r>
  <r>
    <x v="3"/>
    <x v="1"/>
    <n v="156243480860.4201"/>
    <n v="2268803776983.9702"/>
    <n v="-5.4736202911857768E-2"/>
  </r>
  <r>
    <x v="3"/>
    <x v="2"/>
    <n v="261319918859.0701"/>
    <n v="2303190454768.2505"/>
    <n v="-3.1980702602433464E-2"/>
  </r>
  <r>
    <x v="3"/>
    <x v="3"/>
    <n v="176711330102.23001"/>
    <n v="2306716640688.5107"/>
    <n v="-1.0466447795631217E-2"/>
  </r>
  <r>
    <x v="3"/>
    <x v="4"/>
    <n v="164717016384.63007"/>
    <n v="2324982688724.1006"/>
    <n v="5.3441313663273871E-3"/>
  </r>
  <r>
    <x v="3"/>
    <x v="5"/>
    <n v="205127044588.92007"/>
    <n v="2361629682965.7407"/>
    <n v="2.6514429054827371E-2"/>
  </r>
  <r>
    <x v="3"/>
    <x v="6"/>
    <n v="194379535613.12003"/>
    <n v="2347751963785.3809"/>
    <n v="2.8081928505689691E-2"/>
  </r>
  <r>
    <x v="3"/>
    <x v="7"/>
    <n v="172359437535.27997"/>
    <n v="2369778512275.4604"/>
    <n v="4.5684189496488781E-2"/>
  </r>
  <r>
    <x v="3"/>
    <x v="8"/>
    <n v="231262777457.60999"/>
    <n v="2422491486930.5908"/>
    <n v="7.1587130878951744E-2"/>
  </r>
  <r>
    <x v="3"/>
    <x v="9"/>
    <n v="197428490682.34003"/>
    <n v="2416420109685.0708"/>
    <n v="7.5385975651128589E-2"/>
  </r>
  <r>
    <x v="3"/>
    <x v="10"/>
    <n v="185419142398.91998"/>
    <n v="2439663331730.0503"/>
    <n v="8.3519039878299894E-2"/>
  </r>
  <r>
    <x v="3"/>
    <x v="11"/>
    <n v="345501648701.84003"/>
    <n v="2491652065547.0508"/>
    <n v="0.10138493653711733"/>
  </r>
  <r>
    <x v="4"/>
    <x v="0"/>
    <n v="204125487552.86996"/>
    <n v="2494595310737.2505"/>
    <n v="0.10115193994534155"/>
  </r>
  <r>
    <x v="4"/>
    <x v="1"/>
    <n v="171540105737.41998"/>
    <n v="2509891935614.2505"/>
    <n v="0.106262234343937"/>
  </r>
  <r>
    <x v="4"/>
    <x v="2"/>
    <n v="260213881923.81003"/>
    <n v="2508785898678.9902"/>
    <n v="8.926549842419651E-2"/>
  </r>
  <r>
    <x v="4"/>
    <x v="3"/>
    <n v="200717296520.76001"/>
    <n v="2532791865097.5195"/>
    <n v="9.8007367017359126E-2"/>
  </r>
  <r>
    <x v="4"/>
    <x v="4"/>
    <n v="181516340028.07993"/>
    <n v="2549591188740.9697"/>
    <n v="9.6606525763049511E-2"/>
  </r>
  <r>
    <x v="4"/>
    <x v="5"/>
    <n v="257330366051.33002"/>
    <n v="2601794510203.3799"/>
    <n v="0.10169453279230445"/>
  </r>
  <r>
    <x v="4"/>
    <x v="6"/>
    <n v="199039718324.85004"/>
    <n v="2606454692915.1099"/>
    <n v="0.11019167830344889"/>
  </r>
  <r>
    <x v="4"/>
    <x v="7"/>
    <n v="196483633656.75998"/>
    <n v="2630578889036.5894"/>
    <n v="0.11005263800400833"/>
  </r>
  <r>
    <x v="4"/>
    <x v="8"/>
    <n v="256506666234.42999"/>
    <n v="2655822777813.4102"/>
    <n v="9.6318724809415501E-2"/>
  </r>
  <r>
    <x v="4"/>
    <x v="9"/>
    <n v="205328557758.55005"/>
    <n v="2663722844889.6201"/>
    <n v="0.10234260765061265"/>
  </r>
  <r>
    <x v="4"/>
    <x v="10"/>
    <n v="212757127103.90988"/>
    <n v="2691060829594.6099"/>
    <n v="0.10304597958042216"/>
  </r>
  <r>
    <x v="4"/>
    <x v="11"/>
    <n v="423773731425.15997"/>
    <n v="2769332912317.9302"/>
    <n v="0.11144447116452172"/>
  </r>
  <r>
    <x v="5"/>
    <x v="0"/>
    <n v="227157951183.03998"/>
    <n v="2792365375948.1001"/>
    <n v="0.11936608071424892"/>
  </r>
  <r>
    <x v="5"/>
    <x v="1"/>
    <n v="185412398173.04996"/>
    <n v="2806237668383.73"/>
    <n v="0.11807111237120016"/>
  </r>
  <r>
    <x v="5"/>
    <x v="2"/>
    <n v="305618662721.17017"/>
    <n v="2851642449181.0898"/>
    <n v="0.13666233961320962"/>
  </r>
  <r>
    <x v="5"/>
    <x v="3"/>
    <n v="210588816448.71002"/>
    <n v="2861513969109.04"/>
    <n v="0.1297864654973786"/>
  </r>
  <r>
    <x v="5"/>
    <x v="4"/>
    <n v="220598864201.06"/>
    <n v="2900596493282.02"/>
    <n v="0.13767121022817097"/>
  </r>
  <r>
    <x v="5"/>
    <x v="5"/>
    <n v="275872715727.67004"/>
    <n v="2919138842958.3599"/>
    <n v="0.12197132844675473"/>
  </r>
  <r>
    <x v="5"/>
    <x v="6"/>
    <n v="215947154566.69992"/>
    <n v="2936046279200.21"/>
    <n v="0.1264520680835155"/>
  </r>
  <r>
    <x v="5"/>
    <x v="7"/>
    <n v="203664940370.93997"/>
    <n v="2943227585914.3896"/>
    <n v="0.11885167108305317"/>
  </r>
  <r>
    <x v="5"/>
    <x v="8"/>
    <n v="279408024113.06995"/>
    <n v="2966128943793.0298"/>
    <n v="0.116839936976179"/>
  </r>
  <r>
    <x v="5"/>
    <x v="9"/>
    <n v="222141670845.63998"/>
    <n v="2982942056880.1196"/>
    <n v="0.11983949929435211"/>
  </r>
  <r>
    <x v="5"/>
    <x v="10"/>
    <n v="229260026201.52002"/>
    <n v="2999444955977.73"/>
    <n v="0.1145957471461454"/>
  </r>
  <r>
    <x v="5"/>
    <x v="11"/>
    <n v="432250990161.73993"/>
    <n v="3007922214714.3101"/>
    <n v="8.615407029438038E-2"/>
  </r>
  <r>
    <x v="6"/>
    <x v="0"/>
    <n v="250360150464.03"/>
    <n v="3031124413995.2998"/>
    <n v="8.5504225236331388E-2"/>
  </r>
  <r>
    <x v="6"/>
    <x v="1"/>
    <n v="232209812950.87006"/>
    <n v="3077921828773.1196"/>
    <n v="9.6814380139750522E-2"/>
  </r>
  <r>
    <x v="6"/>
    <x v="2"/>
    <n v="317725881116.13"/>
    <n v="3090029047168.0796"/>
    <n v="8.3596244001574505E-2"/>
  </r>
  <r>
    <x v="6"/>
    <x v="3"/>
    <n v="247510351446.70996"/>
    <n v="3126950582166.0796"/>
    <n v="9.2760900670943114E-2"/>
  </r>
  <r>
    <x v="6"/>
    <x v="4"/>
    <n v="212876300248.79001"/>
    <n v="3119228018213.8096"/>
    <n v="7.537467739416881E-2"/>
  </r>
  <r>
    <x v="6"/>
    <x v="5"/>
    <n v="287917144769.06995"/>
    <n v="3131272447255.21"/>
    <n v="7.2669926203943858E-2"/>
  </r>
  <r>
    <x v="6"/>
    <x v="6"/>
    <n v="255512775129.06"/>
    <n v="3170838067817.5698"/>
    <n v="7.9968694730969236E-2"/>
  </r>
  <r>
    <x v="6"/>
    <x v="7"/>
    <n v="218786279255.13998"/>
    <n v="3185959406701.77"/>
    <n v="8.247130529390212E-2"/>
  </r>
  <r>
    <x v="6"/>
    <x v="8"/>
    <n v="298722890610.70996"/>
    <n v="3205274273199.4102"/>
    <n v="8.0625398941883475E-2"/>
  </r>
  <r>
    <x v="6"/>
    <x v="9"/>
    <n v="251521232460.92001"/>
    <n v="3234653834814.6899"/>
    <n v="8.4383730268578372E-2"/>
  </r>
  <r>
    <x v="6"/>
    <x v="10"/>
    <n v="236723941037.69995"/>
    <n v="3242117749650.8701"/>
    <n v="8.0905900003101161E-2"/>
  </r>
  <r>
    <x v="6"/>
    <x v="11"/>
    <n v="482442081789.67993"/>
    <n v="3292308841278.8096"/>
    <n v="9.4545871290594663E-2"/>
  </r>
  <r>
    <x v="7"/>
    <x v="0"/>
    <n v="274155135531.79004"/>
    <n v="3316103826346.5693"/>
    <n v="9.4017721950132804E-2"/>
  </r>
  <r>
    <x v="7"/>
    <x v="1"/>
    <n v="230660033237.29999"/>
    <n v="3314554046632.999"/>
    <n v="7.6880515823302353E-2"/>
  </r>
  <r>
    <x v="7"/>
    <x v="2"/>
    <n v="346225815145.28998"/>
    <n v="3343053980662.1592"/>
    <n v="8.1884322002076182E-2"/>
  </r>
  <r>
    <x v="7"/>
    <x v="3"/>
    <n v="281705580262.70001"/>
    <n v="3377249209478.1499"/>
    <n v="8.0045597375154376E-2"/>
  </r>
  <r>
    <x v="7"/>
    <x v="4"/>
    <n v="233846507399.95999"/>
    <n v="3398219416629.3198"/>
    <n v="8.9442450755899294E-2"/>
  </r>
  <r>
    <x v="7"/>
    <x v="5"/>
    <n v="307525011818.74994"/>
    <n v="3417827283679"/>
    <n v="9.151386257525318E-2"/>
  </r>
  <r>
    <x v="7"/>
    <x v="6"/>
    <n v="260237241275.96997"/>
    <n v="3422551749825.9102"/>
    <n v="7.9383959894738565E-2"/>
  </r>
  <r>
    <x v="7"/>
    <x v="7"/>
    <n v="232911660935.10999"/>
    <n v="3436677131505.8794"/>
    <n v="7.8694576044100462E-2"/>
  </r>
  <r>
    <x v="7"/>
    <x v="8"/>
    <n v="328025410780.56995"/>
    <n v="3465979651675.7393"/>
    <n v="8.1336371322788814E-2"/>
  </r>
  <r>
    <x v="7"/>
    <x v="9"/>
    <n v="264871586222.80002"/>
    <n v="3479330005437.6191"/>
    <n v="7.5642150016014487E-2"/>
  </r>
  <r>
    <x v="7"/>
    <x v="10"/>
    <n v="256825903691.15002"/>
    <n v="3499431968091.0693"/>
    <n v="7.9366092877998673E-2"/>
  </r>
  <r>
    <x v="7"/>
    <x v="11"/>
    <n v="505452605288.14001"/>
    <n v="3522442491589.5298"/>
    <n v="6.9900383410363975E-2"/>
  </r>
  <r>
    <x v="8"/>
    <x v="0"/>
    <n v="295184560584.12"/>
    <n v="3543471916641.8599"/>
    <n v="6.8564828546332723E-2"/>
  </r>
  <r>
    <x v="8"/>
    <x v="1"/>
    <n v="255560150694.95004"/>
    <n v="3568372034099.5098"/>
    <n v="7.6576813621230588E-2"/>
  </r>
  <r>
    <x v="8"/>
    <x v="2"/>
    <n v="396312065840.20996"/>
    <n v="3618458284794.4302"/>
    <n v="8.2381052093487783E-2"/>
  </r>
  <r>
    <x v="8"/>
    <x v="3"/>
    <n v="276203473118.89001"/>
    <n v="3612956177650.6206"/>
    <n v="6.9792589635069291E-2"/>
  </r>
  <r>
    <x v="8"/>
    <x v="4"/>
    <n v="242031013391.62997"/>
    <n v="3621140683642.2905"/>
    <n v="6.5599433021333642E-2"/>
  </r>
  <r>
    <x v="8"/>
    <x v="5"/>
    <n v="342387978699.25"/>
    <n v="3656003650522.7905"/>
    <n v="6.9686484153586026E-2"/>
  </r>
  <r>
    <x v="8"/>
    <x v="6"/>
    <n v="280614371879.58002"/>
    <n v="3676380781126.3999"/>
    <n v="7.4163679574282826E-2"/>
  </r>
  <r>
    <x v="8"/>
    <x v="7"/>
    <n v="267710195389.91"/>
    <n v="3711179315581.2007"/>
    <n v="7.9874301126169556E-2"/>
  </r>
  <r>
    <x v="8"/>
    <x v="8"/>
    <n v="348199342292.2301"/>
    <n v="3731353247092.8599"/>
    <n v="7.6565249103184296E-2"/>
  </r>
  <r>
    <x v="8"/>
    <x v="9"/>
    <n v="285723088094.75"/>
    <n v="3752204748964.8101"/>
    <n v="7.8427382024910841E-2"/>
  </r>
  <r>
    <x v="8"/>
    <x v="10"/>
    <n v="299173010463.96002"/>
    <n v="3794551855737.6201"/>
    <n v="8.4333654815280656E-2"/>
  </r>
  <r>
    <x v="8"/>
    <x v="11"/>
    <n v="572813865216.1001"/>
    <n v="3861913115665.5801"/>
    <n v="9.6373645527669582E-2"/>
  </r>
  <r>
    <x v="9"/>
    <x v="0"/>
    <n v="317229199475.97998"/>
    <n v="3883957754557.4399"/>
    <n v="9.6088199913901828E-2"/>
  </r>
  <r>
    <x v="9"/>
    <x v="1"/>
    <n v="276099392802.90002"/>
    <n v="3904496996665.3901"/>
    <n v="9.4195604985650716E-2"/>
  </r>
  <r>
    <x v="9"/>
    <x v="2"/>
    <n v="419932507678.67999"/>
    <n v="3928117438503.8604"/>
    <n v="8.5577649191283189E-2"/>
  </r>
  <r>
    <x v="9"/>
    <x v="3"/>
    <n v="315286741338.87006"/>
    <n v="3967200706723.8403"/>
    <n v="9.8048387983375118E-2"/>
  </r>
  <r>
    <x v="9"/>
    <x v="4"/>
    <n v="271137592421.00003"/>
    <n v="3996307285753.2104"/>
    <n v="0.10360453649471646"/>
  </r>
  <r>
    <x v="9"/>
    <x v="5"/>
    <n v="394330163941.81006"/>
    <n v="4048249470995.7705"/>
    <n v="0.10728813698446138"/>
  </r>
  <r>
    <x v="9"/>
    <x v="6"/>
    <n v="297827704962.25995"/>
    <n v="4065462804078.4502"/>
    <n v="0.10583289547956998"/>
  </r>
  <r>
    <x v="9"/>
    <x v="7"/>
    <n v="266598106437.24002"/>
    <n v="4064350715125.7808"/>
    <n v="9.5164197014627527E-2"/>
  </r>
  <r>
    <x v="9"/>
    <x v="8"/>
    <n v="383780078384.06006"/>
    <n v="4099931451217.6099"/>
    <n v="9.8778694944498646E-2"/>
  </r>
  <r>
    <x v="9"/>
    <x v="9"/>
    <n v="311661497291.60004"/>
    <n v="4125869860414.46"/>
    <n v="9.9585480124116277E-2"/>
  </r>
  <r>
    <x v="9"/>
    <x v="10"/>
    <n v="315676559718.41998"/>
    <n v="4142373409668.9199"/>
    <n v="9.166340773690318E-2"/>
  </r>
  <r>
    <x v="9"/>
    <x v="11"/>
    <n v="598180172861.68994"/>
    <n v="4167739717314.5103"/>
    <n v="7.9190440719229649E-2"/>
  </r>
  <r>
    <x v="10"/>
    <x v="0"/>
    <n v="343836014845.53992"/>
    <n v="4194346532684.0703"/>
    <n v="7.9915590678714121E-2"/>
  </r>
  <r>
    <x v="10"/>
    <x v="1"/>
    <n v="280392279972.29999"/>
    <n v="4198639419853.4697"/>
    <n v="7.5334268009244143E-2"/>
  </r>
  <r>
    <x v="10"/>
    <x v="2"/>
    <n v="474822059145.46002"/>
    <n v="4253528971320.25"/>
    <n v="8.2841599802151666E-2"/>
  </r>
  <r>
    <x v="10"/>
    <x v="3"/>
    <n v="306436207133.71002"/>
    <n v="4244678437115.0898"/>
    <n v="6.9942952450317009E-2"/>
  </r>
  <r>
    <x v="10"/>
    <x v="4"/>
    <n v="300587597761.12994"/>
    <n v="4274128442455.2197"/>
    <n v="6.9519468058033995E-2"/>
  </r>
  <r>
    <x v="10"/>
    <x v="5"/>
    <n v="423549453791.07001"/>
    <n v="4303347732304.4795"/>
    <n v="6.3014461716451642E-2"/>
  </r>
  <r>
    <x v="10"/>
    <x v="6"/>
    <n v="291373542911.82001"/>
    <n v="4296893570254.0391"/>
    <n v="5.6926056719401874E-2"/>
  </r>
  <r>
    <x v="10"/>
    <x v="7"/>
    <n v="284514930615.25006"/>
    <n v="4314810394432.0493"/>
    <n v="6.1623540107935248E-2"/>
  </r>
  <r>
    <x v="10"/>
    <x v="8"/>
    <n v="415992794020.99005"/>
    <n v="4347023110068.98"/>
    <n v="6.0267265877820497E-2"/>
  </r>
  <r>
    <x v="10"/>
    <x v="9"/>
    <n v="309435440716.63"/>
    <n v="4344797053494.0098"/>
    <n v="5.3062069451109029E-2"/>
  </r>
  <r>
    <x v="10"/>
    <x v="10"/>
    <n v="332454415156.19"/>
    <n v="4361574908931.7793"/>
    <n v="5.2916885462621632E-2"/>
  </r>
  <r>
    <x v="10"/>
    <x v="11"/>
    <n v="627474094770.12"/>
    <n v="4390868830840.21"/>
    <n v="5.3537199695731896E-2"/>
  </r>
  <r>
    <x v="11"/>
    <x v="0"/>
    <n v="374171218049.09998"/>
    <n v="4421204034043.7705"/>
    <n v="5.4086494664170814E-2"/>
  </r>
  <r>
    <x v="11"/>
    <x v="1"/>
    <n v="278293190741.60999"/>
    <n v="4419104944813.0801"/>
    <n v="5.2508801760191348E-2"/>
  </r>
  <r>
    <x v="11"/>
    <x v="2"/>
    <n v="462009571448.65002"/>
    <n v="4406292457116.2705"/>
    <n v="3.5914528107376276E-2"/>
  </r>
  <r>
    <x v="11"/>
    <x v="3"/>
    <n v="350885506249.38"/>
    <n v="4450741756231.9404"/>
    <n v="4.8546273214727265E-2"/>
  </r>
  <r>
    <x v="11"/>
    <x v="4"/>
    <n v="268299827205.63995"/>
    <n v="4418453985676.4502"/>
    <n v="3.3767245220717834E-2"/>
  </r>
  <r>
    <x v="11"/>
    <x v="5"/>
    <n v="418059690573.59003"/>
    <n v="4412964222458.9697"/>
    <n v="2.5472375688261994E-2"/>
  </r>
  <r>
    <x v="11"/>
    <x v="6"/>
    <n v="326698737843.93994"/>
    <n v="4448289417391.0898"/>
    <n v="3.523379033288454E-2"/>
  </r>
  <r>
    <x v="11"/>
    <x v="7"/>
    <n v="60551049271.609993"/>
    <n v="4224325536047.4497"/>
    <n v="-2.0970761195292287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4">
  <r>
    <x v="0"/>
    <x v="0"/>
    <n v="8.2019654064255237E-2"/>
  </r>
  <r>
    <x v="0"/>
    <x v="1"/>
    <n v="6.4386795529464275E-2"/>
  </r>
  <r>
    <x v="0"/>
    <x v="2"/>
    <n v="9.1589707360401187E-2"/>
  </r>
  <r>
    <x v="0"/>
    <x v="3"/>
    <n v="7.62608880539139E-2"/>
  </r>
  <r>
    <x v="0"/>
    <x v="4"/>
    <n v="6.9707476069998567E-2"/>
  </r>
  <r>
    <x v="0"/>
    <x v="5"/>
    <n v="7.3816447325592824E-2"/>
  </r>
  <r>
    <x v="0"/>
    <x v="6"/>
    <n v="8.5314030321693421E-2"/>
  </r>
  <r>
    <x v="0"/>
    <x v="7"/>
    <n v="7.0348142123325311E-2"/>
  </r>
  <r>
    <x v="0"/>
    <x v="8"/>
    <n v="7.370471293018975E-2"/>
  </r>
  <r>
    <x v="0"/>
    <x v="9"/>
    <n v="9.2648281396882512E-2"/>
  </r>
  <r>
    <x v="0"/>
    <x v="10"/>
    <n v="8.0235128351227786E-2"/>
  </r>
  <r>
    <x v="0"/>
    <x v="11"/>
    <n v="0.13996873647305513"/>
  </r>
  <r>
    <x v="1"/>
    <x v="0"/>
    <n v="8.0083980580000394E-2"/>
  </r>
  <r>
    <x v="1"/>
    <x v="1"/>
    <n v="6.9095275782335264E-2"/>
  </r>
  <r>
    <x v="1"/>
    <x v="2"/>
    <n v="0.10289563913194559"/>
  </r>
  <r>
    <x v="1"/>
    <x v="3"/>
    <n v="9.1901321697973326E-2"/>
  </r>
  <r>
    <x v="1"/>
    <x v="4"/>
    <n v="6.8481210638442647E-2"/>
  </r>
  <r>
    <x v="1"/>
    <x v="5"/>
    <n v="7.492965967068782E-2"/>
  </r>
  <r>
    <x v="1"/>
    <x v="6"/>
    <n v="9.3525548858840041E-2"/>
  </r>
  <r>
    <x v="1"/>
    <x v="7"/>
    <n v="6.9630046702594026E-2"/>
  </r>
  <r>
    <x v="1"/>
    <x v="8"/>
    <n v="7.6451380773792862E-2"/>
  </r>
  <r>
    <x v="1"/>
    <x v="9"/>
    <n v="9.0149225806774036E-2"/>
  </r>
  <r>
    <x v="1"/>
    <x v="10"/>
    <n v="6.5428981011212112E-2"/>
  </r>
  <r>
    <x v="1"/>
    <x v="11"/>
    <n v="0.1174277293454018"/>
  </r>
  <r>
    <x v="2"/>
    <x v="0"/>
    <n v="8.7535498600532058E-2"/>
  </r>
  <r>
    <x v="2"/>
    <x v="1"/>
    <n v="6.7578080237904306E-2"/>
  </r>
  <r>
    <x v="2"/>
    <x v="2"/>
    <n v="0.10031129818458204"/>
  </r>
  <r>
    <x v="2"/>
    <x v="3"/>
    <n v="7.6553027475829427E-2"/>
  </r>
  <r>
    <x v="2"/>
    <x v="4"/>
    <n v="6.4735720011330336E-2"/>
  </r>
  <r>
    <x v="2"/>
    <x v="5"/>
    <n v="7.447323489717203E-2"/>
  </r>
  <r>
    <x v="2"/>
    <x v="6"/>
    <n v="9.2055952163510424E-2"/>
  </r>
  <r>
    <x v="2"/>
    <x v="7"/>
    <n v="6.645164537615196E-2"/>
  </r>
  <r>
    <x v="2"/>
    <x v="8"/>
    <n v="7.8924367469881324E-2"/>
  </r>
  <r>
    <x v="2"/>
    <x v="9"/>
    <n v="8.9953044496936585E-2"/>
  </r>
  <r>
    <x v="2"/>
    <x v="10"/>
    <n v="7.1686620381990071E-2"/>
  </r>
  <r>
    <x v="2"/>
    <x v="11"/>
    <n v="0.12974151070417961"/>
  </r>
  <r>
    <x v="3"/>
    <x v="0"/>
    <n v="8.0742510218215324E-2"/>
  </r>
  <r>
    <x v="3"/>
    <x v="1"/>
    <n v="6.270678118379916E-2"/>
  </r>
  <r>
    <x v="3"/>
    <x v="2"/>
    <n v="0.10487817399244161"/>
  </r>
  <r>
    <x v="3"/>
    <x v="3"/>
    <n v="7.0921350755861826E-2"/>
  </r>
  <r>
    <x v="3"/>
    <x v="4"/>
    <n v="6.6107551155408159E-2"/>
  </r>
  <r>
    <x v="3"/>
    <x v="5"/>
    <n v="8.2325717713674335E-2"/>
  </r>
  <r>
    <x v="3"/>
    <x v="6"/>
    <n v="7.8012310908442725E-2"/>
  </r>
  <r>
    <x v="3"/>
    <x v="7"/>
    <n v="6.9174761564246678E-2"/>
  </r>
  <r>
    <x v="3"/>
    <x v="8"/>
    <n v="9.2815036519489108E-2"/>
  </r>
  <r>
    <x v="3"/>
    <x v="9"/>
    <n v="7.9235978976460314E-2"/>
  </r>
  <r>
    <x v="3"/>
    <x v="10"/>
    <n v="7.44161454011881E-2"/>
  </r>
  <r>
    <x v="3"/>
    <x v="11"/>
    <n v="0.13866368161077255"/>
  </r>
  <r>
    <x v="4"/>
    <x v="0"/>
    <n v="7.3709262849881427E-2"/>
  </r>
  <r>
    <x v="4"/>
    <x v="1"/>
    <n v="6.1942753424268159E-2"/>
  </r>
  <r>
    <x v="4"/>
    <x v="2"/>
    <n v="9.3962658215046874E-2"/>
  </r>
  <r>
    <x v="4"/>
    <x v="3"/>
    <n v="7.2478572593411936E-2"/>
  </r>
  <r>
    <x v="4"/>
    <x v="4"/>
    <n v="6.5545149599276903E-2"/>
  </r>
  <r>
    <x v="4"/>
    <x v="5"/>
    <n v="9.292142700024629E-2"/>
  </r>
  <r>
    <x v="4"/>
    <x v="6"/>
    <n v="7.187280281093178E-2"/>
  </r>
  <r>
    <x v="4"/>
    <x v="7"/>
    <n v="7.0949806281074126E-2"/>
  </r>
  <r>
    <x v="4"/>
    <x v="8"/>
    <n v="9.26239908150783E-2"/>
  </r>
  <r>
    <x v="4"/>
    <x v="9"/>
    <n v="7.4143688844794817E-2"/>
  </r>
  <r>
    <x v="4"/>
    <x v="10"/>
    <n v="7.682612883325475E-2"/>
  </r>
  <r>
    <x v="4"/>
    <x v="11"/>
    <n v="0.15302375873273452"/>
  </r>
  <r>
    <x v="5"/>
    <x v="0"/>
    <n v="7.5519888802914159E-2"/>
  </r>
  <r>
    <x v="5"/>
    <x v="1"/>
    <n v="6.1641354043678376E-2"/>
  </r>
  <r>
    <x v="5"/>
    <x v="2"/>
    <n v="0.10160457648343728"/>
  </r>
  <r>
    <x v="5"/>
    <x v="3"/>
    <n v="7.0011390393854178E-2"/>
  </r>
  <r>
    <x v="5"/>
    <x v="4"/>
    <n v="7.3339284879749556E-2"/>
  </r>
  <r>
    <x v="5"/>
    <x v="5"/>
    <n v="9.1715375609828467E-2"/>
  </r>
  <r>
    <x v="5"/>
    <x v="6"/>
    <n v="7.1792798866379723E-2"/>
  </r>
  <r>
    <x v="5"/>
    <x v="7"/>
    <n v="6.7709510363878844E-2"/>
  </r>
  <r>
    <x v="5"/>
    <x v="8"/>
    <n v="9.2890707993128041E-2"/>
  </r>
  <r>
    <x v="5"/>
    <x v="9"/>
    <n v="7.3852199288583942E-2"/>
  </r>
  <r>
    <x v="5"/>
    <x v="10"/>
    <n v="7.6218735005850191E-2"/>
  </r>
  <r>
    <x v="5"/>
    <x v="11"/>
    <n v="0.14370417826871723"/>
  </r>
  <r>
    <x v="6"/>
    <x v="0"/>
    <n v="7.6043944397022084E-2"/>
  </r>
  <r>
    <x v="6"/>
    <x v="1"/>
    <n v="7.053099333799874E-2"/>
  </r>
  <r>
    <x v="6"/>
    <x v="2"/>
    <n v="9.6505490958958107E-2"/>
  </r>
  <r>
    <x v="6"/>
    <x v="3"/>
    <n v="7.5178351539635979E-2"/>
  </r>
  <r>
    <x v="6"/>
    <x v="4"/>
    <n v="6.4658666762898193E-2"/>
  </r>
  <r>
    <x v="6"/>
    <x v="5"/>
    <n v="8.7451438686182367E-2"/>
  </r>
  <r>
    <x v="6"/>
    <x v="6"/>
    <n v="7.7608993398630505E-2"/>
  </r>
  <r>
    <x v="6"/>
    <x v="7"/>
    <n v="6.6453753217805139E-2"/>
  </r>
  <r>
    <x v="6"/>
    <x v="8"/>
    <n v="9.0733556604816884E-2"/>
  </r>
  <r>
    <x v="6"/>
    <x v="9"/>
    <n v="7.6396609366460075E-2"/>
  </r>
  <r>
    <x v="6"/>
    <x v="10"/>
    <n v="7.1902106530732049E-2"/>
  </r>
  <r>
    <x v="6"/>
    <x v="11"/>
    <n v="0.14653609519885996"/>
  </r>
  <r>
    <x v="7"/>
    <x v="0"/>
    <n v="7.783097557628979E-2"/>
  </r>
  <r>
    <x v="7"/>
    <x v="1"/>
    <n v="6.509435905333659E-2"/>
  </r>
  <r>
    <x v="7"/>
    <x v="2"/>
    <n v="9.7026266274015671E-2"/>
  </r>
  <r>
    <x v="7"/>
    <x v="3"/>
    <n v="7.785237747426571E-2"/>
  </r>
  <r>
    <x v="7"/>
    <x v="4"/>
    <n v="6.4724423962435718E-2"/>
  </r>
  <r>
    <x v="7"/>
    <x v="5"/>
    <n v="8.4924900379575632E-2"/>
  </r>
  <r>
    <x v="7"/>
    <x v="6"/>
    <n v="7.1180793607456411E-2"/>
  </r>
  <r>
    <x v="7"/>
    <x v="7"/>
    <n v="6.3353519344573603E-2"/>
  </r>
  <r>
    <x v="7"/>
    <x v="8"/>
    <n v="8.8388456306428442E-2"/>
  </r>
  <r>
    <x v="7"/>
    <x v="9"/>
    <n v="7.0985395561024539E-2"/>
  </r>
  <r>
    <x v="7"/>
    <x v="10"/>
    <n v="6.8446665593610082E-2"/>
  </r>
  <r>
    <x v="7"/>
    <x v="11"/>
    <n v="0.13320482220419819"/>
  </r>
  <r>
    <x v="8"/>
    <x v="0"/>
    <n v="8.9746322049655644E-2"/>
  </r>
  <r>
    <x v="8"/>
    <x v="1"/>
    <n v="7.7699130137233119E-2"/>
  </r>
  <r>
    <x v="8"/>
    <x v="2"/>
    <n v="0.12049258342874603"/>
  </r>
  <r>
    <x v="8"/>
    <x v="3"/>
    <n v="8.3975414570157697E-2"/>
  </r>
  <r>
    <x v="8"/>
    <x v="4"/>
    <n v="7.3585804185919479E-2"/>
  </r>
  <r>
    <x v="8"/>
    <x v="5"/>
    <n v="0.10409779475412916"/>
  </r>
  <r>
    <x v="8"/>
    <x v="6"/>
    <n v="8.5316480444070503E-2"/>
  </r>
  <r>
    <x v="8"/>
    <x v="7"/>
    <n v="8.1393164208506452E-2"/>
  </r>
  <r>
    <x v="8"/>
    <x v="8"/>
    <n v="0.10586465040379857"/>
  </r>
  <r>
    <x v="8"/>
    <x v="9"/>
    <n v="8.6869706973939392E-2"/>
  </r>
  <r>
    <x v="8"/>
    <x v="10"/>
    <n v="9.0958948843844034E-2"/>
  </r>
  <r>
    <x v="8"/>
    <x v="11"/>
    <n v="0.17415523874441333"/>
  </r>
  <r>
    <x v="9"/>
    <x v="0"/>
    <n v="7.6115405709737349E-2"/>
  </r>
  <r>
    <x v="9"/>
    <x v="1"/>
    <n v="6.6246793593148154E-2"/>
  </r>
  <r>
    <x v="9"/>
    <x v="2"/>
    <n v="0.10075785345570097"/>
  </r>
  <r>
    <x v="9"/>
    <x v="3"/>
    <n v="7.5649335784823329E-2"/>
  </r>
  <r>
    <x v="9"/>
    <x v="4"/>
    <n v="6.5056268100088549E-2"/>
  </r>
  <r>
    <x v="9"/>
    <x v="5"/>
    <n v="9.4614872973856762E-2"/>
  </r>
  <r>
    <x v="9"/>
    <x v="6"/>
    <n v="7.1460245879789663E-2"/>
  </r>
  <r>
    <x v="9"/>
    <x v="7"/>
    <n v="6.3967071967014039E-2"/>
  </r>
  <r>
    <x v="9"/>
    <x v="8"/>
    <n v="9.2083504348815085E-2"/>
  </r>
  <r>
    <x v="9"/>
    <x v="9"/>
    <n v="7.4779501223847925E-2"/>
  </r>
  <r>
    <x v="9"/>
    <x v="10"/>
    <n v="7.574286810833443E-2"/>
  </r>
  <r>
    <x v="9"/>
    <x v="11"/>
    <n v="0.14352627885484373"/>
  </r>
  <r>
    <x v="10"/>
    <x v="0"/>
    <n v="7.8307056778953138E-2"/>
  </r>
  <r>
    <x v="10"/>
    <x v="1"/>
    <n v="6.3858040577961378E-2"/>
  </r>
  <r>
    <x v="10"/>
    <x v="2"/>
    <n v="0.10813852051567684"/>
  </r>
  <r>
    <x v="10"/>
    <x v="3"/>
    <n v="6.9789424129773486E-2"/>
  </r>
  <r>
    <x v="10"/>
    <x v="4"/>
    <n v="6.8457430486169021E-2"/>
  </r>
  <r>
    <x v="10"/>
    <x v="5"/>
    <n v="9.6461422581376036E-2"/>
  </r>
  <r>
    <x v="10"/>
    <x v="6"/>
    <n v="6.6358972252893403E-2"/>
  </r>
  <r>
    <x v="10"/>
    <x v="7"/>
    <n v="6.4796955130360157E-2"/>
  </r>
  <r>
    <x v="10"/>
    <x v="8"/>
    <n v="9.4740428386103304E-2"/>
  </r>
  <r>
    <x v="10"/>
    <x v="9"/>
    <n v="7.0472485660068862E-2"/>
  </r>
  <r>
    <x v="10"/>
    <x v="10"/>
    <n v="7.5714950267046249E-2"/>
  </r>
  <r>
    <x v="10"/>
    <x v="11"/>
    <n v="0.14290431323361813"/>
  </r>
  <r>
    <x v="11"/>
    <x v="0"/>
    <n v="0.13873499876369011"/>
  </r>
  <r>
    <x v="11"/>
    <x v="1"/>
    <n v="0.10318539644707315"/>
  </r>
  <r>
    <x v="11"/>
    <x v="2"/>
    <n v="0.17130365520345942"/>
  </r>
  <r>
    <x v="11"/>
    <x v="3"/>
    <n v="0.13010113532921858"/>
  </r>
  <r>
    <x v="11"/>
    <x v="4"/>
    <n v="9.9480062602752786E-2"/>
  </r>
  <r>
    <x v="11"/>
    <x v="5"/>
    <n v="0.15500794250632285"/>
  </r>
  <r>
    <x v="11"/>
    <x v="6"/>
    <n v="0.12113317862126555"/>
  </r>
  <r>
    <x v="11"/>
    <x v="7"/>
    <n v="8.1053630526217599E-2"/>
  </r>
  <r>
    <x v="11"/>
    <x v="8"/>
    <n v="0"/>
  </r>
  <r>
    <x v="11"/>
    <x v="9"/>
    <n v="0"/>
  </r>
  <r>
    <x v="11"/>
    <x v="10"/>
    <n v="0"/>
  </r>
  <r>
    <x v="11"/>
    <x v="11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2">
  <r>
    <x v="0"/>
    <x v="0"/>
    <n v="166413106592.45999"/>
    <s v="n.a."/>
    <s v="n.a"/>
  </r>
  <r>
    <x v="0"/>
    <x v="1"/>
    <n v="130637062419.18004"/>
    <n v="-0.21498333217764065"/>
    <s v="n.a"/>
  </r>
  <r>
    <x v="0"/>
    <x v="2"/>
    <n v="185830187991.25998"/>
    <n v="0.42249209029960944"/>
    <s v="n.a"/>
  </r>
  <r>
    <x v="0"/>
    <x v="3"/>
    <n v="154728905374.43002"/>
    <n v="-0.16736399480095621"/>
    <s v="n.a"/>
  </r>
  <r>
    <x v="0"/>
    <x v="4"/>
    <n v="141432413704.65002"/>
    <n v="-8.593411578530652E-2"/>
    <s v="n.a"/>
  </r>
  <r>
    <x v="0"/>
    <x v="5"/>
    <n v="149769277342.32001"/>
    <n v="5.8945919250728895E-2"/>
    <s v="n.a"/>
  </r>
  <r>
    <x v="0"/>
    <x v="6"/>
    <n v="173097204368.04001"/>
    <n v="0.15575909451976955"/>
    <s v="n.a"/>
  </r>
  <r>
    <x v="0"/>
    <x v="7"/>
    <n v="142732287856.02002"/>
    <n v="-0.17542118385377259"/>
    <s v="n.a"/>
  </r>
  <r>
    <x v="0"/>
    <x v="8"/>
    <n v="149542574754.20999"/>
    <n v="4.7713709353974565E-2"/>
    <s v="n.a"/>
  </r>
  <r>
    <x v="0"/>
    <x v="9"/>
    <n v="187977973128.60001"/>
    <n v="0.25701977137656562"/>
    <s v="n.a"/>
  </r>
  <r>
    <x v="0"/>
    <x v="10"/>
    <n v="162792407735.73996"/>
    <n v="-0.13398147119944759"/>
    <s v="n.a"/>
  </r>
  <r>
    <x v="0"/>
    <x v="11"/>
    <n v="283988423604.59998"/>
    <n v="0.7444819912338716"/>
    <s v="n.a"/>
  </r>
  <r>
    <x v="1"/>
    <x v="0"/>
    <n v="192888563839.37"/>
    <n v="-0.32078723001776033"/>
    <n v="0.15909478399287069"/>
  </r>
  <r>
    <x v="1"/>
    <x v="1"/>
    <n v="166421404345.97995"/>
    <n v="-0.13721476777353614"/>
    <n v="0.27392182022569789"/>
  </r>
  <r>
    <x v="1"/>
    <x v="2"/>
    <n v="247832237031.07999"/>
    <n v="0.4891848678061379"/>
    <n v="0.3336489604301327"/>
  </r>
  <r>
    <x v="1"/>
    <x v="3"/>
    <n v="221351559061.85001"/>
    <n v="-0.10684920689276234"/>
    <n v="0.43057664969708886"/>
  </r>
  <r>
    <x v="1"/>
    <x v="4"/>
    <n v="164942380165.97006"/>
    <n v="-0.25483976320274349"/>
    <n v="0.16622757008457301"/>
  </r>
  <r>
    <x v="1"/>
    <x v="5"/>
    <n v="180473976670.19992"/>
    <n v="9.4163770939897251E-2"/>
    <n v="0.20501333699901436"/>
  </r>
  <r>
    <x v="1"/>
    <x v="6"/>
    <n v="225263637883.85001"/>
    <n v="0.24817794808998528"/>
    <n v="0.30137074545059384"/>
  </r>
  <r>
    <x v="1"/>
    <x v="7"/>
    <n v="167709442153.84998"/>
    <n v="-0.25549705345554263"/>
    <n v="0.17499302136196015"/>
  </r>
  <r>
    <x v="1"/>
    <x v="8"/>
    <n v="184139161592.53003"/>
    <n v="9.7965381243162675E-2"/>
    <n v="0.23134941266848874"/>
  </r>
  <r>
    <x v="1"/>
    <x v="9"/>
    <n v="217131498349.14999"/>
    <n v="0.17917066891847067"/>
    <n v="0.15509011367308134"/>
  </r>
  <r>
    <x v="1"/>
    <x v="10"/>
    <n v="157590845126.87009"/>
    <n v="-0.2742147209178184"/>
    <n v="-3.1952120379677318E-2"/>
  </r>
  <r>
    <x v="1"/>
    <x v="11"/>
    <n v="282833918897.5"/>
    <n v="0.79473572002105652"/>
    <n v="-4.0653231298871662E-3"/>
  </r>
  <r>
    <x v="2"/>
    <x v="0"/>
    <n v="198030678159.13995"/>
    <n v="-0.29983405480123138"/>
    <n v="2.6658471696912489E-2"/>
  </r>
  <r>
    <x v="2"/>
    <x v="1"/>
    <n v="152881211304.64001"/>
    <n v="-0.2279922852065237"/>
    <n v="-8.1360886807508859E-2"/>
  </r>
  <r>
    <x v="2"/>
    <x v="2"/>
    <n v="226933241074.79001"/>
    <n v="0.48437626270889234"/>
    <n v="-8.4327189257744073E-2"/>
  </r>
  <r>
    <x v="2"/>
    <x v="3"/>
    <n v="173185144181.96997"/>
    <n v="-0.23684541162088446"/>
    <n v="-0.21760142591280052"/>
  </r>
  <r>
    <x v="2"/>
    <x v="4"/>
    <n v="146450968349.03998"/>
    <n v="-0.15436760444556219"/>
    <n v="-0.11210831199551907"/>
  </r>
  <r>
    <x v="2"/>
    <x v="5"/>
    <n v="168480050347.28006"/>
    <n v="0.15041950385563618"/>
    <n v="-6.6457926756042451E-2"/>
  </r>
  <r>
    <x v="2"/>
    <x v="6"/>
    <n v="208257254793.47998"/>
    <n v="0.23609444776523403"/>
    <n v="-7.5495465003272422E-2"/>
  </r>
  <r>
    <x v="2"/>
    <x v="7"/>
    <n v="150332889045.20004"/>
    <n v="-0.27813852538160611"/>
    <n v="-0.10361106020917643"/>
  </r>
  <r>
    <x v="2"/>
    <x v="8"/>
    <n v="178549802802.47998"/>
    <n v="0.18769621163068351"/>
    <n v="-3.035399282646023E-2"/>
  </r>
  <r>
    <x v="2"/>
    <x v="9"/>
    <n v="203499867927.85995"/>
    <n v="0.1397372874893672"/>
    <n v="-6.2780529425400133E-2"/>
  </r>
  <r>
    <x v="2"/>
    <x v="10"/>
    <n v="162175920353.94003"/>
    <n v="-0.20306621323493501"/>
    <n v="2.9094807019904634E-2"/>
  </r>
  <r>
    <x v="2"/>
    <x v="11"/>
    <n v="293512914884.84009"/>
    <n v="0.8098427574467546"/>
    <n v="3.7757126263240792E-2"/>
  </r>
  <r>
    <x v="3"/>
    <x v="0"/>
    <n v="201182242362.67007"/>
    <n v="-0.31457107282109198"/>
    <n v="1.5914525127250556E-2"/>
  </r>
  <r>
    <x v="3"/>
    <x v="1"/>
    <n v="156243480860.4201"/>
    <n v="-0.22337340003020312"/>
    <n v="2.1992693065992608E-2"/>
  </r>
  <r>
    <x v="3"/>
    <x v="2"/>
    <n v="261319918859.0701"/>
    <n v="0.67251726228833753"/>
    <n v="0.15152772516454438"/>
  </r>
  <r>
    <x v="3"/>
    <x v="3"/>
    <n v="176711330102.23001"/>
    <n v="-0.32377397454523749"/>
    <n v="2.0360787508165279E-2"/>
  </r>
  <r>
    <x v="3"/>
    <x v="4"/>
    <n v="164717016384.63007"/>
    <n v="-6.7875182144014556E-2"/>
    <n v="0.124724665473404"/>
  </r>
  <r>
    <x v="3"/>
    <x v="5"/>
    <n v="205127044588.92007"/>
    <n v="0.2453300156307392"/>
    <n v="0.21751533291983982"/>
  </r>
  <r>
    <x v="3"/>
    <x v="6"/>
    <n v="194379535613.12003"/>
    <n v="-5.239440268511808E-2"/>
    <n v="-6.6637386506039897E-2"/>
  </r>
  <r>
    <x v="3"/>
    <x v="7"/>
    <n v="172359437535.27997"/>
    <n v="-0.11328403480532734"/>
    <n v="0.14651849392355709"/>
  </r>
  <r>
    <x v="3"/>
    <x v="8"/>
    <n v="231262777457.60999"/>
    <n v="0.34174711152833259"/>
    <n v="0.29522841150064738"/>
  </r>
  <r>
    <x v="3"/>
    <x v="9"/>
    <n v="197428490682.34003"/>
    <n v="-0.14630234552757504"/>
    <n v="-2.9834796982139644E-2"/>
  </r>
  <r>
    <x v="3"/>
    <x v="10"/>
    <n v="185419142398.91998"/>
    <n v="-6.0828851205386281E-2"/>
    <n v="0.14332104294060977"/>
  </r>
  <r>
    <x v="3"/>
    <x v="11"/>
    <n v="345501648701.84003"/>
    <n v="0.8633547983870542"/>
    <n v="0.17712588162397469"/>
  </r>
  <r>
    <x v="4"/>
    <x v="0"/>
    <n v="204125487552.86996"/>
    <n v="-0.40919098846609103"/>
    <n v="1.4629746421128464E-2"/>
  </r>
  <r>
    <x v="4"/>
    <x v="1"/>
    <n v="171540105737.41998"/>
    <n v="-0.15963406728917251"/>
    <n v="9.7902483948530961E-2"/>
  </r>
  <r>
    <x v="4"/>
    <x v="2"/>
    <n v="260213881923.81003"/>
    <n v="0.51692737278665812"/>
    <n v="-4.2325014491396695E-3"/>
  </r>
  <r>
    <x v="4"/>
    <x v="3"/>
    <n v="200717296520.76001"/>
    <n v="-0.22864493225027271"/>
    <n v="0.13584848467068977"/>
  </r>
  <r>
    <x v="4"/>
    <x v="4"/>
    <n v="181516340028.07993"/>
    <n v="-9.5661693463941933E-2"/>
    <n v="0.10198899914640158"/>
  </r>
  <r>
    <x v="4"/>
    <x v="5"/>
    <n v="257330366051.33002"/>
    <n v="0.41767053044107172"/>
    <n v="0.25449263195414695"/>
  </r>
  <r>
    <x v="4"/>
    <x v="6"/>
    <n v="199039718324.85004"/>
    <n v="-0.22652067309791446"/>
    <n v="2.3974657090473306E-2"/>
  </r>
  <r>
    <x v="4"/>
    <x v="7"/>
    <n v="196483633656.75998"/>
    <n v="-1.284208342738058E-2"/>
    <n v="0.13996446302246768"/>
  </r>
  <r>
    <x v="4"/>
    <x v="8"/>
    <n v="256506666234.42999"/>
    <n v="0.30548616930876338"/>
    <n v="0.10915673094623779"/>
  </r>
  <r>
    <x v="4"/>
    <x v="9"/>
    <n v="205328557758.55005"/>
    <n v="-0.19951960402115465"/>
    <n v="4.0014827894931937E-2"/>
  </r>
  <r>
    <x v="4"/>
    <x v="10"/>
    <n v="212757127103.90988"/>
    <n v="3.6178938898968172E-2"/>
    <n v="0.14743884774406735"/>
  </r>
  <r>
    <x v="4"/>
    <x v="11"/>
    <n v="423773731425.15997"/>
    <n v="0.99181920339707474"/>
    <n v="0.22654619165324719"/>
  </r>
  <r>
    <x v="5"/>
    <x v="0"/>
    <n v="227157951183.03998"/>
    <n v="-0.46396405832163545"/>
    <n v="0.11283482482413887"/>
  </r>
  <r>
    <x v="5"/>
    <x v="1"/>
    <n v="185412398173.04996"/>
    <n v="-0.18377324144974427"/>
    <n v="8.086909108511664E-2"/>
  </r>
  <r>
    <x v="5"/>
    <x v="2"/>
    <n v="305618662721.17017"/>
    <n v="0.648318374243392"/>
    <n v="0.17449023265659025"/>
  </r>
  <r>
    <x v="5"/>
    <x v="3"/>
    <n v="210588816448.71002"/>
    <n v="-0.31094254986371761"/>
    <n v="4.9181212078197811E-2"/>
  </r>
  <r>
    <x v="5"/>
    <x v="4"/>
    <n v="220598864201.06"/>
    <n v="4.7533615132824281E-2"/>
    <n v="0.2153113277126133"/>
  </r>
  <r>
    <x v="5"/>
    <x v="5"/>
    <n v="275872715727.67004"/>
    <n v="0.25056272037843264"/>
    <n v="7.2056593867516394E-2"/>
  </r>
  <r>
    <x v="5"/>
    <x v="6"/>
    <n v="215947154566.69992"/>
    <n v="-0.21722177563991552"/>
    <n v="8.4945037021482817E-2"/>
  </r>
  <r>
    <x v="5"/>
    <x v="7"/>
    <n v="203664940370.93997"/>
    <n v="-5.687601774797324E-2"/>
    <n v="3.6549134299526997E-2"/>
  </r>
  <r>
    <x v="5"/>
    <x v="8"/>
    <n v="279408024113.06995"/>
    <n v="0.37190045377558478"/>
    <n v="8.9281725948243462E-2"/>
  </r>
  <r>
    <x v="5"/>
    <x v="9"/>
    <n v="222141670845.63998"/>
    <n v="-0.20495600815048742"/>
    <n v="8.1883948685115726E-2"/>
  </r>
  <r>
    <x v="5"/>
    <x v="10"/>
    <n v="229260026201.52002"/>
    <n v="3.2044214526622428E-2"/>
    <n v="7.7566844985409888E-2"/>
  </r>
  <r>
    <x v="5"/>
    <x v="11"/>
    <n v="432250990161.73993"/>
    <n v="0.88541804397156643"/>
    <n v="2.0004210048770066E-2"/>
  </r>
  <r>
    <x v="6"/>
    <x v="0"/>
    <n v="250360150464.03"/>
    <n v="-0.42079912790864837"/>
    <n v="0.10214125968363796"/>
  </r>
  <r>
    <x v="6"/>
    <x v="1"/>
    <n v="232209812950.87006"/>
    <n v="-7.2496910868279918E-2"/>
    <n v="0.2523963620498717"/>
  </r>
  <r>
    <x v="6"/>
    <x v="2"/>
    <n v="317725881116.13"/>
    <n v="0.36827069053861683"/>
    <n v="3.9615441960119346E-2"/>
  </r>
  <r>
    <x v="6"/>
    <x v="3"/>
    <n v="247510351446.70996"/>
    <n v="-0.22099405129592198"/>
    <n v="0.17532524101056612"/>
  </r>
  <r>
    <x v="6"/>
    <x v="4"/>
    <n v="212876300248.79001"/>
    <n v="-0.13992970797173632"/>
    <n v="-3.500726978009927E-2"/>
  </r>
  <r>
    <x v="6"/>
    <x v="5"/>
    <n v="287917144769.06995"/>
    <n v="0.3525091540607348"/>
    <n v="4.365937026294997E-2"/>
  </r>
  <r>
    <x v="6"/>
    <x v="6"/>
    <n v="255512775129.06"/>
    <n v="-0.11254755136586447"/>
    <n v="0.18321899467371483"/>
  </r>
  <r>
    <x v="6"/>
    <x v="7"/>
    <n v="218786279255.13998"/>
    <n v="-0.14373643687823201"/>
    <n v="7.4246155752969223E-2"/>
  </r>
  <r>
    <x v="6"/>
    <x v="8"/>
    <n v="298722890610.70996"/>
    <n v="0.36536391417101166"/>
    <n v="6.9127816063806913E-2"/>
  </r>
  <r>
    <x v="6"/>
    <x v="9"/>
    <n v="251521232460.92001"/>
    <n v="-0.1580115204874013"/>
    <n v="0.13225596756988045"/>
  </r>
  <r>
    <x v="6"/>
    <x v="10"/>
    <n v="236723941037.69995"/>
    <n v="-5.8831182077318966E-2"/>
    <n v="3.2556547078203435E-2"/>
  </r>
  <r>
    <x v="6"/>
    <x v="11"/>
    <n v="482442081789.67993"/>
    <n v="1.0379944659372144"/>
    <n v="0.11611561979108354"/>
  </r>
  <r>
    <x v="7"/>
    <x v="0"/>
    <n v="274155135531.79004"/>
    <n v="-0.43173461461990026"/>
    <n v="9.5043021118405679E-2"/>
  </r>
  <r>
    <x v="7"/>
    <x v="1"/>
    <n v="230660033237.29999"/>
    <n v="-0.15865142270678534"/>
    <n v="-6.6740491879986319E-3"/>
  </r>
  <r>
    <x v="7"/>
    <x v="2"/>
    <n v="346225815145.28998"/>
    <n v="0.50102213324966205"/>
    <n v="8.9699756057150193E-2"/>
  </r>
  <r>
    <x v="7"/>
    <x v="3"/>
    <n v="281705580262.70001"/>
    <n v="-0.18635304492102855"/>
    <n v="0.13815676239849073"/>
  </r>
  <r>
    <x v="7"/>
    <x v="4"/>
    <n v="233846507399.95999"/>
    <n v="-0.16989039698152164"/>
    <n v="9.850888580204531E-2"/>
  </r>
  <r>
    <x v="7"/>
    <x v="5"/>
    <n v="307525011818.74994"/>
    <n v="0.31507207543097371"/>
    <n v="6.8102464219026881E-2"/>
  </r>
  <r>
    <x v="7"/>
    <x v="6"/>
    <n v="260237241275.96997"/>
    <n v="-0.15376886017534919"/>
    <n v="1.8490136724176098E-2"/>
  </r>
  <r>
    <x v="7"/>
    <x v="7"/>
    <n v="232911660935.10999"/>
    <n v="-0.10500257460031415"/>
    <n v="6.4562465836797367E-2"/>
  </r>
  <r>
    <x v="7"/>
    <x v="8"/>
    <n v="328025410780.56995"/>
    <n v="0.40836834645200093"/>
    <n v="9.8092650717036767E-2"/>
  </r>
  <r>
    <x v="7"/>
    <x v="9"/>
    <n v="264871586222.80002"/>
    <n v="-0.19252723259301452"/>
    <n v="5.3078436485294755E-2"/>
  </r>
  <r>
    <x v="7"/>
    <x v="10"/>
    <n v="256825903691.15002"/>
    <n v="-3.0375785664236044E-2"/>
    <n v="8.4917320002917185E-2"/>
  </r>
  <r>
    <x v="7"/>
    <x v="11"/>
    <n v="505452605288.14001"/>
    <n v="0.96807486325826342"/>
    <n v="4.7695929453541064E-2"/>
  </r>
  <r>
    <x v="8"/>
    <x v="0"/>
    <n v="295184560584.12"/>
    <n v="-0.41599952696683384"/>
    <n v="7.6706296278340025E-2"/>
  </r>
  <r>
    <x v="8"/>
    <x v="1"/>
    <n v="255560150694.95004"/>
    <n v="-0.13423605154266871"/>
    <n v="0.10795159052124625"/>
  </r>
  <r>
    <x v="8"/>
    <x v="2"/>
    <n v="396312065840.20996"/>
    <n v="0.55075846043489296"/>
    <n v="0.14466353606215598"/>
  </r>
  <r>
    <x v="8"/>
    <x v="3"/>
    <n v="276203473118.89001"/>
    <n v="-0.30306569765086799"/>
    <n v="-1.9531409845268577E-2"/>
  </r>
  <r>
    <x v="8"/>
    <x v="4"/>
    <n v="242031013391.62997"/>
    <n v="-0.12372204933335762"/>
    <n v="3.4999479285237278E-2"/>
  </r>
  <r>
    <x v="8"/>
    <x v="5"/>
    <n v="342387978699.25"/>
    <n v="0.41464506511499244"/>
    <n v="0.11336628092237166"/>
  </r>
  <r>
    <x v="8"/>
    <x v="6"/>
    <n v="280614371879.58002"/>
    <n v="-0.18041990567061139"/>
    <n v="7.8302131177301337E-2"/>
  </r>
  <r>
    <x v="8"/>
    <x v="7"/>
    <n v="267710195389.91"/>
    <n v="-4.5985444021404476E-2"/>
    <n v="0.14940657893678844"/>
  </r>
  <r>
    <x v="8"/>
    <x v="8"/>
    <n v="348199342292.2301"/>
    <n v="0.30065775711339882"/>
    <n v="6.1501124146614794E-2"/>
  </r>
  <r>
    <x v="8"/>
    <x v="9"/>
    <n v="285723088094.75"/>
    <n v="-0.17942668640955162"/>
    <n v="7.872306036786636E-2"/>
  </r>
  <r>
    <x v="8"/>
    <x v="10"/>
    <n v="299173010463.96002"/>
    <n v="4.7073278043074485E-2"/>
    <n v="0.16488643148603566"/>
  </r>
  <r>
    <x v="8"/>
    <x v="11"/>
    <n v="572813865216.1001"/>
    <n v="0.91465755660169856"/>
    <n v="0.13326919126187886"/>
  </r>
  <r>
    <x v="9"/>
    <x v="0"/>
    <n v="317229199475.97998"/>
    <n v="-0.44619147904825607"/>
    <n v="7.468086694045728E-2"/>
  </r>
  <r>
    <x v="9"/>
    <x v="1"/>
    <n v="276099392802.90002"/>
    <n v="-0.12965328141615229"/>
    <n v="8.0369502256502745E-2"/>
  </r>
  <r>
    <x v="9"/>
    <x v="2"/>
    <n v="419932507678.67999"/>
    <n v="0.52094687139880302"/>
    <n v="5.9600612432510802E-2"/>
  </r>
  <r>
    <x v="9"/>
    <x v="3"/>
    <n v="315286741338.87006"/>
    <n v="-0.24919663142602377"/>
    <n v="0.14150172616821832"/>
  </r>
  <r>
    <x v="9"/>
    <x v="4"/>
    <n v="271137592421.00003"/>
    <n v="-0.14002856171620148"/>
    <n v="0.12025970813200182"/>
  </r>
  <r>
    <x v="9"/>
    <x v="5"/>
    <n v="394330163941.81006"/>
    <n v="0.45435444941742631"/>
    <n v="0.15170563359114175"/>
  </r>
  <r>
    <x v="9"/>
    <x v="6"/>
    <n v="297827704962.25995"/>
    <n v="-0.24472502436762777"/>
    <n v="6.1341594756474827E-2"/>
  </r>
  <r>
    <x v="9"/>
    <x v="7"/>
    <n v="266598106437.24002"/>
    <n v="-0.10485793633260976"/>
    <n v="-4.1540776997688322E-3"/>
  </r>
  <r>
    <x v="9"/>
    <x v="8"/>
    <n v="383780078384.06006"/>
    <n v="0.43954540230166983"/>
    <n v="0.10218496065385563"/>
  </r>
  <r>
    <x v="9"/>
    <x v="9"/>
    <n v="311661497291.60004"/>
    <n v="-0.1879164270227931"/>
    <n v="9.078163535824757E-2"/>
  </r>
  <r>
    <x v="9"/>
    <x v="10"/>
    <n v="315676559718.41998"/>
    <n v="1.2882766917670763E-2"/>
    <n v="5.5163897401260042E-2"/>
  </r>
  <r>
    <x v="9"/>
    <x v="11"/>
    <n v="598180172861.68994"/>
    <n v="0.89491476147376936"/>
    <n v="4.4283683035535759E-2"/>
  </r>
  <r>
    <x v="10"/>
    <x v="0"/>
    <n v="343836014845.53992"/>
    <n v="-0.42519657045697334"/>
    <n v="8.3872529431435749E-2"/>
  </r>
  <r>
    <x v="10"/>
    <x v="1"/>
    <n v="280392279972.29999"/>
    <n v="-0.18451742148576411"/>
    <n v="1.5548339769311026E-2"/>
  </r>
  <r>
    <x v="10"/>
    <x v="2"/>
    <n v="474822059145.46002"/>
    <n v="0.69342058630276049"/>
    <n v="0.1307104128951595"/>
  </r>
  <r>
    <x v="10"/>
    <x v="3"/>
    <n v="306436207133.71002"/>
    <n v="-0.35462937908738901"/>
    <n v="-2.8071380888318065E-2"/>
  </r>
  <r>
    <x v="10"/>
    <x v="4"/>
    <n v="300587597761.12994"/>
    <n v="-1.9085895323159741E-2"/>
    <n v="0.10861645955165966"/>
  </r>
  <r>
    <x v="10"/>
    <x v="5"/>
    <n v="423549453791.07001"/>
    <n v="0.40907162153661125"/>
    <n v="7.4098541073240654E-2"/>
  </r>
  <r>
    <x v="10"/>
    <x v="6"/>
    <n v="291373542911.82001"/>
    <n v="-0.31206724432337529"/>
    <n v="-2.1670791343128437E-2"/>
  </r>
  <r>
    <x v="10"/>
    <x v="7"/>
    <n v="284514930615.25006"/>
    <n v="-2.3538898652324169E-2"/>
    <n v="6.7205369225785683E-2"/>
  </r>
  <r>
    <x v="10"/>
    <x v="8"/>
    <n v="415992794020.99005"/>
    <n v="0.46211235073472356"/>
    <n v="8.3935351132774949E-2"/>
  </r>
  <r>
    <x v="10"/>
    <x v="9"/>
    <n v="309435440716.63"/>
    <n v="-0.25615192098491835"/>
    <n v="-7.1425459811843561E-3"/>
  </r>
  <r>
    <x v="10"/>
    <x v="10"/>
    <n v="332454415156.19"/>
    <n v="7.4390232696842196E-2"/>
    <n v="5.3148879513688518E-2"/>
  </r>
  <r>
    <x v="10"/>
    <x v="11"/>
    <n v="627474094770.12"/>
    <n v="0.88739889189116994"/>
    <n v="4.8971736673063093E-2"/>
  </r>
  <r>
    <x v="11"/>
    <x v="0"/>
    <n v="374171218049.09998"/>
    <n v="-0.40368658854963491"/>
    <n v="8.8225787566748703E-2"/>
  </r>
  <r>
    <x v="11"/>
    <x v="1"/>
    <n v="278293190741.60999"/>
    <n v="-0.25624105404843978"/>
    <n v="-7.4862590043398569E-3"/>
  </r>
  <r>
    <x v="11"/>
    <x v="2"/>
    <n v="462009571448.65002"/>
    <n v="0.66015406348054428"/>
    <n v="-2.6983766760686478E-2"/>
  </r>
  <r>
    <x v="11"/>
    <x v="3"/>
    <n v="350885506249.38"/>
    <n v="-0.24052329662962602"/>
    <n v="0.14505237331917176"/>
  </r>
  <r>
    <x v="11"/>
    <x v="4"/>
    <n v="268299827205.63995"/>
    <n v="-0.23536360884922125"/>
    <n v="-0.10741551147146244"/>
  </r>
  <r>
    <x v="11"/>
    <x v="5"/>
    <n v="418059690573.59003"/>
    <n v="0.55818099075093985"/>
    <n v="-1.2961327581331283E-2"/>
  </r>
  <r>
    <x v="11"/>
    <x v="6"/>
    <n v="326698737843.93994"/>
    <n v="-0.21853566557517234"/>
    <n v="0.12123679651590935"/>
  </r>
  <r>
    <x v="11"/>
    <x v="7"/>
    <n v="280039396552.37"/>
    <n v="-0.14282069652151075"/>
    <n v="-1.573040140003179E-2"/>
  </r>
  <r>
    <x v="11"/>
    <x v="8"/>
    <n v="398681538327.95007"/>
    <n v="0.42366232478790855"/>
    <n v="-4.1614316261849749E-2"/>
  </r>
  <r>
    <x v="11"/>
    <x v="9"/>
    <n v="338750279568.70996"/>
    <n v="-0.15032363678185034"/>
    <n v="9.4736526573003133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261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3">
  <r>
    <x v="0"/>
    <x v="0"/>
    <n v="21863.175809510001"/>
    <s v="N/A"/>
  </r>
  <r>
    <x v="0"/>
    <x v="1"/>
    <n v="32557.432079360002"/>
    <s v="N/A"/>
  </r>
  <r>
    <x v="0"/>
    <x v="2"/>
    <n v="21965.587995999998"/>
    <s v="N/A"/>
  </r>
  <r>
    <x v="0"/>
    <x v="3"/>
    <n v="19407.265734429999"/>
    <s v="N/A"/>
  </r>
  <r>
    <x v="1"/>
    <x v="0"/>
    <n v="24869.970929999999"/>
    <n v="0.13752782974841682"/>
  </r>
  <r>
    <x v="1"/>
    <x v="1"/>
    <n v="30385.663299"/>
    <n v="-6.6705776274560979E-2"/>
  </r>
  <r>
    <x v="1"/>
    <x v="2"/>
    <n v="6620.8691694600002"/>
    <n v="-0.69857992553326231"/>
  </r>
  <r>
    <x v="1"/>
    <x v="3"/>
    <n v="15111.263942830003"/>
    <n v="-0.22136048686026666"/>
  </r>
  <r>
    <x v="2"/>
    <x v="0"/>
    <n v="34738.052756549994"/>
    <n v="0.39678702698628343"/>
  </r>
  <r>
    <x v="2"/>
    <x v="1"/>
    <n v="33337.989754309994"/>
    <n v="9.7161823530347524E-2"/>
  </r>
  <r>
    <x v="2"/>
    <x v="2"/>
    <n v="30912.035913129996"/>
    <n v="3.6688788317578531"/>
  </r>
  <r>
    <x v="2"/>
    <x v="3"/>
    <n v="29223.077656829999"/>
    <n v="0.93386058025250596"/>
  </r>
  <r>
    <x v="3"/>
    <x v="0"/>
    <n v="39972.042621349996"/>
    <n v="0.15067021463409791"/>
  </r>
  <r>
    <x v="3"/>
    <x v="1"/>
    <n v="28360.216987939999"/>
    <n v="-0.14931232515981141"/>
  </r>
  <r>
    <x v="3"/>
    <x v="2"/>
    <n v="27694.9396103"/>
    <n v="-0.10407261145369995"/>
  </r>
  <r>
    <x v="3"/>
    <x v="3"/>
    <n v="39868.203424199994"/>
    <n v="0.36427120689945625"/>
  </r>
  <r>
    <x v="4"/>
    <x v="0"/>
    <n v="38662.928733779998"/>
    <n v="-3.2750737808699526E-2"/>
  </r>
  <r>
    <x v="4"/>
    <x v="1"/>
    <n v="48427.245868509992"/>
    <n v="0.70757670468823886"/>
  </r>
  <r>
    <x v="4"/>
    <x v="2"/>
    <n v="54928.787173859993"/>
    <n v="0.98335103620993203"/>
  </r>
  <r>
    <x v="4"/>
    <x v="3"/>
    <n v="67150.020303779995"/>
    <n v="0.68430013234606757"/>
  </r>
  <r>
    <x v="5"/>
    <x v="0"/>
    <n v="47189.223643259997"/>
    <n v="0.22052894565202785"/>
  </r>
  <r>
    <x v="5"/>
    <x v="1"/>
    <n v="34116.022049519997"/>
    <n v="-0.2955200850745866"/>
  </r>
  <r>
    <x v="5"/>
    <x v="2"/>
    <n v="40922.264344630006"/>
    <n v="-0.25499421250457788"/>
  </r>
  <r>
    <x v="5"/>
    <x v="3"/>
    <n v="37367.253209050003"/>
    <n v="-0.4435258092253096"/>
  </r>
  <r>
    <x v="6"/>
    <x v="0"/>
    <n v="45166.510710080001"/>
    <n v="-4.286387393171065E-2"/>
  </r>
  <r>
    <x v="6"/>
    <x v="1"/>
    <n v="42541.455826639998"/>
    <n v="0.24696413212801716"/>
  </r>
  <r>
    <x v="6"/>
    <x v="2"/>
    <n v="43098.440221390003"/>
    <n v="5.3178285992025343E-2"/>
  </r>
  <r>
    <x v="6"/>
    <x v="3"/>
    <n v="31691.019279370004"/>
    <n v="-0.1519039651623435"/>
  </r>
  <r>
    <x v="7"/>
    <x v="0"/>
    <n v="55003.536984080005"/>
    <n v="0.21779469167195664"/>
  </r>
  <r>
    <x v="7"/>
    <x v="1"/>
    <n v="45752.508562210001"/>
    <n v="7.5480555923034487E-2"/>
  </r>
  <r>
    <x v="7"/>
    <x v="2"/>
    <n v="43977.021107300003"/>
    <n v="2.0385445074041275E-2"/>
  </r>
  <r>
    <x v="7"/>
    <x v="3"/>
    <n v="35056.986618089999"/>
    <n v="0.10621202521280693"/>
  </r>
  <r>
    <x v="8"/>
    <x v="0"/>
    <n v="51778.75576267999"/>
    <n v="-5.8628615507642423E-2"/>
  </r>
  <r>
    <x v="8"/>
    <x v="1"/>
    <n v="37785.328200669996"/>
    <n v="-0.1741364705873335"/>
  </r>
  <r>
    <x v="8"/>
    <x v="2"/>
    <n v="56450.461564819998"/>
    <n v="0.28363541102717971"/>
  </r>
  <r>
    <x v="8"/>
    <x v="3"/>
    <n v="46896.588878440001"/>
    <n v="0.33772447099718961"/>
  </r>
  <r>
    <x v="9"/>
    <x v="0"/>
    <n v="44157.638937309996"/>
    <n v="-0.14718617149280722"/>
  </r>
  <r>
    <x v="9"/>
    <x v="1"/>
    <n v="53486.013018329999"/>
    <n v="0.41552331461240577"/>
  </r>
  <r>
    <x v="9"/>
    <x v="2"/>
    <n v="42248.991004160001"/>
    <n v="-0.25157403796163769"/>
  </r>
  <r>
    <x v="9"/>
    <x v="3"/>
    <n v="47275.941831720003"/>
    <n v="8.0891374479989953E-3"/>
  </r>
  <r>
    <x v="10"/>
    <x v="0"/>
    <n v="55877.025930349992"/>
    <n v="0.26539885906666916"/>
  </r>
  <r>
    <x v="10"/>
    <x v="1"/>
    <n v="50669.566528019997"/>
    <n v="-5.2657626384392975E-2"/>
  </r>
  <r>
    <x v="10"/>
    <x v="2"/>
    <n v="40403.305573500002"/>
    <n v="-4.36859055516442E-2"/>
  </r>
  <r>
    <x v="10"/>
    <x v="3"/>
    <n v="55117.80967522"/>
    <n v="0.1658743864144121"/>
  </r>
  <r>
    <x v="11"/>
    <x v="0"/>
    <n v="58964.22462637"/>
    <n v="5.524987496414302E-2"/>
  </r>
  <r>
    <x v="11"/>
    <x v="1"/>
    <n v="51601.896018650004"/>
    <n v="1.8400186828407827E-2"/>
  </r>
  <r>
    <x v="11"/>
    <x v="2"/>
    <n v="46644.91557926"/>
    <n v="0.15448265722727861"/>
  </r>
  <r>
    <x v="11"/>
    <x v="3"/>
    <n v="47435.507856750002"/>
    <n v="-0.1393796644630424"/>
  </r>
  <r>
    <x v="12"/>
    <x v="0"/>
    <n v="58220.683483949993"/>
    <n v="-1.2610038495909914E-2"/>
  </r>
  <r>
    <x v="12"/>
    <x v="1"/>
    <n v="54000.773000399997"/>
    <n v="4.6488155801154729E-2"/>
  </r>
  <r>
    <x v="12"/>
    <x v="2"/>
    <n v="46732.1240684"/>
    <n v="1.8696247609626404E-3"/>
  </r>
  <r>
    <x v="12"/>
    <x v="3"/>
    <n v="61469.996629730005"/>
    <n v="0.29586462561679761"/>
  </r>
  <r>
    <x v="13"/>
    <x v="0"/>
    <n v="52232.008197249997"/>
    <n v="-0.102861645180632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620">
  <r>
    <s v="I1111010101001"/>
    <x v="0"/>
    <x v="0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1"/>
    <s v="-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s v="I1111020101001"/>
    <x v="0"/>
    <x v="1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1"/>
    <s v="-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s v="I1111030101001"/>
    <x v="0"/>
    <x v="2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1"/>
    <s v="-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s v="I1111030102001"/>
    <x v="0"/>
    <x v="3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2"/>
    <s v="-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s v="I1112010101001"/>
    <x v="0"/>
    <x v="4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1"/>
    <s v="-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s v="I1112010102001"/>
    <x v="0"/>
    <x v="5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2"/>
    <s v="-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s v="I1112020100001"/>
    <x v="0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s v="I1112020101001"/>
    <x v="0"/>
    <x v="7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1"/>
    <s v="-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s v="I1112020102001"/>
    <x v="0"/>
    <x v="8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2"/>
    <s v="-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s v="I1113010110001"/>
    <x v="0"/>
    <x v="9"/>
    <n v="1"/>
    <x v="0"/>
    <n v="11"/>
    <x v="0"/>
    <n v="111"/>
    <x v="0"/>
    <n v="1113"/>
    <x v="2"/>
    <n v="111301"/>
    <s v="Impuesto sobre dividendos"/>
    <n v="11130101"/>
    <s v="Del sector público"/>
    <n v="111301011"/>
    <s v="-"/>
    <n v="1113010110"/>
    <s v="-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s v="I1113010211001"/>
    <x v="0"/>
    <x v="10"/>
    <n v="1"/>
    <x v="0"/>
    <n v="11"/>
    <x v="0"/>
    <n v="111"/>
    <x v="0"/>
    <n v="1113"/>
    <x v="2"/>
    <n v="111301"/>
    <s v="Impuesto sobre dividendos"/>
    <n v="11130102"/>
    <s v="Del sector privado"/>
    <n v="111301021"/>
    <s v="-"/>
    <n v="1113010211"/>
    <s v="-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s v="I1113010212001"/>
    <x v="0"/>
    <x v="11"/>
    <n v="1"/>
    <x v="0"/>
    <n v="11"/>
    <x v="0"/>
    <n v="111"/>
    <x v="0"/>
    <n v="1113"/>
    <x v="2"/>
    <n v="111301"/>
    <s v="Impuesto sobre dividendos"/>
    <n v="11130102"/>
    <s v="Del sector privado"/>
    <n v="111301021"/>
    <s v="-"/>
    <n v="1113010212"/>
    <s v="-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s v="I1113020110001"/>
    <x v="0"/>
    <x v="12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s v="I1113020211001"/>
    <x v="0"/>
    <x v="13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1"/>
    <s v="-"/>
    <n v="1113020211"/>
    <s v="-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s v="I1113020212001"/>
    <x v="0"/>
    <x v="14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1"/>
    <s v="-"/>
    <n v="1113020212"/>
    <s v="-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s v="I1114010110001"/>
    <x v="0"/>
    <x v="15"/>
    <n v="1"/>
    <x v="0"/>
    <n v="11"/>
    <x v="0"/>
    <n v="111"/>
    <x v="0"/>
    <n v="1114"/>
    <x v="3"/>
    <n v="111401"/>
    <s v="Impuesto sobre remesas al exterior"/>
    <n v="11140101"/>
    <s v="-"/>
    <n v="111401011"/>
    <s v="-"/>
    <n v="1114010110"/>
    <s v="-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s v="I1114010120001"/>
    <x v="0"/>
    <x v="16"/>
    <n v="1"/>
    <x v="0"/>
    <n v="11"/>
    <x v="0"/>
    <n v="111"/>
    <x v="0"/>
    <n v="1114"/>
    <x v="3"/>
    <n v="111401"/>
    <s v="Impuesto sobre remesas al exterior"/>
    <n v="11140101"/>
    <s v="-"/>
    <n v="111401012"/>
    <s v="-"/>
    <n v="1114010120"/>
    <s v="-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s v="I1114010130001"/>
    <x v="0"/>
    <x v="17"/>
    <n v="1"/>
    <x v="0"/>
    <n v="11"/>
    <x v="0"/>
    <n v="111"/>
    <x v="0"/>
    <n v="1114"/>
    <x v="3"/>
    <n v="111401"/>
    <s v="Impuesto sobre remesas al exterior"/>
    <n v="11140101"/>
    <s v="-"/>
    <n v="111401013"/>
    <s v="-"/>
    <n v="1114010130"/>
    <s v="-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s v="I1115010100001"/>
    <x v="0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s v="I1122010100001"/>
    <x v="0"/>
    <x v="19"/>
    <n v="1"/>
    <x v="0"/>
    <n v="11"/>
    <x v="0"/>
    <n v="112"/>
    <x v="1"/>
    <n v="1122"/>
    <x v="5"/>
    <n v="112201"/>
    <s v="Impuesto a la propiedad de vehículos Ley N°7088"/>
    <n v="11220101"/>
    <s v="-"/>
    <n v="112201010"/>
    <s v="-"/>
    <n v="1122010100"/>
    <s v="-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s v="I1122010200001"/>
    <x v="0"/>
    <x v="20"/>
    <n v="1"/>
    <x v="0"/>
    <n v="11"/>
    <x v="0"/>
    <n v="112"/>
    <x v="1"/>
    <n v="1122"/>
    <x v="5"/>
    <n v="112201"/>
    <s v="Impuesto a la propiedad de vehículos Ley N°7088"/>
    <n v="11220102"/>
    <s v="-"/>
    <n v="112201020"/>
    <s v="-"/>
    <n v="1122010200"/>
    <s v="-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s v="I1122020000001"/>
    <x v="0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s v="I1123010000001"/>
    <x v="0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s v="I1124010000001"/>
    <x v="0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s v="I1125010000001"/>
    <x v="0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s v="I1131010110001"/>
    <x v="0"/>
    <x v="25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s v="I1131010210001"/>
    <x v="0"/>
    <x v="26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s v="I1131020110001"/>
    <x v="0"/>
    <x v="27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s v="I1131020210001"/>
    <x v="0"/>
    <x v="28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s v="I1132010220001"/>
    <x v="0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s v="I1132010311001"/>
    <x v="0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s v="I1132010312001"/>
    <x v="0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s v="I1132010411001"/>
    <x v="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s v="I1132010412001"/>
    <x v="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s v="I1132010421001"/>
    <x v="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s v="I1132010422001"/>
    <x v="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s v="I1132010432001"/>
    <x v="0"/>
    <x v="32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s v="I1132020310001"/>
    <x v="0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s v="I1141010110001"/>
    <x v="0"/>
    <x v="34"/>
    <n v="1"/>
    <x v="0"/>
    <n v="11"/>
    <x v="0"/>
    <n v="114"/>
    <x v="3"/>
    <n v="1141"/>
    <x v="11"/>
    <n v="114101"/>
    <s v="Derechos de importación de mercancías"/>
    <n v="11410101"/>
    <s v="Arancel de aduanas"/>
    <n v="114101011"/>
    <s v="-"/>
    <n v="1141010110"/>
    <s v="-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s v="I1141010120001"/>
    <x v="0"/>
    <x v="34"/>
    <n v="1"/>
    <x v="0"/>
    <n v="11"/>
    <x v="0"/>
    <n v="114"/>
    <x v="3"/>
    <n v="1141"/>
    <x v="11"/>
    <n v="114101"/>
    <s v="Derechos de importación de mercancías"/>
    <n v="11410101"/>
    <s v="Arancel de aduanas"/>
    <n v="114101012"/>
    <s v="-"/>
    <n v="1141010120"/>
    <s v="-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s v="I1141020100001"/>
    <x v="0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s v="I1142010100001"/>
    <x v="0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s v="I1142090100001"/>
    <x v="0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s v="I1143010100001"/>
    <x v="0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s v="I1143030100001"/>
    <x v="0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s v="I1143040100001"/>
    <x v="0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s v="I1143090100001"/>
    <x v="0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s v="I1191010000001"/>
    <x v="0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s v="I1199010100001"/>
    <x v="0"/>
    <x v="43"/>
    <n v="1"/>
    <x v="0"/>
    <n v="11"/>
    <x v="0"/>
    <n v="119"/>
    <x v="4"/>
    <n v="1199"/>
    <x v="15"/>
    <n v="119901"/>
    <s v="Papel Sellado Ley N° 7345"/>
    <n v="11990101"/>
    <s v="-"/>
    <n v="119901010"/>
    <s v="-"/>
    <n v="1199010100"/>
    <s v="-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s v="I1199010200001"/>
    <x v="0"/>
    <x v="44"/>
    <n v="1"/>
    <x v="0"/>
    <n v="11"/>
    <x v="0"/>
    <n v="119"/>
    <x v="4"/>
    <n v="1199"/>
    <x v="15"/>
    <n v="119901"/>
    <s v="Papel Sellado Ley N° 7345"/>
    <n v="11990102"/>
    <s v="-"/>
    <n v="119901020"/>
    <s v="-"/>
    <n v="1199010200"/>
    <s v="-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s v="I1199010300001"/>
    <x v="0"/>
    <x v="43"/>
    <n v="1"/>
    <x v="0"/>
    <n v="11"/>
    <x v="0"/>
    <n v="119"/>
    <x v="4"/>
    <n v="1199"/>
    <x v="15"/>
    <n v="119901"/>
    <s v="Papel Sellado Ley N° 7345"/>
    <n v="11990103"/>
    <s v="-"/>
    <n v="119901030"/>
    <s v="-"/>
    <n v="1199010300"/>
    <s v="-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s v="I1199020100001"/>
    <x v="0"/>
    <x v="45"/>
    <n v="1"/>
    <x v="0"/>
    <n v="11"/>
    <x v="0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s v="I1199020200001"/>
    <x v="0"/>
    <x v="46"/>
    <n v="1"/>
    <x v="0"/>
    <n v="11"/>
    <x v="0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s v="I1213010100001"/>
    <x v="0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s v="I1213020100001"/>
    <x v="0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s v="I1213030100001"/>
    <x v="0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s v="I1311090100001"/>
    <x v="0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s v="I1311090200001"/>
    <x v="0"/>
    <x v="51"/>
    <n v="1"/>
    <x v="0"/>
    <n v="13"/>
    <x v="2"/>
    <n v="131"/>
    <x v="6"/>
    <n v="1311"/>
    <x v="17"/>
    <n v="131109"/>
    <s v="Venta de otros bienes"/>
    <n v="13110902"/>
    <s v="Venta de bienes -FONAM- Ley 7554"/>
    <n v="131109020"/>
    <s v="-"/>
    <n v="1311090200"/>
    <s v="-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s v="I1312040110001"/>
    <x v="0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s v="I1312090210001"/>
    <x v="0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s v="I1312090910001"/>
    <x v="0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s v="I1312090920001"/>
    <x v="0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s v="I1313010110001"/>
    <x v="0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s v="I1313010120001"/>
    <x v="0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s v="I1313010310001"/>
    <x v="0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s v="I1313010320001"/>
    <x v="0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s v="I1313010330001"/>
    <x v="0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s v="I1313010340001"/>
    <x v="0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s v="I1313020910001"/>
    <x v="0"/>
    <x v="62"/>
    <n v="1"/>
    <x v="0"/>
    <n v="13"/>
    <x v="2"/>
    <n v="131"/>
    <x v="6"/>
    <n v="1313"/>
    <x v="19"/>
    <n v="131302"/>
    <s v="Derechos administrativos a los servicios de transporte"/>
    <n v="13130209"/>
    <s v="Otros derechos administrativos a otros servicios públicos"/>
    <n v="131302091"/>
    <s v="PERMISOS Y RENOVACION DE CEDULAS DE RESIDENCIA. (LEYES N? 7033 Y 7108 DE 13-8-86 Y 8-11-88)."/>
    <n v="1313020910"/>
    <s v="-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s v="I1321010000001"/>
    <x v="0"/>
    <x v="63"/>
    <n v="1"/>
    <x v="0"/>
    <n v="13"/>
    <x v="2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s v="I1321020000001"/>
    <x v="0"/>
    <x v="64"/>
    <n v="1"/>
    <x v="0"/>
    <n v="13"/>
    <x v="2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s v="I1322020100001"/>
    <x v="0"/>
    <x v="65"/>
    <n v="1"/>
    <x v="0"/>
    <n v="13"/>
    <x v="2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s v="I1323010610001"/>
    <x v="0"/>
    <x v="66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s v="I1331010100001"/>
    <x v="0"/>
    <x v="67"/>
    <n v="1"/>
    <x v="0"/>
    <n v="13"/>
    <x v="2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s v="I1331040100001"/>
    <x v="0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s v="I1331090110001"/>
    <x v="0"/>
    <x v="69"/>
    <n v="1"/>
    <x v="0"/>
    <n v="13"/>
    <x v="2"/>
    <n v="133"/>
    <x v="8"/>
    <n v="1331"/>
    <x v="23"/>
    <n v="133109"/>
    <s v="Otras multas"/>
    <n v="13310901"/>
    <s v="OTRAS MULTAS (2007)"/>
    <n v="133109011"/>
    <s v="-"/>
    <n v="1331090110"/>
    <s v="-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s v="I1331090120001"/>
    <x v="0"/>
    <x v="70"/>
    <n v="1"/>
    <x v="0"/>
    <n v="13"/>
    <x v="2"/>
    <n v="133"/>
    <x v="8"/>
    <n v="1331"/>
    <x v="23"/>
    <n v="133109"/>
    <s v="Otras multas"/>
    <n v="13310901"/>
    <s v="MULTAS POR INCUMPLIMIENTO (2007)"/>
    <n v="133109012"/>
    <s v="-"/>
    <n v="1331090120"/>
    <s v="-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s v="I1331090130001"/>
    <x v="0"/>
    <x v="71"/>
    <n v="1"/>
    <x v="0"/>
    <n v="13"/>
    <x v="2"/>
    <n v="133"/>
    <x v="8"/>
    <n v="1331"/>
    <x v="23"/>
    <n v="133109"/>
    <s v="Otras multas"/>
    <n v="13310901"/>
    <s v="MULTAS DE ADUANAS (2007)"/>
    <n v="133109013"/>
    <s v="-"/>
    <n v="1331090130"/>
    <s v="-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s v="I1331090140001"/>
    <x v="0"/>
    <x v="72"/>
    <n v="1"/>
    <x v="0"/>
    <n v="13"/>
    <x v="2"/>
    <n v="133"/>
    <x v="8"/>
    <n v="1331"/>
    <x v="23"/>
    <n v="133109"/>
    <s v="Otras multas"/>
    <n v="13310901"/>
    <s v="1% SOBRE UTILIDADES PROTECCION AL CONSUMIDOR (2007)"/>
    <n v="133109014"/>
    <s v="-"/>
    <n v="1331090140"/>
    <s v="-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s v="I1331090150001"/>
    <x v="0"/>
    <x v="73"/>
    <n v="1"/>
    <x v="0"/>
    <n v="13"/>
    <x v="2"/>
    <n v="133"/>
    <x v="8"/>
    <n v="1331"/>
    <x v="23"/>
    <n v="133109"/>
    <s v="Otras multas"/>
    <n v="13310901"/>
    <s v="MULTA SEGUN ART. 158 INCISO 3 DE LA LEY REGULADORA DEL MERCADO DE VALORES (200 SALARIOS BASES)"/>
    <n v="133109015"/>
    <s v="-"/>
    <n v="1331090150"/>
    <s v="-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s v="I1332010100001"/>
    <x v="0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s v="I1391010000001"/>
    <x v="0"/>
    <x v="75"/>
    <n v="1"/>
    <x v="0"/>
    <n v="13"/>
    <x v="2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s v="I1391020000001"/>
    <x v="0"/>
    <x v="76"/>
    <n v="1"/>
    <x v="0"/>
    <n v="13"/>
    <x v="2"/>
    <n v="139"/>
    <x v="9"/>
    <n v="1391"/>
    <x v="25"/>
    <n v="139102"/>
    <s v="-"/>
    <n v="13910200"/>
    <s v="-"/>
    <n v="139102000"/>
    <s v="-"/>
    <n v="1391020000"/>
    <s v="-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s v="I1399010000001"/>
    <x v="0"/>
    <x v="77"/>
    <n v="1"/>
    <x v="0"/>
    <n v="13"/>
    <x v="2"/>
    <n v="139"/>
    <x v="9"/>
    <n v="1399"/>
    <x v="26"/>
    <n v="139901"/>
    <s v="-"/>
    <n v="13990100"/>
    <s v="-"/>
    <n v="139901000"/>
    <s v="-"/>
    <n v="1399010000"/>
    <s v="-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s v="I1399030000001"/>
    <x v="0"/>
    <x v="77"/>
    <n v="1"/>
    <x v="0"/>
    <n v="13"/>
    <x v="2"/>
    <n v="139"/>
    <x v="9"/>
    <n v="1399"/>
    <x v="26"/>
    <n v="139903"/>
    <s v="-"/>
    <n v="13990300"/>
    <s v="-"/>
    <n v="139903000"/>
    <s v="-"/>
    <n v="1399030000"/>
    <s v="-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s v="I1399040000001"/>
    <x v="0"/>
    <x v="77"/>
    <n v="1"/>
    <x v="0"/>
    <n v="13"/>
    <x v="2"/>
    <n v="139"/>
    <x v="9"/>
    <n v="1399"/>
    <x v="26"/>
    <n v="139904"/>
    <s v="-"/>
    <n v="13990400"/>
    <s v="-"/>
    <n v="139904000"/>
    <s v="-"/>
    <n v="1399040000"/>
    <s v="-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s v="I1399080000001"/>
    <x v="0"/>
    <x v="77"/>
    <n v="1"/>
    <x v="0"/>
    <n v="13"/>
    <x v="2"/>
    <n v="139"/>
    <x v="9"/>
    <n v="1399"/>
    <x v="26"/>
    <n v="139908"/>
    <s v="-"/>
    <n v="13990800"/>
    <s v="-"/>
    <n v="139908000"/>
    <s v="-"/>
    <n v="1399080000"/>
    <s v="-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s v="I1399090000001"/>
    <x v="0"/>
    <x v="77"/>
    <n v="1"/>
    <x v="0"/>
    <n v="13"/>
    <x v="2"/>
    <n v="139"/>
    <x v="9"/>
    <n v="1399"/>
    <x v="26"/>
    <n v="139909"/>
    <s v="-"/>
    <n v="13990900"/>
    <s v="-"/>
    <n v="139909000"/>
    <s v="-"/>
    <n v="1399090000"/>
    <s v="-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s v="I1399100000001"/>
    <x v="0"/>
    <x v="77"/>
    <n v="1"/>
    <x v="0"/>
    <n v="13"/>
    <x v="2"/>
    <n v="139"/>
    <x v="9"/>
    <n v="1399"/>
    <x v="26"/>
    <n v="139910"/>
    <s v="-"/>
    <n v="13991000"/>
    <s v="-"/>
    <n v="139910000"/>
    <s v="-"/>
    <n v="1399100000"/>
    <s v="-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s v="I1399110000001"/>
    <x v="0"/>
    <x v="77"/>
    <n v="1"/>
    <x v="0"/>
    <n v="13"/>
    <x v="2"/>
    <n v="139"/>
    <x v="9"/>
    <n v="1399"/>
    <x v="26"/>
    <n v="139911"/>
    <s v="-"/>
    <n v="13991100"/>
    <s v="-"/>
    <n v="139911000"/>
    <s v="-"/>
    <n v="1399110000"/>
    <s v="-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s v="I1399120000001"/>
    <x v="0"/>
    <x v="77"/>
    <n v="1"/>
    <x v="0"/>
    <n v="13"/>
    <x v="2"/>
    <n v="139"/>
    <x v="9"/>
    <n v="1399"/>
    <x v="26"/>
    <n v="139912"/>
    <s v="-"/>
    <n v="13991200"/>
    <s v="-"/>
    <n v="139912000"/>
    <s v="-"/>
    <n v="1399120000"/>
    <s v="-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s v="I1412010000001"/>
    <x v="0"/>
    <x v="78"/>
    <n v="1"/>
    <x v="0"/>
    <n v="14"/>
    <x v="3"/>
    <n v="141"/>
    <x v="10"/>
    <n v="1412"/>
    <x v="27"/>
    <n v="141201"/>
    <s v="Transferencias de FODESAF"/>
    <n v="14120100"/>
    <s v="-"/>
    <n v="141201000"/>
    <s v="-"/>
    <n v="1412010000"/>
    <s v="-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s v="I1412020000001"/>
    <x v="0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s v="I1412040000001"/>
    <x v="0"/>
    <x v="80"/>
    <n v="1"/>
    <x v="0"/>
    <n v="14"/>
    <x v="3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s v="I1413010100001"/>
    <x v="0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s v="I1413010300001"/>
    <x v="0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s v="I1413010400001"/>
    <x v="0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s v="I1413010500001"/>
    <x v="0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s v="I1413010800001"/>
    <x v="0"/>
    <x v="85"/>
    <n v="1"/>
    <x v="0"/>
    <n v="14"/>
    <x v="3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s v="I1413011000001"/>
    <x v="0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s v="I1413011100001"/>
    <x v="0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s v="I1413011200001"/>
    <x v="0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s v="I1413011300001"/>
    <x v="0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s v="I1413011400001"/>
    <x v="0"/>
    <x v="90"/>
    <n v="1"/>
    <x v="0"/>
    <n v="14"/>
    <x v="3"/>
    <n v="141"/>
    <x v="10"/>
    <n v="1413"/>
    <x v="28"/>
    <n v="141301"/>
    <s v="Cuotas a Organismos Internacionales, Ley N° 3418"/>
    <n v="14130114"/>
    <s v="-"/>
    <n v="141301140"/>
    <s v="-"/>
    <n v="1413011400"/>
    <s v="-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s v="I1413011500001"/>
    <x v="0"/>
    <x v="91"/>
    <n v="1"/>
    <x v="0"/>
    <n v="14"/>
    <x v="3"/>
    <n v="141"/>
    <x v="10"/>
    <n v="1413"/>
    <x v="28"/>
    <n v="141301"/>
    <s v="Cuotas a Organismos Internacionales, Ley N° 3418"/>
    <n v="14130115"/>
    <s v="-"/>
    <n v="141301150"/>
    <s v="-"/>
    <n v="1413011500"/>
    <s v="-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s v="I1413020000001"/>
    <x v="0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s v="I1414010000001"/>
    <x v="0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s v="I1415010100001"/>
    <x v="0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s v="I1415010200001"/>
    <x v="0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s v="I1415010300001"/>
    <x v="0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s v="I1415010400001"/>
    <x v="0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s v="I1415010500001"/>
    <x v="0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s v="I1416010110001"/>
    <x v="0"/>
    <x v="99"/>
    <n v="1"/>
    <x v="0"/>
    <n v="14"/>
    <x v="3"/>
    <n v="141"/>
    <x v="10"/>
    <n v="1416"/>
    <x v="31"/>
    <n v="141601"/>
    <s v="Cuotas Organismos Internacionales, Ley N° 3418"/>
    <n v="14160101"/>
    <s v="-"/>
    <n v="141601011"/>
    <s v="-"/>
    <n v="1416010110"/>
    <s v="-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s v="I1416010120001"/>
    <x v="0"/>
    <x v="99"/>
    <n v="1"/>
    <x v="0"/>
    <n v="14"/>
    <x v="3"/>
    <n v="141"/>
    <x v="10"/>
    <n v="1416"/>
    <x v="31"/>
    <n v="141601"/>
    <s v="Cuotas Organismos Internacionales, Ley N° 3418"/>
    <n v="14160101"/>
    <s v="-"/>
    <n v="141601012"/>
    <s v="-"/>
    <n v="1416010120"/>
    <s v="-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s v="I1416010130001"/>
    <x v="0"/>
    <x v="99"/>
    <n v="1"/>
    <x v="0"/>
    <n v="14"/>
    <x v="3"/>
    <n v="141"/>
    <x v="10"/>
    <n v="1416"/>
    <x v="31"/>
    <n v="141601"/>
    <s v="Cuotas Organismos Internacionales, Ley N° 3418"/>
    <n v="14160101"/>
    <s v="-"/>
    <n v="141601013"/>
    <s v="-"/>
    <n v="1416010130"/>
    <s v="-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s v="I1416010210001"/>
    <x v="0"/>
    <x v="99"/>
    <n v="1"/>
    <x v="0"/>
    <n v="14"/>
    <x v="3"/>
    <n v="141"/>
    <x v="10"/>
    <n v="1416"/>
    <x v="31"/>
    <n v="141601"/>
    <s v="Cuotas Organismos Internacionales, Ley N° 3418"/>
    <n v="14160102"/>
    <s v="-"/>
    <n v="141601021"/>
    <s v="-"/>
    <n v="1416010210"/>
    <s v="-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s v="I1416010220001"/>
    <x v="0"/>
    <x v="99"/>
    <n v="1"/>
    <x v="0"/>
    <n v="14"/>
    <x v="3"/>
    <n v="141"/>
    <x v="10"/>
    <n v="1416"/>
    <x v="31"/>
    <n v="141601"/>
    <s v="Cuotas Organismos Internacionales, Ley N° 3418"/>
    <n v="14160102"/>
    <s v="-"/>
    <n v="141601022"/>
    <s v="-"/>
    <n v="141601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6010230001"/>
    <x v="0"/>
    <x v="99"/>
    <n v="1"/>
    <x v="0"/>
    <n v="14"/>
    <x v="3"/>
    <n v="141"/>
    <x v="10"/>
    <n v="1416"/>
    <x v="31"/>
    <n v="141601"/>
    <s v="Cuotas Organismos Internacionales, Ley N° 3418"/>
    <n v="14160102"/>
    <s v="-"/>
    <n v="141601023"/>
    <s v="-"/>
    <n v="1416010230"/>
    <s v="-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s v="I1421000000001"/>
    <x v="0"/>
    <x v="100"/>
    <n v="1"/>
    <x v="0"/>
    <n v="14"/>
    <x v="3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s v="I2412010000060"/>
    <x v="0"/>
    <x v="101"/>
    <n v="2"/>
    <x v="1"/>
    <n v="24"/>
    <x v="4"/>
    <n v="241"/>
    <x v="12"/>
    <n v="2412"/>
    <x v="33"/>
    <n v="241201"/>
    <s v="-"/>
    <n v="24120100"/>
    <s v="-"/>
    <n v="241201000"/>
    <s v="-"/>
    <n v="2412010000"/>
    <s v="-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s v="I2432010000066"/>
    <x v="0"/>
    <x v="102"/>
    <n v="2"/>
    <x v="1"/>
    <n v="24"/>
    <x v="4"/>
    <n v="243"/>
    <x v="13"/>
    <n v="2432"/>
    <x v="34"/>
    <n v="243201"/>
    <s v="-"/>
    <n v="24320100"/>
    <s v="-"/>
    <n v="243201000"/>
    <s v="-"/>
    <n v="2432010000"/>
    <s v="-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s v="I2510000000121"/>
    <x v="0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s v="I3131010100280"/>
    <x v="0"/>
    <x v="104"/>
    <n v="3"/>
    <x v="2"/>
    <n v="31"/>
    <x v="6"/>
    <n v="313"/>
    <x v="15"/>
    <n v="3131"/>
    <x v="36"/>
    <n v="313101"/>
    <s v="Colocación de títulos valores de corto plazo"/>
    <n v="31310101"/>
    <s v="-"/>
    <n v="313101010"/>
    <s v="-"/>
    <n v="3131010100"/>
    <s v="-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s v="I3211010300452"/>
    <x v="0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s v="I3211020900498"/>
    <x v="0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s v="I3211021000499"/>
    <x v="0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s v="I3211021100500"/>
    <x v="0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s v="I3211021300502"/>
    <x v="0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s v="I3211030300532"/>
    <x v="0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s v="I3212010000690"/>
    <x v="0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s v="I3212030000692"/>
    <x v="0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s v="I3311030000980"/>
    <x v="0"/>
    <x v="113"/>
    <n v="3"/>
    <x v="2"/>
    <n v="33"/>
    <x v="8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s v="I3311040000980"/>
    <x v="0"/>
    <x v="114"/>
    <n v="3"/>
    <x v="2"/>
    <n v="33"/>
    <x v="8"/>
    <n v="331"/>
    <x v="17"/>
    <n v="3311"/>
    <x v="35"/>
    <n v="331104"/>
    <s v="-"/>
    <n v="33110400"/>
    <s v="-"/>
    <n v="331104000"/>
    <s v="-"/>
    <n v="3311040000"/>
    <s v="-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s v="I1111010100001"/>
    <x v="1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s v="I1111020100001"/>
    <x v="1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s v="I1111030100001"/>
    <x v="1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s v="I1112010100001"/>
    <x v="1"/>
    <x v="118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s v="I1112020000001"/>
    <x v="1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100001"/>
    <x v="1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s v="I1113010200001"/>
    <x v="1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10210001"/>
    <x v="1"/>
    <x v="121"/>
    <n v="1"/>
    <x v="0"/>
    <n v="11"/>
    <x v="0"/>
    <n v="111"/>
    <x v="0"/>
    <n v="1113"/>
    <x v="2"/>
    <n v="111301"/>
    <s v="Impuesto sobre dividendos"/>
    <n v="11130102"/>
    <s v="Del sector privado"/>
    <n v="111301021"/>
    <s v="-"/>
    <n v="1113010210"/>
    <s v="-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s v="I1113020110001"/>
    <x v="1"/>
    <x v="12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1"/>
    <s v="-"/>
    <n v="1113020110"/>
    <s v="-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s v="I1114010100001"/>
    <x v="1"/>
    <x v="122"/>
    <n v="1"/>
    <x v="0"/>
    <n v="11"/>
    <x v="0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s v="I1115010100001"/>
    <x v="1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s v="I1122010000001"/>
    <x v="1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s v="I1122020000001"/>
    <x v="1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s v="I1123010000001"/>
    <x v="1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s v="I1124010000001"/>
    <x v="1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s v="I1125010000001"/>
    <x v="1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s v="I1131010100001"/>
    <x v="1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31010110001"/>
    <x v="1"/>
    <x v="25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1"/>
    <s v="Impuesto de Ventas Ley N° 7543"/>
    <n v="1131010110"/>
    <s v="-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s v="I1131010210001"/>
    <x v="1"/>
    <x v="26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1"/>
    <s v="Impuesto de ventas bienes y servicios importados"/>
    <n v="1131010210"/>
    <s v="-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s v="I1131020110001"/>
    <x v="1"/>
    <x v="27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1"/>
    <s v="Impuesto selectivo de consumo de bienes internos"/>
    <n v="1131020110"/>
    <s v="-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s v="I1131020210001"/>
    <x v="1"/>
    <x v="28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1"/>
    <s v="Impuesto selectivo de consumo de bienes importados"/>
    <n v="1131020210"/>
    <s v="-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s v="I1132010210001"/>
    <x v="1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s v="I1132010220001"/>
    <x v="1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s v="I1132010311001"/>
    <x v="1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s v="I1132010312001"/>
    <x v="1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s v="I1132010411001"/>
    <x v="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s v="I1132010412001"/>
    <x v="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s v="I1132010421001"/>
    <x v="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s v="I1132010422001"/>
    <x v="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s v="I1132010432001"/>
    <x v="1"/>
    <x v="32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2"/>
    <s v="-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s v="I1132010440001"/>
    <x v="1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s v="I1132020310001"/>
    <x v="1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s v="I1141010100001"/>
    <x v="1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s v="I1141020100001"/>
    <x v="1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s v="I1142010100001"/>
    <x v="1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s v="I1142090100001"/>
    <x v="1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s v="I1143010100001"/>
    <x v="1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s v="I1143030100001"/>
    <x v="1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s v="I1143040100001"/>
    <x v="1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s v="I1143090100001"/>
    <x v="1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s v="I1143090200001"/>
    <x v="1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s v="I1191010000001"/>
    <x v="1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s v="I1199010000001"/>
    <x v="1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s v="I1199020100001"/>
    <x v="1"/>
    <x v="45"/>
    <n v="1"/>
    <x v="0"/>
    <n v="11"/>
    <x v="0"/>
    <n v="119"/>
    <x v="4"/>
    <n v="1199"/>
    <x v="15"/>
    <n v="119902"/>
    <s v="Ingresos por distribuir"/>
    <n v="11990201"/>
    <s v="Anticipos de aduanas"/>
    <n v="119902010"/>
    <s v="-"/>
    <n v="1199020100"/>
    <s v="-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s v="I1199020200001"/>
    <x v="1"/>
    <x v="46"/>
    <n v="1"/>
    <x v="0"/>
    <n v="11"/>
    <x v="0"/>
    <n v="119"/>
    <x v="4"/>
    <n v="1199"/>
    <x v="15"/>
    <n v="119902"/>
    <s v="Ingresos por distribuir"/>
    <n v="11990202"/>
    <s v="Anticipos impuesto al banano"/>
    <n v="119902020"/>
    <s v="-"/>
    <n v="1199020200"/>
    <s v="-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s v="I1213010100001"/>
    <x v="1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s v="I1213020100001"/>
    <x v="1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s v="I1213030100001"/>
    <x v="1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s v="I1311090100001"/>
    <x v="1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s v="I1312040110001"/>
    <x v="1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s v="I1312090210001"/>
    <x v="1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s v="I1312090910001"/>
    <x v="1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s v="I1312090920001"/>
    <x v="1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s v="I1313010110001"/>
    <x v="1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s v="I1313010120001"/>
    <x v="1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s v="I1313010310001"/>
    <x v="1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s v="I1313010320001"/>
    <x v="1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s v="I1313010330001"/>
    <x v="1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s v="I1313010340001"/>
    <x v="1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s v="I1313020310001"/>
    <x v="1"/>
    <x v="130"/>
    <n v="1"/>
    <x v="0"/>
    <n v="13"/>
    <x v="2"/>
    <n v="131"/>
    <x v="6"/>
    <n v="1313"/>
    <x v="19"/>
    <n v="131302"/>
    <s v="Derechos administrativos a los servicios de transporte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s v="I1313020320001"/>
    <x v="1"/>
    <x v="131"/>
    <n v="1"/>
    <x v="0"/>
    <n v="13"/>
    <x v="2"/>
    <n v="131"/>
    <x v="6"/>
    <n v="1313"/>
    <x v="19"/>
    <n v="131302"/>
    <s v="Derechos administrativos a los servicios de transporte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s v="I1321010000001"/>
    <x v="1"/>
    <x v="63"/>
    <n v="1"/>
    <x v="0"/>
    <n v="13"/>
    <x v="2"/>
    <n v="132"/>
    <x v="7"/>
    <n v="1321"/>
    <x v="20"/>
    <n v="132101"/>
    <s v="20% utilidades del IMAS"/>
    <n v="13210100"/>
    <s v="-"/>
    <n v="132101000"/>
    <s v="-"/>
    <n v="13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s v="I1321020000001"/>
    <x v="1"/>
    <x v="64"/>
    <n v="1"/>
    <x v="0"/>
    <n v="13"/>
    <x v="2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s v="I1322020100001"/>
    <x v="1"/>
    <x v="65"/>
    <n v="1"/>
    <x v="0"/>
    <n v="13"/>
    <x v="2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s v="I1323010610001"/>
    <x v="1"/>
    <x v="66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s v="I1323030100001"/>
    <x v="1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s v="I1331010100001"/>
    <x v="1"/>
    <x v="67"/>
    <n v="1"/>
    <x v="0"/>
    <n v="13"/>
    <x v="2"/>
    <n v="133"/>
    <x v="8"/>
    <n v="1331"/>
    <x v="23"/>
    <n v="133101"/>
    <s v="Multas de tránsito"/>
    <n v="13310101"/>
    <s v="-"/>
    <n v="133101010"/>
    <s v="-"/>
    <n v="1331010100"/>
    <s v="-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s v="I1331020100001"/>
    <x v="1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s v="I1331020200001"/>
    <x v="1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s v="I1331040100001"/>
    <x v="1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s v="I1331040200001"/>
    <x v="1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s v="I1331090100001"/>
    <x v="1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s v="I1331090200001"/>
    <x v="1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s v="I1331090300001"/>
    <x v="1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s v="I1332010100001"/>
    <x v="1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s v="I1391000000001"/>
    <x v="1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s v="I1391010000001"/>
    <x v="1"/>
    <x v="75"/>
    <n v="1"/>
    <x v="0"/>
    <n v="13"/>
    <x v="2"/>
    <n v="139"/>
    <x v="9"/>
    <n v="1391"/>
    <x v="25"/>
    <n v="139101"/>
    <s v="-"/>
    <n v="13910100"/>
    <s v="-"/>
    <n v="139101000"/>
    <s v="-"/>
    <n v="1391010000"/>
    <s v="-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s v="I1399000000001"/>
    <x v="1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s v="I1412010100001"/>
    <x v="1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s v="I1412010300001"/>
    <x v="1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s v="I1412011000001"/>
    <x v="1"/>
    <x v="141"/>
    <n v="1"/>
    <x v="0"/>
    <n v="14"/>
    <x v="3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s v="I1412012000001"/>
    <x v="1"/>
    <x v="142"/>
    <n v="1"/>
    <x v="0"/>
    <n v="14"/>
    <x v="3"/>
    <n v="141"/>
    <x v="10"/>
    <n v="1412"/>
    <x v="27"/>
    <n v="141201"/>
    <s v="Transferencias de FODESAF"/>
    <n v="14120120"/>
    <s v="Fodesaf-Ministerio Obras Públicas y Transporte (previo 2009)"/>
    <n v="141201200"/>
    <s v="-"/>
    <n v="1412012000"/>
    <s v="-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s v="I1412013000001"/>
    <x v="1"/>
    <x v="143"/>
    <n v="1"/>
    <x v="0"/>
    <n v="14"/>
    <x v="3"/>
    <n v="141"/>
    <x v="10"/>
    <n v="1412"/>
    <x v="27"/>
    <n v="141201"/>
    <s v="Transferencias de FODESAF"/>
    <n v="14120130"/>
    <s v="Fodesaf-PRONAE (previo 2009)"/>
    <n v="141201300"/>
    <s v="-"/>
    <n v="1412013000"/>
    <s v="-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s v="I1412020000001"/>
    <x v="1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s v="I1413010100001"/>
    <x v="1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s v="I1413010200001"/>
    <x v="1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s v="I1413010500001"/>
    <x v="1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s v="I1413010600001"/>
    <x v="1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s v="I1413010800001"/>
    <x v="1"/>
    <x v="85"/>
    <n v="1"/>
    <x v="0"/>
    <n v="14"/>
    <x v="3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s v="I1413010900001"/>
    <x v="1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s v="I1413011000001"/>
    <x v="1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s v="I1413011300001"/>
    <x v="1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s v="I1413020000001"/>
    <x v="1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s v="I1413030000001"/>
    <x v="1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s v="I1414010000001"/>
    <x v="1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s v="I1415010100001"/>
    <x v="1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s v="I1415010300001"/>
    <x v="1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s v="I1415010400001"/>
    <x v="1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s v="I1415010500001"/>
    <x v="1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s v="I1416010100001"/>
    <x v="1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s v="I1416010200001"/>
    <x v="1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s v="I1416010300001"/>
    <x v="1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s v="I1416010400001"/>
    <x v="1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s v="I1416010500001"/>
    <x v="1"/>
    <x v="152"/>
    <n v="1"/>
    <x v="0"/>
    <n v="14"/>
    <x v="3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s v="I1421010000001"/>
    <x v="1"/>
    <x v="153"/>
    <n v="1"/>
    <x v="0"/>
    <n v="14"/>
    <x v="3"/>
    <n v="142"/>
    <x v="11"/>
    <n v="1421"/>
    <x v="32"/>
    <n v="142101"/>
    <s v="Código Notalerial Ley 7764"/>
    <n v="14210100"/>
    <s v="-"/>
    <n v="142101000"/>
    <s v="-"/>
    <n v="1421010000"/>
    <s v="-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s v="I2510000000121"/>
    <x v="1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s v="I3131010000280"/>
    <x v="1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s v="I3131020000280"/>
    <x v="1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s v="I3211010300452"/>
    <x v="1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s v="I3211020900498"/>
    <x v="1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s v="I3211021000499"/>
    <x v="1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s v="I3211021100500"/>
    <x v="1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s v="I3211021300502"/>
    <x v="1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s v="I3211030300532"/>
    <x v="1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s v="I3211030400533"/>
    <x v="1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s v="I3212010000690"/>
    <x v="1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s v="I3212030000692"/>
    <x v="1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s v="I3212030000693"/>
    <x v="1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s v="I3311000000900"/>
    <x v="1"/>
    <x v="158"/>
    <n v="3"/>
    <x v="2"/>
    <n v="33"/>
    <x v="8"/>
    <n v="331"/>
    <x v="17"/>
    <n v="3311"/>
    <x v="35"/>
    <n v="331100"/>
    <s v="-"/>
    <n v="33110000"/>
    <s v="-"/>
    <n v="331100000"/>
    <s v="-"/>
    <n v="3311000000"/>
    <s v="-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s v="I3311000000980"/>
    <x v="1"/>
    <x v="159"/>
    <n v="3"/>
    <x v="2"/>
    <n v="33"/>
    <x v="8"/>
    <n v="331"/>
    <x v="17"/>
    <n v="3311"/>
    <x v="35"/>
    <n v="331100"/>
    <s v="-"/>
    <n v="33110000"/>
    <s v="-"/>
    <n v="331100000"/>
    <s v="-"/>
    <n v="3311000000"/>
    <s v="-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s v="I1111010100001"/>
    <x v="2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s v="I1111020100001"/>
    <x v="2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s v="I1111030100001"/>
    <x v="2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s v="I1112010000001"/>
    <x v="2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s v="I1112020000001"/>
    <x v="2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s v="I1113010100001"/>
    <x v="2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s v="I1113010200001"/>
    <x v="2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s v="I1113020100001"/>
    <x v="2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s v="I1113020200001"/>
    <x v="2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s v="I1114010000001"/>
    <x v="2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s v="I1115010000001"/>
    <x v="2"/>
    <x v="18"/>
    <n v="1"/>
    <x v="0"/>
    <n v="11"/>
    <x v="0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s v="I1121010000001"/>
    <x v="2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s v="I1122010000001"/>
    <x v="2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s v="I1122020000001"/>
    <x v="2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s v="I1123010000001"/>
    <x v="2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s v="I1124010000001"/>
    <x v="2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s v="I1125010000001"/>
    <x v="2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s v="I1131010100001"/>
    <x v="2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s v="I1131010200001"/>
    <x v="2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s v="I1131020100001"/>
    <x v="2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s v="I1131020200001"/>
    <x v="2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s v="I1132010210001"/>
    <x v="2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s v="I1132010220001"/>
    <x v="2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s v="I1132010311001"/>
    <x v="2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s v="I1132010312001"/>
    <x v="2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s v="I1132010411001"/>
    <x v="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s v="I1132010412001"/>
    <x v="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s v="I1132010421001"/>
    <x v="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s v="I1132010422001"/>
    <x v="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s v="I1132010431001"/>
    <x v="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s v="I1132010440001"/>
    <x v="2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s v="I1132020310001"/>
    <x v="2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s v="I1141010100001"/>
    <x v="2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s v="I1141020100001"/>
    <x v="2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s v="I1142010100001"/>
    <x v="2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s v="I1142090100001"/>
    <x v="2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s v="I1143010100001"/>
    <x v="2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s v="I1143030100001"/>
    <x v="2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s v="I1143040100001"/>
    <x v="2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s v="I1143090100001"/>
    <x v="2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s v="I1143090200001"/>
    <x v="2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s v="I1191010000001"/>
    <x v="2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s v="I1199010000001"/>
    <x v="2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s v="I1213010100001"/>
    <x v="2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s v="I1213020100001"/>
    <x v="2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s v="I1213030100001"/>
    <x v="2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s v="I1311090100001"/>
    <x v="2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s v="I1312030101001"/>
    <x v="2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s v="I1312040110001"/>
    <x v="2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s v="I1312090110001"/>
    <x v="2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s v="I1312090210001"/>
    <x v="2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s v="I1312090220001"/>
    <x v="2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s v="I1312090910001"/>
    <x v="2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s v="I1312090920001"/>
    <x v="2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s v="I1313010110001"/>
    <x v="2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s v="I1313010120001"/>
    <x v="2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s v="I1313010310001"/>
    <x v="2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s v="I1313010320001"/>
    <x v="2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s v="I1313010330001"/>
    <x v="2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s v="I1313010340001"/>
    <x v="2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s v="I1313020310001"/>
    <x v="2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s v="I1313020320001"/>
    <x v="2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s v="I1323010610001"/>
    <x v="2"/>
    <x v="66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-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s v="I1323030100001"/>
    <x v="2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s v="I1331010000001"/>
    <x v="2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s v="I1331020100001"/>
    <x v="2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s v="I1331020200001"/>
    <x v="2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s v="I1331040100001"/>
    <x v="2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s v="I1331040200001"/>
    <x v="2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s v="I1331090100001"/>
    <x v="2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s v="I1331090200001"/>
    <x v="2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s v="I1331090300001"/>
    <x v="2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s v="I1331090900001"/>
    <x v="2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s v="I1332010100001"/>
    <x v="2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s v="I1391000000001"/>
    <x v="2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s v="I1399000000001"/>
    <x v="2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s v="I1412010100001"/>
    <x v="2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s v="I1412010300001"/>
    <x v="2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s v="I1412010400001"/>
    <x v="2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s v="I1412020000001"/>
    <x v="2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s v="I1413010100001"/>
    <x v="2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s v="I1413010200001"/>
    <x v="2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s v="I1413010300001"/>
    <x v="2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s v="I1413010400001"/>
    <x v="2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s v="I1413010500001"/>
    <x v="2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s v="I1413010600001"/>
    <x v="2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s v="I1413010700001"/>
    <x v="2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s v="I1413010900001"/>
    <x v="2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s v="I1413011000001"/>
    <x v="2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s v="I1413011200001"/>
    <x v="2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s v="I1413011300001"/>
    <x v="2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s v="I1413020000001"/>
    <x v="2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s v="I1413030000001"/>
    <x v="2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s v="I1414010000001"/>
    <x v="2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s v="I1415010100001"/>
    <x v="2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s v="I1415010200001"/>
    <x v="2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s v="I1415010400001"/>
    <x v="2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s v="I1415010500001"/>
    <x v="2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s v="I1416010100001"/>
    <x v="2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s v="I1416010200001"/>
    <x v="2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s v="I1416010300001"/>
    <x v="2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s v="I1416010600001"/>
    <x v="2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s v="I1421000000001"/>
    <x v="2"/>
    <x v="100"/>
    <n v="1"/>
    <x v="0"/>
    <n v="14"/>
    <x v="3"/>
    <n v="142"/>
    <x v="11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s v="I2432040000070"/>
    <x v="2"/>
    <x v="174"/>
    <n v="2"/>
    <x v="1"/>
    <n v="24"/>
    <x v="4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s v="I2510000000121"/>
    <x v="2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s v="I3131010000280"/>
    <x v="2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s v="I3131010000281"/>
    <x v="2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s v="I3131020000280"/>
    <x v="2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s v="I3211010300452"/>
    <x v="2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s v="I3211010400453"/>
    <x v="2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s v="I3211020900498"/>
    <x v="2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s v="I3211021000499"/>
    <x v="2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s v="I3211021300502"/>
    <x v="2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s v="I3211021400503"/>
    <x v="2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s v="I3211030300532"/>
    <x v="2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s v="I3211030400533"/>
    <x v="2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s v="I3211030500534"/>
    <x v="2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s v="I3211030500535"/>
    <x v="2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s v="I3212030000692"/>
    <x v="2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s v="I3212030000693"/>
    <x v="2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s v="I3311050000980"/>
    <x v="2"/>
    <x v="180"/>
    <n v="3"/>
    <x v="2"/>
    <n v="33"/>
    <x v="8"/>
    <n v="331"/>
    <x v="17"/>
    <n v="3311"/>
    <x v="35"/>
    <n v="331105"/>
    <s v="-"/>
    <n v="33110500"/>
    <s v="-"/>
    <n v="331105000"/>
    <s v="-"/>
    <n v="3311050000"/>
    <s v="-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s v="I1111010100001"/>
    <x v="3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s v="I1111020100001"/>
    <x v="3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s v="I1111030100001"/>
    <x v="3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s v="I1112010000001"/>
    <x v="3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s v="I1112020000001"/>
    <x v="3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s v="I1113010100001"/>
    <x v="3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s v="I1113010200001"/>
    <x v="3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s v="I1113020100001"/>
    <x v="3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s v="I1113020200001"/>
    <x v="3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s v="I1114010100001"/>
    <x v="3"/>
    <x v="122"/>
    <n v="1"/>
    <x v="0"/>
    <n v="11"/>
    <x v="0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s v="I1115010000001"/>
    <x v="3"/>
    <x v="18"/>
    <n v="1"/>
    <x v="0"/>
    <n v="11"/>
    <x v="0"/>
    <n v="111"/>
    <x v="0"/>
    <n v="1115"/>
    <x v="4"/>
    <n v="111501"/>
    <s v="Impuesto especial sobre bancos y entidades financieras no domiciliadas"/>
    <n v="11150100"/>
    <s v="-"/>
    <n v="111501000"/>
    <s v="-"/>
    <n v="1115010000"/>
    <s v="-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s v="I1121010000001"/>
    <x v="3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s v="I1122010000001"/>
    <x v="3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s v="I1122020000001"/>
    <x v="3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s v="I1123010000001"/>
    <x v="3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s v="I1124010000001"/>
    <x v="3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s v="I1125010000001"/>
    <x v="3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s v="I1131010100001"/>
    <x v="3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s v="I1131010200001"/>
    <x v="3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s v="I1131020100001"/>
    <x v="3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s v="I1131020200001"/>
    <x v="3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s v="I1132010210001"/>
    <x v="3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220001"/>
    <x v="3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s v="I1132010311001"/>
    <x v="3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s v="I1132010312001"/>
    <x v="3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s v="I1132010411001"/>
    <x v="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s v="I1132010412001"/>
    <x v="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s v="I1132010421001"/>
    <x v="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s v="I1132010422001"/>
    <x v="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s v="I1132010431001"/>
    <x v="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s v="I1132010440001"/>
    <x v="3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s v="I1132020310001"/>
    <x v="3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s v="I1141010100001"/>
    <x v="3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s v="I1141020100001"/>
    <x v="3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s v="I1142010100001"/>
    <x v="3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s v="I1142090100001"/>
    <x v="3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s v="I1143010100001"/>
    <x v="3"/>
    <x v="38"/>
    <n v="1"/>
    <x v="0"/>
    <n v="11"/>
    <x v="0"/>
    <n v="114"/>
    <x v="3"/>
    <n v="1143"/>
    <x v="13"/>
    <n v="114301"/>
    <s v="Impuestos por movilización de carga portuaria"/>
    <n v="11430101"/>
    <s v="-"/>
    <n v="114301010"/>
    <s v="-"/>
    <n v="1143010100"/>
    <s v="-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s v="I1143030100001"/>
    <x v="3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s v="I1143040100001"/>
    <x v="3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s v="I1143090100001"/>
    <x v="3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s v="I1143090200001"/>
    <x v="3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s v="I1191010000001"/>
    <x v="3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s v="I1199010000001"/>
    <x v="3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s v="I1199020100001"/>
    <x v="3"/>
    <x v="45"/>
    <n v="1"/>
    <x v="0"/>
    <n v="11"/>
    <x v="0"/>
    <n v="119"/>
    <x v="4"/>
    <n v="1199"/>
    <x v="15"/>
    <n v="119902"/>
    <s v="Ingresos por distribuir"/>
    <n v="11990201"/>
    <s v="Anticipos de aduanas"/>
    <n v="119902010"/>
    <s v="0"/>
    <n v="1199020100"/>
    <s v="0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s v="I1199020200001"/>
    <x v="3"/>
    <x v="46"/>
    <n v="1"/>
    <x v="0"/>
    <n v="11"/>
    <x v="0"/>
    <n v="119"/>
    <x v="4"/>
    <n v="1199"/>
    <x v="15"/>
    <n v="119902"/>
    <s v="Ingresos por distribuir"/>
    <n v="11990202"/>
    <s v="Anticipos impuesto al banano"/>
    <n v="119902020"/>
    <s v="0"/>
    <n v="11990202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3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s v="I1213020100001"/>
    <x v="3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s v="I1213030100001"/>
    <x v="3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s v="I1311090100001"/>
    <x v="3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s v="I1312030101001"/>
    <x v="3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s v="I1312040110001"/>
    <x v="3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s v="I1312090110001"/>
    <x v="3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s v="I1312090210001"/>
    <x v="3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s v="I1312090220001"/>
    <x v="3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s v="I1312090910001"/>
    <x v="3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s v="I1312090920001"/>
    <x v="3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s v="I1313010110001"/>
    <x v="3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s v="I1313010120001"/>
    <x v="3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s v="I1313010310001"/>
    <x v="3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s v="I1313010320001"/>
    <x v="3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s v="I1313010330001"/>
    <x v="3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s v="I1313010340001"/>
    <x v="3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s v="I1313020310001"/>
    <x v="3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s v="I1313020320001"/>
    <x v="3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s v="I1322020000001"/>
    <x v="3"/>
    <x v="181"/>
    <n v="1"/>
    <x v="0"/>
    <n v="13"/>
    <x v="2"/>
    <n v="132"/>
    <x v="7"/>
    <n v="1322"/>
    <x v="21"/>
    <n v="132202"/>
    <s v="Alquiler de terrenos"/>
    <n v="13220200"/>
    <s v="-"/>
    <n v="132202000"/>
    <s v="-"/>
    <n v="1322020000"/>
    <s v="-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s v="I1323010610001"/>
    <x v="3"/>
    <x v="181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1"/>
    <s v="Intereses bonos INVU"/>
    <n v="1323010610"/>
    <s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s v="I1323030100001"/>
    <x v="3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s v="I1331010000001"/>
    <x v="3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s v="I1331020100001"/>
    <x v="3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s v="I1331020200001"/>
    <x v="3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s v="I1331040100001"/>
    <x v="3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s v="I1331040200001"/>
    <x v="3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s v="I1331090100001"/>
    <x v="3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s v="I1331090200001"/>
    <x v="3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s v="I1331090300001"/>
    <x v="3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s v="I1331090400001"/>
    <x v="3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s v="I1331090900001"/>
    <x v="3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s v="I1332010100001"/>
    <x v="3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s v="I1391000000001"/>
    <x v="3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s v="I1399000000001"/>
    <x v="3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s v="I1412010100001"/>
    <x v="3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s v="I1412010300001"/>
    <x v="3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s v="I1412010400001"/>
    <x v="3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s v="I1412010500001"/>
    <x v="3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s v="I1412010600001"/>
    <x v="3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s v="I1412010700001"/>
    <x v="3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s v="I1412010800001"/>
    <x v="3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s v="I1412010900001"/>
    <x v="3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s v="I1412011000001"/>
    <x v="3"/>
    <x v="181"/>
    <n v="1"/>
    <x v="0"/>
    <n v="14"/>
    <x v="3"/>
    <n v="141"/>
    <x v="10"/>
    <n v="1412"/>
    <x v="27"/>
    <n v="141201"/>
    <s v="Transferencias de FODESAF"/>
    <n v="14120110"/>
    <s v="Fodesaf Ley 8783"/>
    <n v="141201100"/>
    <s v="-"/>
    <n v="1412011000"/>
    <s v="-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s v="I1412011100001"/>
    <x v="3"/>
    <x v="181"/>
    <n v="1"/>
    <x v="0"/>
    <n v="14"/>
    <x v="3"/>
    <n v="141"/>
    <x v="10"/>
    <n v="1412"/>
    <x v="27"/>
    <n v="141201"/>
    <s v="Transferencias de FODESAF"/>
    <n v="14120111"/>
    <s v="Fodesaf-CONAI-L8783"/>
    <n v="141201110"/>
    <s v="-"/>
    <n v="1412011100"/>
    <s v="-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s v="I1412011200001"/>
    <x v="3"/>
    <x v="181"/>
    <n v="1"/>
    <x v="0"/>
    <n v="14"/>
    <x v="3"/>
    <n v="141"/>
    <x v="10"/>
    <n v="1412"/>
    <x v="27"/>
    <n v="141201"/>
    <s v="Transferencias de FODESAF"/>
    <n v="14120112"/>
    <s v="Fodesaf-IMAS-L 8783"/>
    <n v="141201120"/>
    <s v="-"/>
    <n v="1412011200"/>
    <s v="-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s v="I1412011300001"/>
    <x v="3"/>
    <x v="181"/>
    <n v="1"/>
    <x v="0"/>
    <n v="14"/>
    <x v="3"/>
    <n v="141"/>
    <x v="10"/>
    <n v="1412"/>
    <x v="27"/>
    <n v="141201"/>
    <s v="Transferencias de FODESAF"/>
    <n v="14120113"/>
    <s v="Fodesaf-BANHV-FOSUVI"/>
    <n v="141201130"/>
    <s v="-"/>
    <n v="1412011300"/>
    <s v="-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s v="I1412011400001"/>
    <x v="3"/>
    <x v="181"/>
    <n v="1"/>
    <x v="0"/>
    <n v="14"/>
    <x v="3"/>
    <n v="141"/>
    <x v="10"/>
    <n v="1412"/>
    <x v="27"/>
    <n v="141201"/>
    <s v="Transferencias de FODESAF"/>
    <n v="14120114"/>
    <s v="Fodesaf-BANHV-FOSUVI"/>
    <n v="141201140"/>
    <s v="-"/>
    <n v="1412011400"/>
    <s v="-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s v="I1412020000001"/>
    <x v="3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s v="I1412030000001"/>
    <x v="3"/>
    <x v="188"/>
    <n v="1"/>
    <x v="0"/>
    <n v="14"/>
    <x v="3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s v="I1413010100001"/>
    <x v="3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s v="I1413010200001"/>
    <x v="3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s v="I1413010300001"/>
    <x v="3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s v="I1413010400001"/>
    <x v="3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s v="I1413010500001"/>
    <x v="3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s v="I1413010600001"/>
    <x v="3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s v="I1413010700001"/>
    <x v="3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s v="I1413010900001"/>
    <x v="3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s v="I1413011000001"/>
    <x v="3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s v="I1413011100001"/>
    <x v="3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s v="I1413011200001"/>
    <x v="3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s v="I1413011300001"/>
    <x v="3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s v="I1413020000001"/>
    <x v="3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s v="I1413030000001"/>
    <x v="3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s v="I1414010000001"/>
    <x v="3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s v="I1415010100001"/>
    <x v="3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s v="I1415010200001"/>
    <x v="3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s v="I1415010300001"/>
    <x v="3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s v="I1415010400001"/>
    <x v="3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s v="I1415010500001"/>
    <x v="3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s v="I1415010600001"/>
    <x v="3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s v="I1415020000001"/>
    <x v="3"/>
    <x v="181"/>
    <n v="1"/>
    <x v="0"/>
    <n v="14"/>
    <x v="3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s v="I1416010100001"/>
    <x v="3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s v="I1416010200001"/>
    <x v="3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s v="I1416010300001"/>
    <x v="3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s v="I1416010400001"/>
    <x v="3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s v="I1416010600001"/>
    <x v="3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s v="I1421000000001"/>
    <x v="3"/>
    <x v="100"/>
    <n v="1"/>
    <x v="0"/>
    <n v="14"/>
    <x v="3"/>
    <n v="142"/>
    <x v="10"/>
    <n v="1421"/>
    <x v="32"/>
    <n v="142100"/>
    <s v="Código Notalerial Ley 7764"/>
    <n v="14210000"/>
    <s v="-"/>
    <n v="142100000"/>
    <s v="-"/>
    <n v="1421000000"/>
    <s v="-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s v="I1432020000001"/>
    <x v="3"/>
    <x v="174"/>
    <n v="1"/>
    <x v="0"/>
    <n v="14"/>
    <x v="3"/>
    <n v="143"/>
    <x v="18"/>
    <n v="1432"/>
    <x v="40"/>
    <n v="143202"/>
    <s v="Donación República de China"/>
    <n v="14320200"/>
    <s v="-"/>
    <n v="143202000"/>
    <s v="-"/>
    <n v="1432020000"/>
    <s v="-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s v="I2432040000070"/>
    <x v="3"/>
    <x v="174"/>
    <n v="2"/>
    <x v="1"/>
    <n v="24"/>
    <x v="4"/>
    <n v="243"/>
    <x v="13"/>
    <n v="2432"/>
    <x v="34"/>
    <n v="243204"/>
    <s v="Donación China"/>
    <n v="24320400"/>
    <s v="-"/>
    <n v="243204000"/>
    <s v="-"/>
    <n v="2432040000"/>
    <s v="-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s v="I2510000000121"/>
    <x v="3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s v="I3131010000280"/>
    <x v="3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s v="I3131020000280"/>
    <x v="3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s v="I3211010300452"/>
    <x v="3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s v="I3211010400453"/>
    <x v="3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s v="I3211020900498"/>
    <x v="3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s v="I3211021000499"/>
    <x v="3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s v="I3211021100500"/>
    <x v="3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s v="I3211021300502"/>
    <x v="3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s v="I3211021400503"/>
    <x v="3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s v="I3211021500504"/>
    <x v="3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3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s v="I3211030400533"/>
    <x v="3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s v="I3211030500534"/>
    <x v="3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s v="I3211030500535"/>
    <x v="3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s v="I3211030500536"/>
    <x v="3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s v="I3211030600537"/>
    <x v="3"/>
    <x v="192"/>
    <n v="3"/>
    <x v="2"/>
    <n v="32"/>
    <x v="7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s v="I3211090100650"/>
    <x v="3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s v="I3211090200660"/>
    <x v="3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3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3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s v="I3212030000693"/>
    <x v="3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s v="I1111010100001"/>
    <x v="4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s v="I1111020100001"/>
    <x v="4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s v="I1111030100001"/>
    <x v="4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s v="I1112010000001"/>
    <x v="4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s v="I1112020000001"/>
    <x v="4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s v="I1113010100001"/>
    <x v="4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s v="I1113010200001"/>
    <x v="4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s v="I1113020100001"/>
    <x v="4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s v="I1113020200001"/>
    <x v="4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s v="I1114010100001"/>
    <x v="4"/>
    <x v="122"/>
    <n v="1"/>
    <x v="0"/>
    <n v="11"/>
    <x v="0"/>
    <n v="111"/>
    <x v="0"/>
    <n v="1114"/>
    <x v="3"/>
    <n v="111401"/>
    <s v="Impuesto sobre remesas al exterior"/>
    <n v="11140101"/>
    <s v="-"/>
    <n v="111401010"/>
    <s v="-"/>
    <n v="1114010100"/>
    <s v="-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s v="I1115010100001"/>
    <x v="4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s v="I1121010000001"/>
    <x v="4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s v="I1122010000001"/>
    <x v="4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s v="I1122020000001"/>
    <x v="4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s v="I1123010000001"/>
    <x v="4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s v="I1124010000001"/>
    <x v="4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s v="I1125010000001"/>
    <x v="4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s v="I1131010100001"/>
    <x v="4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s v="I1131010200001"/>
    <x v="4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s v="I1131020100001"/>
    <x v="4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s v="I1131020200001"/>
    <x v="4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s v="I1132010210001"/>
    <x v="4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s v="I1132010220001"/>
    <x v="4"/>
    <x v="29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2"/>
    <s v="Licencia de caza y pesca MIRENEM"/>
    <n v="1132010220"/>
    <s v="-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s v="I1132010311001"/>
    <x v="4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s v="I1132010312001"/>
    <x v="4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s v="I1132010411001"/>
    <x v="4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s v="I1132010412001"/>
    <x v="4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s v="I1132010421001"/>
    <x v="4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s v="I1132010422001"/>
    <x v="4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s v="I1132010431001"/>
    <x v="4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s v="I1132010440001"/>
    <x v="4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s v="I1132020310001"/>
    <x v="4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s v="I1141010100001"/>
    <x v="4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s v="I1141020100001"/>
    <x v="4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s v="I1142010100001"/>
    <x v="4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s v="I1142090100001"/>
    <x v="4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s v="I1143030100001"/>
    <x v="4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s v="I1143040100001"/>
    <x v="4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s v="I1143090100001"/>
    <x v="4"/>
    <x v="4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0"/>
    <s v="-"/>
    <n v="1143090100"/>
    <s v="-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s v="I1143090200001"/>
    <x v="4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s v="I1191010000001"/>
    <x v="4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s v="I1199010000001"/>
    <x v="4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s v="I1213010100001"/>
    <x v="4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s v="I1213020100001"/>
    <x v="4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s v="I1213030100001"/>
    <x v="4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s v="I1311090100001"/>
    <x v="4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s v="I1312030101001"/>
    <x v="4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s v="I1312040110001"/>
    <x v="4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s v="I1312090110001"/>
    <x v="4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s v="I1312090210001"/>
    <x v="4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s v="I1312090220001"/>
    <x v="4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s v="I1312090910001"/>
    <x v="4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s v="I1312090920001"/>
    <x v="4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s v="I1313010110001"/>
    <x v="4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s v="I1313010120001"/>
    <x v="4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s v="I1313010310001"/>
    <x v="4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s v="I1313010320001"/>
    <x v="4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s v="I1313010330001"/>
    <x v="4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s v="I1313010340001"/>
    <x v="4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s v="I1313020310001"/>
    <x v="4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s v="I1313020320001"/>
    <x v="4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s v="I1323020510001"/>
    <x v="4"/>
    <x v="195"/>
    <n v="1"/>
    <x v="0"/>
    <n v="13"/>
    <x v="2"/>
    <n v="132"/>
    <x v="7"/>
    <n v="1323"/>
    <x v="22"/>
    <n v="132302"/>
    <s v="Intereses y comisiones sobre préstamos"/>
    <n v="13230205"/>
    <s v="Intereses y comisiones sobre préstamos a empresas públicas no financieras"/>
    <n v="132302051"/>
    <s v="Deuda renegociada AyA"/>
    <n v="1323020510"/>
    <s v="-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s v="I1323020610001"/>
    <x v="4"/>
    <x v="196"/>
    <n v="1"/>
    <x v="0"/>
    <n v="13"/>
    <x v="2"/>
    <n v="132"/>
    <x v="7"/>
    <n v="1323"/>
    <x v="22"/>
    <n v="132302"/>
    <s v="Intereses y comisiones sobre préstamos"/>
    <n v="13230206"/>
    <s v="Intereses y comisiones sobre préstamos a instituciones públicas financieras"/>
    <n v="132302061"/>
    <s v="Deuda renegociada BCCR"/>
    <n v="1323020610"/>
    <s v="-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s v="I1323030100001"/>
    <x v="4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s v="I1331010000001"/>
    <x v="4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s v="I1331020100001"/>
    <x v="4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s v="I1331020200001"/>
    <x v="4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s v="I1331040100001"/>
    <x v="4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s v="I1331040200001"/>
    <x v="4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s v="I1331090100001"/>
    <x v="4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s v="I1331090200001"/>
    <x v="4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s v="I1331090300001"/>
    <x v="4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s v="I1331090900001"/>
    <x v="4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s v="I1332010100001"/>
    <x v="4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s v="I1391000000001"/>
    <x v="4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s v="I1399000000001"/>
    <x v="4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s v="I1412010100001"/>
    <x v="4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s v="I1412010300001"/>
    <x v="4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s v="I1412010400001"/>
    <x v="4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s v="I1412010500001"/>
    <x v="4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s v="I1412010600001"/>
    <x v="4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s v="I1412010700001"/>
    <x v="4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s v="I1412010800001"/>
    <x v="4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s v="I1412010900001"/>
    <x v="4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s v="I1412020000001"/>
    <x v="4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s v="I1412030000001"/>
    <x v="4"/>
    <x v="188"/>
    <n v="1"/>
    <x v="0"/>
    <n v="14"/>
    <x v="3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s v="I1413010100001"/>
    <x v="4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s v="I1413010200001"/>
    <x v="4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s v="I1413010300001"/>
    <x v="4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s v="I1413010400001"/>
    <x v="4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s v="I1413010500001"/>
    <x v="4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s v="I1413010600001"/>
    <x v="4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s v="I1413010700001"/>
    <x v="4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s v="I1413010900001"/>
    <x v="4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s v="I1413011000001"/>
    <x v="4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s v="I1413011100001"/>
    <x v="4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s v="I1413011200001"/>
    <x v="4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s v="I1413011300001"/>
    <x v="4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s v="I1413020000001"/>
    <x v="4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s v="I1413030000001"/>
    <x v="4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s v="I1414010000001"/>
    <x v="4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s v="I1415010100001"/>
    <x v="4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s v="I1415010200001"/>
    <x v="4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s v="I1415010300001"/>
    <x v="4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s v="I1415010400001"/>
    <x v="4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s v="I1415010500001"/>
    <x v="4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4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s v="I1416010100001"/>
    <x v="4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s v="I1416010200001"/>
    <x v="4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s v="I1416010300001"/>
    <x v="4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s v="I1416010400001"/>
    <x v="4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s v="I1416010600001"/>
    <x v="4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s v="I1416020000001"/>
    <x v="4"/>
    <x v="197"/>
    <n v="1"/>
    <x v="0"/>
    <n v="14"/>
    <x v="3"/>
    <n v="141"/>
    <x v="10"/>
    <n v="1416"/>
    <x v="31"/>
    <n v="141602"/>
    <s v="INS Parques Culturales"/>
    <n v="14160200"/>
    <s v="INS Parques Culturales"/>
    <n v="141602000"/>
    <s v="-"/>
    <n v="1416020000"/>
    <s v="-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s v="I2510000000121"/>
    <x v="4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s v="I3131010000280"/>
    <x v="4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s v="I3131020000280"/>
    <x v="4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s v="I3211010300452"/>
    <x v="4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s v="I3211010400453"/>
    <x v="4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s v="I3211020900498"/>
    <x v="4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s v="I3211021000499"/>
    <x v="4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s v="I3211021100500"/>
    <x v="4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4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4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s v="I3211021500504"/>
    <x v="4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s v="I3211030300532"/>
    <x v="4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4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s v="I3211030500534"/>
    <x v="4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s v="I3211030500535"/>
    <x v="4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s v="I3211030500536"/>
    <x v="4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600537"/>
    <x v="4"/>
    <x v="192"/>
    <n v="3"/>
    <x v="2"/>
    <n v="32"/>
    <x v="7"/>
    <n v="321"/>
    <x v="16"/>
    <n v="3211"/>
    <x v="37"/>
    <n v="321103"/>
    <s v="Banco Mundial"/>
    <n v="32110306"/>
    <s v="-"/>
    <n v="321103060"/>
    <s v="-"/>
    <n v="3211030600"/>
    <s v="-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s v="I3211090100650"/>
    <x v="4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s v="I3211090200660"/>
    <x v="4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4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4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s v="I3212030000693"/>
    <x v="4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s v="I1111010100001"/>
    <x v="5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s v="I1111020100001"/>
    <x v="5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s v="I1111030100001"/>
    <x v="5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s v="I1112010000001"/>
    <x v="5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s v="I1112020000001"/>
    <x v="5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s v="I1113010100001"/>
    <x v="5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s v="I1113010200001"/>
    <x v="5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s v="I1113020100001"/>
    <x v="5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s v="I1113020200001"/>
    <x v="5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s v="I1114010000001"/>
    <x v="5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s v="I1115010100001"/>
    <x v="5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s v="I1121010000001"/>
    <x v="5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s v="I1122010000001"/>
    <x v="5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s v="I1122020000001"/>
    <x v="5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s v="I1123010000001"/>
    <x v="5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s v="I1123020000001"/>
    <x v="5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s v="I1124010000001"/>
    <x v="5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s v="I1125010000001"/>
    <x v="5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s v="I1131010100001"/>
    <x v="5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s v="I1131010200001"/>
    <x v="5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s v="I1131020100001"/>
    <x v="5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s v="I1131020200001"/>
    <x v="5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s v="I1132010210001"/>
    <x v="5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s v="I1132010311001"/>
    <x v="5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s v="I1132010312001"/>
    <x v="5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s v="I1132010411001"/>
    <x v="5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s v="I1132010412001"/>
    <x v="5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s v="I1132010421001"/>
    <x v="5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s v="I1132010422001"/>
    <x v="5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s v="I1132010431001"/>
    <x v="5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s v="I1132010440001"/>
    <x v="5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s v="I1132010451001"/>
    <x v="5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s v="I1132010452001"/>
    <x v="5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s v="I1132020310001"/>
    <x v="5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s v="I1141010100001"/>
    <x v="5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s v="I1141020100001"/>
    <x v="5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s v="I1142010100001"/>
    <x v="5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s v="I1142090100001"/>
    <x v="5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s v="I1143030100001"/>
    <x v="5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s v="I1143040100001"/>
    <x v="5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s v="I1143090110001"/>
    <x v="5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s v="I1143090130001"/>
    <x v="5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s v="I1143090200001"/>
    <x v="5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s v="I1191010000001"/>
    <x v="5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s v="I1199010000001"/>
    <x v="5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s v="I1213010100001"/>
    <x v="5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s v="I1213020100001"/>
    <x v="5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s v="I1213030100001"/>
    <x v="5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s v="I1311090100001"/>
    <x v="5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s v="I1312030101001"/>
    <x v="5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s v="I1312030102001"/>
    <x v="5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s v="I1312040110001"/>
    <x v="5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s v="I1312090110001"/>
    <x v="5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s v="I1312090210001"/>
    <x v="5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s v="I1312090220001"/>
    <x v="5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s v="I1312090910001"/>
    <x v="5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s v="I1312090920001"/>
    <x v="5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s v="I1313010110001"/>
    <x v="5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s v="I1313010120001"/>
    <x v="5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s v="I1313010310001"/>
    <x v="5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s v="I1313010320001"/>
    <x v="5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s v="I1313010330001"/>
    <x v="5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s v="I1313010340001"/>
    <x v="5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s v="I1313020310001"/>
    <x v="5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s v="I1313020320001"/>
    <x v="5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s v="I1321020000001"/>
    <x v="5"/>
    <x v="64"/>
    <n v="1"/>
    <x v="0"/>
    <n v="13"/>
    <x v="2"/>
    <n v="132"/>
    <x v="7"/>
    <n v="1321"/>
    <x v="20"/>
    <n v="132102"/>
    <s v="Acciones CEMEX-CR SA"/>
    <n v="13210200"/>
    <s v="-"/>
    <n v="132102000"/>
    <s v="-"/>
    <n v="1321020000"/>
    <s v="-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s v="I1323030100001"/>
    <x v="5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s v="I1331010000001"/>
    <x v="5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s v="I1331020100001"/>
    <x v="5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s v="I1331020200001"/>
    <x v="5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s v="I1331040100001"/>
    <x v="5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s v="I1331040200001"/>
    <x v="5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s v="I1331090100001"/>
    <x v="5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s v="I1331090200001"/>
    <x v="5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s v="I1331090300001"/>
    <x v="5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s v="I1331090900001"/>
    <x v="5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s v="I1332010100001"/>
    <x v="5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s v="I1391000000001"/>
    <x v="5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s v="I1399000000001"/>
    <x v="5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s v="I1412010100001"/>
    <x v="5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s v="I1412010200001"/>
    <x v="5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s v="I1412010300001"/>
    <x v="5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s v="I1412010400001"/>
    <x v="5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s v="I1412010500001"/>
    <x v="5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s v="I1412010600001"/>
    <x v="5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s v="I1412010700001"/>
    <x v="5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s v="I1412010800001"/>
    <x v="5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s v="I1412010900001"/>
    <x v="5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s v="I1412020000001"/>
    <x v="5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s v="I1412030000001"/>
    <x v="5"/>
    <x v="188"/>
    <n v="1"/>
    <x v="0"/>
    <n v="14"/>
    <x v="3"/>
    <n v="141"/>
    <x v="10"/>
    <n v="1412"/>
    <x v="27"/>
    <n v="141203"/>
    <s v="Consejo de Seguridad Vial"/>
    <n v="14120300"/>
    <s v="-"/>
    <n v="141203000"/>
    <s v="-"/>
    <n v="1412030000"/>
    <s v="-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s v="I1413010100001"/>
    <x v="5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s v="I1413010200001"/>
    <x v="5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s v="I1413010300001"/>
    <x v="5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s v="I1413010400001"/>
    <x v="5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s v="I1413010500001"/>
    <x v="5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s v="I1413010600001"/>
    <x v="5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s v="I1413010700001"/>
    <x v="5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s v="I1413010900001"/>
    <x v="5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s v="I1413011000001"/>
    <x v="5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s v="I1413011100001"/>
    <x v="5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s v="I1413011200001"/>
    <x v="5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s v="I1413011300001"/>
    <x v="5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s v="I1413020000001"/>
    <x v="5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s v="I1413030000001"/>
    <x v="5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s v="I1414010000001"/>
    <x v="5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s v="I1415010100001"/>
    <x v="5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s v="I1415010200001"/>
    <x v="5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s v="I1415010300001"/>
    <x v="5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s v="I1415010400001"/>
    <x v="5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s v="I1415010500001"/>
    <x v="5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s v="I1415010600001"/>
    <x v="5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s v="I1415020000001"/>
    <x v="5"/>
    <x v="181"/>
    <n v="1"/>
    <x v="0"/>
    <n v="14"/>
    <x v="3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5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s v="I1416010200001"/>
    <x v="5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s v="I1416010300001"/>
    <x v="5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s v="I1416010400001"/>
    <x v="5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6010600001"/>
    <x v="5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s v="I1431010000001"/>
    <x v="5"/>
    <x v="181"/>
    <n v="1"/>
    <x v="0"/>
    <n v="14"/>
    <x v="3"/>
    <n v="143"/>
    <x v="18"/>
    <n v="1431"/>
    <x v="41"/>
    <n v="143101"/>
    <s v="Donación BIRF"/>
    <n v="14310100"/>
    <s v="-"/>
    <n v="143101000"/>
    <s v="-"/>
    <n v="1431010000"/>
    <s v="-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s v="I1431020000001"/>
    <x v="5"/>
    <x v="205"/>
    <n v="1"/>
    <x v="0"/>
    <n v="14"/>
    <x v="3"/>
    <n v="143"/>
    <x v="18"/>
    <n v="1431"/>
    <x v="41"/>
    <n v="143102"/>
    <s v="Donación PNUD"/>
    <n v="14310200"/>
    <s v="-"/>
    <n v="143102000"/>
    <s v="-"/>
    <n v="1431020000"/>
    <s v="-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s v="I2431020000065"/>
    <x v="5"/>
    <x v="206"/>
    <n v="2"/>
    <x v="1"/>
    <n v="24"/>
    <x v="4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s v="I2510000000121"/>
    <x v="5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s v="I3131010000280"/>
    <x v="5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s v="I3131020000280"/>
    <x v="5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s v="I3211010300452"/>
    <x v="5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5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s v="I3211020900498"/>
    <x v="5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s v="I3211021000499"/>
    <x v="5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s v="I3211021100500"/>
    <x v="5"/>
    <x v="108"/>
    <n v="3"/>
    <x v="2"/>
    <n v="32"/>
    <x v="7"/>
    <n v="321"/>
    <x v="16"/>
    <n v="3211"/>
    <x v="37"/>
    <n v="321102"/>
    <s v="Banco Interamericano de Desarrollo"/>
    <n v="32110211"/>
    <s v="-"/>
    <n v="321102110"/>
    <s v="-"/>
    <n v="3211021100"/>
    <s v="-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300502"/>
    <x v="5"/>
    <x v="109"/>
    <n v="3"/>
    <x v="2"/>
    <n v="32"/>
    <x v="7"/>
    <n v="321"/>
    <x v="16"/>
    <n v="3211"/>
    <x v="37"/>
    <n v="321102"/>
    <s v="Banco Interamericano de Desarrollo"/>
    <n v="32110213"/>
    <s v="-"/>
    <n v="321102130"/>
    <s v="-"/>
    <n v="3211021300"/>
    <s v="-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5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s v="I3211021500504"/>
    <x v="5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5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5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5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300532"/>
    <x v="5"/>
    <x v="110"/>
    <n v="3"/>
    <x v="2"/>
    <n v="32"/>
    <x v="7"/>
    <n v="321"/>
    <x v="16"/>
    <n v="3211"/>
    <x v="37"/>
    <n v="321103"/>
    <s v="Banco Mundial"/>
    <n v="32110303"/>
    <s v="-"/>
    <n v="321103030"/>
    <s v="-"/>
    <n v="3211030300"/>
    <s v="-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5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s v="I3211030500534"/>
    <x v="5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s v="I3211030500535"/>
    <x v="5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5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5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s v="I3211090200660"/>
    <x v="5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10000690"/>
    <x v="5"/>
    <x v="111"/>
    <n v="3"/>
    <x v="2"/>
    <n v="32"/>
    <x v="7"/>
    <n v="321"/>
    <x v="16"/>
    <n v="3212"/>
    <x v="38"/>
    <n v="321201"/>
    <s v="-"/>
    <n v="32120100"/>
    <s v="-"/>
    <n v="321201000"/>
    <s v="-"/>
    <n v="3212010000"/>
    <s v="-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2"/>
    <x v="5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5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s v="I3232010000890"/>
    <x v="5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s v="I3311060000905"/>
    <x v="5"/>
    <x v="211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s v="I1111010100001"/>
    <x v="6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s v="I1111020100001"/>
    <x v="6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s v="I1111030100001"/>
    <x v="6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s v="I1112010000001"/>
    <x v="6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s v="I1112020000001"/>
    <x v="6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s v="I1113010100001"/>
    <x v="6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s v="I1113010200001"/>
    <x v="6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s v="I1113020100001"/>
    <x v="6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s v="I1113020200001"/>
    <x v="6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s v="I1114010000001"/>
    <x v="6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s v="I1115010100001"/>
    <x v="6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s v="I1121010000001"/>
    <x v="6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s v="I1122010000001"/>
    <x v="6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s v="I1122020000001"/>
    <x v="6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s v="I1123010000001"/>
    <x v="6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s v="I1123020000001"/>
    <x v="6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s v="I1124010000001"/>
    <x v="6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s v="I1125010000001"/>
    <x v="6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s v="I1131010100001"/>
    <x v="6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s v="I1131010200001"/>
    <x v="6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s v="I1131020100001"/>
    <x v="6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s v="I1131020200001"/>
    <x v="6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s v="I1132010210001"/>
    <x v="6"/>
    <x v="125"/>
    <n v="1"/>
    <x v="0"/>
    <n v="11"/>
    <x v="0"/>
    <n v="113"/>
    <x v="2"/>
    <n v="1132"/>
    <x v="10"/>
    <n v="113201"/>
    <s v="Impuestos específicos sobre la producción y consumo de bienes"/>
    <n v="11320102"/>
    <s v="Impuestos específicos sobre la explotación de recursos naturales y minerales"/>
    <n v="113201021"/>
    <s v="Licencia de caza y pesca continental"/>
    <n v="1132010210"/>
    <s v="-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s v="I1132010311001"/>
    <x v="6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s v="I1132010312001"/>
    <x v="6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s v="I1132010411001"/>
    <x v="6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s v="I1132010412001"/>
    <x v="6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s v="I1132010421001"/>
    <x v="6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s v="I1132010422001"/>
    <x v="6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s v="I1132010431001"/>
    <x v="6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s v="I1132010440001"/>
    <x v="6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s v="I1132010451001"/>
    <x v="6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s v="I1132010452001"/>
    <x v="6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s v="I1132020310001"/>
    <x v="6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s v="I1132020320001"/>
    <x v="6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s v="I1141010100001"/>
    <x v="6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s v="I1141020100001"/>
    <x v="6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s v="I1142010100001"/>
    <x v="6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s v="I1142090100001"/>
    <x v="6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s v="I1142090200001"/>
    <x v="6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s v="I1143030100001"/>
    <x v="6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s v="I1143030200001"/>
    <x v="6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s v="I1143040100001"/>
    <x v="6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s v="I1143090110001"/>
    <x v="6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s v="I1143090120001"/>
    <x v="6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s v="I1143090130001"/>
    <x v="6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s v="I1143090200001"/>
    <x v="6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s v="I1191010000001"/>
    <x v="6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s v="I1199010000001"/>
    <x v="6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s v="I1213010100001"/>
    <x v="6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s v="I1213020100001"/>
    <x v="6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s v="I1213030100001"/>
    <x v="6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s v="I1312030101001"/>
    <x v="6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s v="I1312030102001"/>
    <x v="6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s v="I1312040110001"/>
    <x v="6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s v="I1312090210001"/>
    <x v="6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s v="I1312090220001"/>
    <x v="6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s v="I1312090910001"/>
    <x v="6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s v="I1312090920001"/>
    <x v="6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s v="I1312090930001"/>
    <x v="6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0"/>
    <n v="131209093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s v="I1313010110001"/>
    <x v="6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s v="I1313010120001"/>
    <x v="6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s v="I1313010310001"/>
    <x v="6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s v="I1313010320001"/>
    <x v="6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s v="I1313010330001"/>
    <x v="6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s v="I1313010340001"/>
    <x v="6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s v="I1313020310001"/>
    <x v="6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s v="I1313020320001"/>
    <x v="6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s v="I1323030100001"/>
    <x v="6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s v="I1331010000001"/>
    <x v="6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s v="I1331020100001"/>
    <x v="6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s v="I1331020200001"/>
    <x v="6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s v="I1331040100001"/>
    <x v="6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s v="I1331040200001"/>
    <x v="6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s v="I1331090100001"/>
    <x v="6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s v="I1331090200001"/>
    <x v="6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s v="I1331090300001"/>
    <x v="6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s v="I1331090400001"/>
    <x v="6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s v="I1331090900001"/>
    <x v="6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s v="I1332010100001"/>
    <x v="6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s v="I1391000000001"/>
    <x v="6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s v="I1399000000001"/>
    <x v="6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s v="I1412010100001"/>
    <x v="6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s v="I1412010200001"/>
    <x v="6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s v="I1412010300001"/>
    <x v="6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s v="I1412010400001"/>
    <x v="6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s v="I1412010500001"/>
    <x v="6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s v="I1412010600001"/>
    <x v="6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s v="I1412010700001"/>
    <x v="6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s v="I1412010800001"/>
    <x v="6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s v="I1412010900001"/>
    <x v="6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s v="I1412020000001"/>
    <x v="6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s v="I1413010100001"/>
    <x v="6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s v="I1413010200001"/>
    <x v="6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6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s v="I1413010400001"/>
    <x v="6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s v="I1413010500001"/>
    <x v="6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s v="I1413010600001"/>
    <x v="6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13010700001"/>
    <x v="6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s v="I1413010800001"/>
    <x v="6"/>
    <x v="85"/>
    <n v="1"/>
    <x v="0"/>
    <n v="14"/>
    <x v="3"/>
    <n v="141"/>
    <x v="10"/>
    <n v="1413"/>
    <x v="28"/>
    <n v="141301"/>
    <s v="Cuotas a Organismos Internacionales, Ley N° 3418"/>
    <n v="14130108"/>
    <s v="IMAS"/>
    <n v="141301080"/>
    <s v="-"/>
    <n v="1413010800"/>
    <s v="-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s v="I1413010900001"/>
    <x v="6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s v="I1413011000001"/>
    <x v="6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s v="I1413011100001"/>
    <x v="6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s v="I1413011200001"/>
    <x v="6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s v="I1413011300001"/>
    <x v="6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s v="I1413020000001"/>
    <x v="6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s v="I1413030000001"/>
    <x v="6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s v="I1413040000001"/>
    <x v="6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s v="I1414010000001"/>
    <x v="6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s v="I1415010100001"/>
    <x v="6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s v="I1415010200001"/>
    <x v="6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s v="I1415010300001"/>
    <x v="6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s v="I1415010400001"/>
    <x v="6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s v="I1415010500001"/>
    <x v="6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s v="I1415010600001"/>
    <x v="6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s v="I1415020000001"/>
    <x v="6"/>
    <x v="181"/>
    <n v="1"/>
    <x v="0"/>
    <n v="14"/>
    <x v="3"/>
    <n v="141"/>
    <x v="10"/>
    <n v="1415"/>
    <x v="30"/>
    <n v="141502"/>
    <s v="RECOPE Ley N° 7399 Art 56"/>
    <n v="14150200"/>
    <s v="-"/>
    <n v="141502000"/>
    <s v="-"/>
    <n v="1415020000"/>
    <s v="-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416010100001"/>
    <x v="6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s v="I1416010200001"/>
    <x v="6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s v="I1416010300001"/>
    <x v="6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s v="I1416010400001"/>
    <x v="6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s v="I1416010500001"/>
    <x v="6"/>
    <x v="152"/>
    <n v="1"/>
    <x v="0"/>
    <n v="14"/>
    <x v="3"/>
    <n v="141"/>
    <x v="10"/>
    <n v="1416"/>
    <x v="31"/>
    <n v="141601"/>
    <s v="Cuotas Organismos Internacionales, Ley N° 3418"/>
    <n v="14160105"/>
    <s v="INS"/>
    <n v="141601050"/>
    <s v="-"/>
    <n v="1416010500"/>
    <s v="-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s v="I1416010600001"/>
    <x v="6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s v="I1431030000001"/>
    <x v="6"/>
    <x v="218"/>
    <n v="1"/>
    <x v="0"/>
    <n v="14"/>
    <x v="3"/>
    <n v="143"/>
    <x v="18"/>
    <n v="1431"/>
    <x v="41"/>
    <n v="143103"/>
    <s v="Donación BCIE"/>
    <n v="14310300"/>
    <s v="-"/>
    <n v="143103000"/>
    <s v="-"/>
    <n v="1431030000"/>
    <s v="-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s v="I1432030000001"/>
    <x v="6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s v="I2111000000002"/>
    <x v="6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s v="I2412020000060"/>
    <x v="6"/>
    <x v="181"/>
    <n v="2"/>
    <x v="1"/>
    <n v="24"/>
    <x v="4"/>
    <n v="241"/>
    <x v="12"/>
    <n v="2412"/>
    <x v="33"/>
    <n v="241202"/>
    <s v="Proyecto de Desarrollo Agrícola Península de Nicoya (PRODAPEN)"/>
    <n v="24120200"/>
    <s v="-"/>
    <n v="241202000"/>
    <s v="-"/>
    <n v="2412020000"/>
    <s v="-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s v="I2510000000121"/>
    <x v="6"/>
    <x v="103"/>
    <n v="2"/>
    <x v="1"/>
    <n v="25"/>
    <x v="5"/>
    <n v="251"/>
    <x v="14"/>
    <n v="2510"/>
    <x v="35"/>
    <n v="251000"/>
    <s v="-"/>
    <n v="25100000"/>
    <s v="-"/>
    <n v="251000000"/>
    <s v="-"/>
    <n v="2510000000"/>
    <s v="-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s v="I3131010000280"/>
    <x v="6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s v="I3131020000280"/>
    <x v="6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s v="I3131010000281"/>
    <x v="6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s v="I3131010000282"/>
    <x v="6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131020000283"/>
    <x v="6"/>
    <x v="222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s v="I3211010300452"/>
    <x v="6"/>
    <x v="105"/>
    <n v="3"/>
    <x v="2"/>
    <n v="32"/>
    <x v="7"/>
    <n v="321"/>
    <x v="16"/>
    <n v="3211"/>
    <x v="37"/>
    <n v="321101"/>
    <s v="Banco Centroaméricano de Integración Económica"/>
    <n v="32110103"/>
    <s v="-"/>
    <n v="321101030"/>
    <s v="-"/>
    <n v="3211010300"/>
    <s v="-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6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s v="I3211020900498"/>
    <x v="6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s v="I3211021000499"/>
    <x v="6"/>
    <x v="107"/>
    <n v="3"/>
    <x v="2"/>
    <n v="32"/>
    <x v="7"/>
    <n v="321"/>
    <x v="16"/>
    <n v="3211"/>
    <x v="37"/>
    <n v="321102"/>
    <s v="Banco Interamericano de Desarrollo"/>
    <n v="32110210"/>
    <s v="-"/>
    <n v="321102100"/>
    <s v="-"/>
    <n v="3211021000"/>
    <s v="-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s v="I3211021400503"/>
    <x v="6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s v="I3211021500504"/>
    <x v="6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s v="I3211021600505"/>
    <x v="6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s v="I3211021700506"/>
    <x v="6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s v="I3211021800507"/>
    <x v="6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s v="I3211030400533"/>
    <x v="6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s v="I3211030500534"/>
    <x v="6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s v="I3211030500535"/>
    <x v="6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6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s v="I3211030700538"/>
    <x v="6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6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s v="I3211090200660"/>
    <x v="6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s v="I3212030000692"/>
    <x v="6"/>
    <x v="112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6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s v="I3232010000890"/>
    <x v="6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s v="I3311060000905"/>
    <x v="6"/>
    <x v="211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s v="I3311060000906"/>
    <x v="6"/>
    <x v="224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s v="I1111010100001"/>
    <x v="7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s v="I1111020100001"/>
    <x v="7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s v="I1111030100001"/>
    <x v="7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s v="I1112010000001"/>
    <x v="7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s v="I1112020000001"/>
    <x v="7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s v="I1113010100001"/>
    <x v="7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s v="I1113010200001"/>
    <x v="7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s v="I1113020100001"/>
    <x v="7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s v="I1113020200001"/>
    <x v="7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s v="I1114010000001"/>
    <x v="7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s v="I1115010100001"/>
    <x v="7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s v="I1121010000001"/>
    <x v="7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s v="I1122010000001"/>
    <x v="7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s v="I1122020000001"/>
    <x v="7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s v="I1123010000001"/>
    <x v="7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s v="I1123020000001"/>
    <x v="7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s v="I1124010000001"/>
    <x v="7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s v="I1125010000001"/>
    <x v="7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s v="I1131010100001"/>
    <x v="7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s v="I1131010200001"/>
    <x v="7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s v="I1131020100001"/>
    <x v="7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s v="I1131020200001"/>
    <x v="7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s v="I1132010311001"/>
    <x v="7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s v="I1132010312001"/>
    <x v="7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s v="I1132010411001"/>
    <x v="7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s v="I1132010412001"/>
    <x v="7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s v="I1132010421001"/>
    <x v="7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s v="I1132010422001"/>
    <x v="7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s v="I1132010431001"/>
    <x v="7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s v="I1132010440001"/>
    <x v="7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s v="I1132010451001"/>
    <x v="7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s v="I1132010452001"/>
    <x v="7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s v="I1132020310001"/>
    <x v="7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s v="I1132020320001"/>
    <x v="7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s v="I1141010100001"/>
    <x v="7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s v="I1141020100001"/>
    <x v="7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s v="I1142010100001"/>
    <x v="7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s v="I1142090100001"/>
    <x v="7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s v="I1142090200001"/>
    <x v="7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s v="I1143030100001"/>
    <x v="7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s v="I1143030200001"/>
    <x v="7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s v="I1143040100001"/>
    <x v="7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s v="I1143090110001"/>
    <x v="7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s v="I1143090120001"/>
    <x v="7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s v="I1143090130001"/>
    <x v="7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s v="I1143090200001"/>
    <x v="7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s v="I1191010000001"/>
    <x v="7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s v="I1199010000001"/>
    <x v="7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s v="I1213010100001"/>
    <x v="7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s v="I1213020100001"/>
    <x v="7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s v="I1213030100001"/>
    <x v="7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s v="I1311090100001"/>
    <x v="7"/>
    <x v="50"/>
    <n v="1"/>
    <x v="0"/>
    <n v="13"/>
    <x v="2"/>
    <n v="131"/>
    <x v="6"/>
    <n v="1311"/>
    <x v="17"/>
    <n v="131109"/>
    <s v="Venta de otros bienes"/>
    <n v="13110901"/>
    <s v="Venta bienes IGN-MOPT"/>
    <n v="131109010"/>
    <s v="-"/>
    <n v="1311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7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s v="I1312030102001"/>
    <x v="7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s v="I1312040110001"/>
    <x v="7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s v="I1312090110001"/>
    <x v="7"/>
    <x v="167"/>
    <n v="1"/>
    <x v="0"/>
    <n v="13"/>
    <x v="2"/>
    <n v="131"/>
    <x v="6"/>
    <n v="1312"/>
    <x v="18"/>
    <n v="131209"/>
    <s v="Otros servicios"/>
    <n v="13120901"/>
    <s v="Servicios de formación y capacitación"/>
    <n v="131209011"/>
    <s v="Servicios capacitación CGR"/>
    <n v="1312090110"/>
    <s v="-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s v="I1312090210001"/>
    <x v="7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s v="I1312090220001"/>
    <x v="7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s v="I1312090610001"/>
    <x v="7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s v="I1312090910001"/>
    <x v="7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s v="I1312090920001"/>
    <x v="7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s v="I1312090930001"/>
    <x v="7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s v="I1313010110001"/>
    <x v="7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s v="I1313010120001"/>
    <x v="7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s v="I1313010310001"/>
    <x v="7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s v="I1313010320001"/>
    <x v="7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s v="I1313010330001"/>
    <x v="7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s v="I1313010340001"/>
    <x v="7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s v="I1313020310001"/>
    <x v="7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s v="I1313020320001"/>
    <x v="7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s v="I1313020340001"/>
    <x v="7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s v="I1323030100001"/>
    <x v="7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s v="I1331010000001"/>
    <x v="7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s v="I1331020100001"/>
    <x v="7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s v="I1331020200001"/>
    <x v="7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s v="I1331040100001"/>
    <x v="7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s v="I1331040200001"/>
    <x v="7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s v="I1331090100001"/>
    <x v="7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s v="I1331090200001"/>
    <x v="7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s v="I1331090300001"/>
    <x v="7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s v="I1331090400001"/>
    <x v="7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s v="I1331090900001"/>
    <x v="7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s v="I1332010100001"/>
    <x v="7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s v="I1341000000001"/>
    <x v="7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s v="I1391000000001"/>
    <x v="7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s v="I1399000000001"/>
    <x v="7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s v="I1412010100001"/>
    <x v="7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s v="I1412010200001"/>
    <x v="7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s v="I1412010300001"/>
    <x v="7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s v="I1412010400001"/>
    <x v="7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s v="I1412010500001"/>
    <x v="7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s v="I1412010600001"/>
    <x v="7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s v="I1412010700001"/>
    <x v="7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s v="I1412010800001"/>
    <x v="7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s v="I1412010900001"/>
    <x v="7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s v="I1412020000001"/>
    <x v="7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s v="I1412040000001"/>
    <x v="7"/>
    <x v="80"/>
    <n v="1"/>
    <x v="0"/>
    <n v="14"/>
    <x v="3"/>
    <n v="141"/>
    <x v="10"/>
    <n v="1412"/>
    <x v="27"/>
    <n v="141204"/>
    <s v="PROMECE"/>
    <n v="14120400"/>
    <s v="-"/>
    <n v="141204000"/>
    <s v="-"/>
    <n v="1412040000"/>
    <s v="-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s v="I1413010100001"/>
    <x v="7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s v="I1413010200001"/>
    <x v="7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s v="I1413010300001"/>
    <x v="7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s v="I1413010400001"/>
    <x v="7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s v="I1413010500001"/>
    <x v="7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s v="I1413010600001"/>
    <x v="7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s v="I1413010700001"/>
    <x v="7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s v="I1413010900001"/>
    <x v="7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s v="I1413011000001"/>
    <x v="7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s v="I1413011100001"/>
    <x v="7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s v="I1413011200001"/>
    <x v="7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s v="I1413011300001"/>
    <x v="7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s v="I1413020000001"/>
    <x v="7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s v="I1413030000001"/>
    <x v="7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s v="I1413040000001"/>
    <x v="7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s v="I1414010000001"/>
    <x v="7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s v="I1415010100001"/>
    <x v="7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s v="I1415010200001"/>
    <x v="7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s v="I1415010300001"/>
    <x v="7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s v="I1415010400001"/>
    <x v="7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s v="I1415010500001"/>
    <x v="7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s v="I1415010600001"/>
    <x v="7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s v="I1416010100001"/>
    <x v="7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s v="I1416010200001"/>
    <x v="7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s v="I1416010300001"/>
    <x v="7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s v="I1416010400001"/>
    <x v="7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s v="I1416010600001"/>
    <x v="7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s v="I1423000000001"/>
    <x v="7"/>
    <x v="228"/>
    <n v="1"/>
    <x v="0"/>
    <n v="14"/>
    <x v="3"/>
    <n v="142"/>
    <x v="11"/>
    <n v="1423"/>
    <x v="32"/>
    <n v="142300"/>
    <s v="Arquidiócesis de San José"/>
    <n v="14230000"/>
    <s v="-"/>
    <n v="142300000"/>
    <s v="-"/>
    <n v="1423000000"/>
    <s v="-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s v="I1424000000001"/>
    <x v="7"/>
    <x v="229"/>
    <n v="1"/>
    <x v="0"/>
    <n v="14"/>
    <x v="3"/>
    <n v="142"/>
    <x v="11"/>
    <n v="1424"/>
    <x v="32"/>
    <n v="142400"/>
    <s v="Asociación de Desarrollo Bust Desamparados"/>
    <n v="14240000"/>
    <s v="-"/>
    <n v="142400000"/>
    <s v="-"/>
    <n v="1424000000"/>
    <s v="-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s v="I1432030000001"/>
    <x v="7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s v="I2111000000002"/>
    <x v="7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s v="I2412050000060"/>
    <x v="7"/>
    <x v="230"/>
    <n v="2"/>
    <x v="1"/>
    <n v="24"/>
    <x v="4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s v="I2431020000065"/>
    <x v="7"/>
    <x v="206"/>
    <n v="2"/>
    <x v="1"/>
    <n v="24"/>
    <x v="4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s v="I3131010000280"/>
    <x v="7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s v="I3131020000280"/>
    <x v="7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s v="I3131010000282"/>
    <x v="7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7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s v="I3211020900498"/>
    <x v="7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s v="I3211021400503"/>
    <x v="7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s v="I3211021500504"/>
    <x v="7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s v="I3211021600505"/>
    <x v="7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s v="I3211021700506"/>
    <x v="7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s v="I3211021800507"/>
    <x v="7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s v="I3211021900508"/>
    <x v="7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s v="I3211030400533"/>
    <x v="7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s v="I3211030500534"/>
    <x v="7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s v="I3211030500535"/>
    <x v="7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7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s v="I3211030700538"/>
    <x v="7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s v="I3211090100650"/>
    <x v="7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s v="I3211090200660"/>
    <x v="7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s v="I3212030000693"/>
    <x v="7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s v="I3232010000890"/>
    <x v="7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s v="I3311060000905"/>
    <x v="7"/>
    <x v="211"/>
    <n v="3"/>
    <x v="2"/>
    <n v="33"/>
    <x v="8"/>
    <n v="331"/>
    <x v="17"/>
    <n v="3311"/>
    <x v="35"/>
    <n v="331106"/>
    <s v="-"/>
    <n v="33110600"/>
    <s v="-"/>
    <n v="331106000"/>
    <s v="-"/>
    <n v="3311060000"/>
    <s v="-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s v="I3321010000922"/>
    <x v="7"/>
    <x v="232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s v="I1111010100001"/>
    <x v="8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s v="I1111020100001"/>
    <x v="8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s v="I1111030100001"/>
    <x v="8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s v="I1112010000001"/>
    <x v="8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s v="I1112020000001"/>
    <x v="8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s v="I1113010100001"/>
    <x v="8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s v="I1113010200001"/>
    <x v="8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s v="I1113020100001"/>
    <x v="8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s v="I1113020200001"/>
    <x v="8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s v="I1114010000001"/>
    <x v="8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s v="I1115010100001"/>
    <x v="8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s v="I1121010000001"/>
    <x v="8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s v="I1122010000001"/>
    <x v="8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s v="I1122020000001"/>
    <x v="8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s v="I1123010000001"/>
    <x v="8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s v="I1123020000001"/>
    <x v="8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s v="I1124010000001"/>
    <x v="8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s v="I1125010000001"/>
    <x v="8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s v="I1131010100001"/>
    <x v="8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s v="I1131010200001"/>
    <x v="8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s v="I1131020100001"/>
    <x v="8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s v="I1131020200001"/>
    <x v="8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s v="I1132010311001"/>
    <x v="8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s v="I1132010312001"/>
    <x v="8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s v="I1132010411001"/>
    <x v="8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s v="I1132010412001"/>
    <x v="8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s v="I1132010421001"/>
    <x v="8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s v="I1132010422001"/>
    <x v="8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s v="I1132010431001"/>
    <x v="8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s v="I1132010440001"/>
    <x v="8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s v="I1132010451001"/>
    <x v="8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s v="I1132010452001"/>
    <x v="8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s v="I1132020310001"/>
    <x v="8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s v="I1132020320001"/>
    <x v="8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s v="I1141010100001"/>
    <x v="8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s v="I1141020100001"/>
    <x v="8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s v="I1142010100001"/>
    <x v="8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s v="I1142090100001"/>
    <x v="8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s v="I1142090200001"/>
    <x v="8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s v="I1143030100001"/>
    <x v="8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s v="I1143030200001"/>
    <x v="8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s v="I1143040100001"/>
    <x v="8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s v="I1143090110001"/>
    <x v="8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s v="I1143090120001"/>
    <x v="8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s v="I1143090130001"/>
    <x v="8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s v="I1143090200001"/>
    <x v="8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s v="I1191010000001"/>
    <x v="8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s v="I1199010000001"/>
    <x v="8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s v="I1213010100001"/>
    <x v="8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s v="I1213020100001"/>
    <x v="8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s v="I1213030100001"/>
    <x v="8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s v="I1312030101001"/>
    <x v="8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s v="I1312030102001"/>
    <x v="8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s v="I1312040110001"/>
    <x v="8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s v="I1312090210001"/>
    <x v="8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s v="I1312090220001"/>
    <x v="8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s v="I1312090230001"/>
    <x v="8"/>
    <x v="233"/>
    <n v="1"/>
    <x v="0"/>
    <n v="13"/>
    <x v="2"/>
    <n v="131"/>
    <x v="6"/>
    <n v="1312"/>
    <x v="18"/>
    <n v="131209"/>
    <s v="Otros servicios"/>
    <n v="13120902"/>
    <s v="Ingresos por inspección"/>
    <n v="131209023"/>
    <s v="-"/>
    <n v="1312090230"/>
    <s v="-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s v="I1312090610001"/>
    <x v="8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s v="I1312090910001"/>
    <x v="8"/>
    <x v="54"/>
    <n v="1"/>
    <x v="0"/>
    <n v="13"/>
    <x v="2"/>
    <n v="131"/>
    <x v="6"/>
    <n v="1312"/>
    <x v="18"/>
    <n v="131209"/>
    <s v="Otros servicios"/>
    <n v="13120909"/>
    <s v="Venta de otros servicios"/>
    <n v="131209091"/>
    <s v="Costo Doc Migrator."/>
    <n v="1312090910"/>
    <s v="-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s v="I1312090920001"/>
    <x v="8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s v="I1312090930001"/>
    <x v="8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s v="I1312090940001"/>
    <x v="8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s v="I1313010110001"/>
    <x v="8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s v="I1313010120001"/>
    <x v="8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s v="I1313010310001"/>
    <x v="8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s v="I1313010320001"/>
    <x v="8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s v="I1313010330001"/>
    <x v="8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s v="I1313010340001"/>
    <x v="8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s v="I1313020310001"/>
    <x v="8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s v="I1313020320001"/>
    <x v="8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s v="I1313020340001"/>
    <x v="8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s v="I1321030000001"/>
    <x v="8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s v="I1323030100001"/>
    <x v="8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s v="I1331010000001"/>
    <x v="8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s v="I1331020100001"/>
    <x v="8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s v="I1331020200001"/>
    <x v="8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s v="I1331040100001"/>
    <x v="8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s v="I1331040200001"/>
    <x v="8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s v="I1331090200001"/>
    <x v="8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s v="I1331090300001"/>
    <x v="8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s v="I1331090400001"/>
    <x v="8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s v="I1331090900001"/>
    <x v="8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s v="I1332010100001"/>
    <x v="8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s v="I1341000000001"/>
    <x v="8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s v="I1391000000001"/>
    <x v="8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s v="I1399000000001"/>
    <x v="8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s v="I1412010100001"/>
    <x v="8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s v="I1412010200001"/>
    <x v="8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8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s v="I1412010400001"/>
    <x v="8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s v="I1412010500001"/>
    <x v="8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s v="I1412010600001"/>
    <x v="8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s v="I1412010700001"/>
    <x v="8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s v="I1412010800001"/>
    <x v="8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s v="I1412010900001"/>
    <x v="8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s v="I1412020000001"/>
    <x v="8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s v="I1412050000001"/>
    <x v="8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s v="I1412060000001"/>
    <x v="8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s v="I1412070000001"/>
    <x v="8"/>
    <x v="238"/>
    <n v="1"/>
    <x v="0"/>
    <n v="14"/>
    <x v="3"/>
    <n v="141"/>
    <x v="10"/>
    <n v="1412"/>
    <x v="27"/>
    <n v="141207"/>
    <s v="Direc.Geología Minas"/>
    <n v="14120700"/>
    <s v="-"/>
    <n v="141207000"/>
    <s v="-"/>
    <n v="1412070000"/>
    <s v="-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s v="I1412080000001"/>
    <x v="8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s v="I1412090000001"/>
    <x v="8"/>
    <x v="240"/>
    <n v="1"/>
    <x v="0"/>
    <n v="14"/>
    <x v="3"/>
    <n v="141"/>
    <x v="10"/>
    <n v="1412"/>
    <x v="27"/>
    <n v="141209"/>
    <s v="Unidad Ejecutora del Programa de Catastro y Registro"/>
    <n v="14120900"/>
    <s v="-"/>
    <n v="141209000"/>
    <s v="-"/>
    <n v="1412090000"/>
    <s v="-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s v="I1413010100001"/>
    <x v="8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s v="I1413010200001"/>
    <x v="8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s v="I1413010300001"/>
    <x v="8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s v="I1413010400001"/>
    <x v="8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s v="I1413010500001"/>
    <x v="8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s v="I1413010600001"/>
    <x v="8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s v="I1413010700001"/>
    <x v="8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s v="I1413010900001"/>
    <x v="8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s v="I1413011000001"/>
    <x v="8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s v="I1413011100001"/>
    <x v="8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s v="I1413011200001"/>
    <x v="8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s v="I1413011300001"/>
    <x v="8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s v="I1413020000001"/>
    <x v="8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s v="I1413030000001"/>
    <x v="8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s v="I1413040000001"/>
    <x v="8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s v="I1413050000001"/>
    <x v="8"/>
    <x v="241"/>
    <n v="1"/>
    <x v="0"/>
    <n v="14"/>
    <x v="3"/>
    <n v="141"/>
    <x v="10"/>
    <n v="1413"/>
    <x v="28"/>
    <n v="141305"/>
    <s v="SENARA Ley 7064"/>
    <n v="14130500"/>
    <s v="-"/>
    <n v="141305000"/>
    <s v="-"/>
    <n v="1413050000"/>
    <s v="-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s v="I1414010000001"/>
    <x v="8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s v="I1414020000001"/>
    <x v="8"/>
    <x v="242"/>
    <n v="1"/>
    <x v="0"/>
    <n v="14"/>
    <x v="3"/>
    <n v="141"/>
    <x v="10"/>
    <n v="1414"/>
    <x v="29"/>
    <n v="141402"/>
    <s v="Transferencias de Municipalidades Ley N° 7755"/>
    <n v="14140200"/>
    <s v="-"/>
    <n v="141402000"/>
    <s v="-"/>
    <n v="1414020000"/>
    <s v="-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s v="I1415010100001"/>
    <x v="8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s v="I1415010200001"/>
    <x v="8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s v="I1415010300001"/>
    <x v="8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s v="I1415010400001"/>
    <x v="8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s v="I1415010500001"/>
    <x v="8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s v="I1415010600001"/>
    <x v="8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s v="I1416010100001"/>
    <x v="8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s v="I1416010200001"/>
    <x v="8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s v="I1416010300001"/>
    <x v="8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s v="I1416010400001"/>
    <x v="8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s v="I1416010600001"/>
    <x v="8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s v="I1432030000001"/>
    <x v="8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s v="I2412030000060"/>
    <x v="8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s v="I2412050000060"/>
    <x v="8"/>
    <x v="230"/>
    <n v="2"/>
    <x v="1"/>
    <n v="24"/>
    <x v="4"/>
    <n v="241"/>
    <x v="12"/>
    <n v="2412"/>
    <x v="33"/>
    <n v="241205"/>
    <s v="Unidad Coordinadora Proyecto Limón Ciudad Puerto"/>
    <n v="24120500"/>
    <s v="-"/>
    <n v="241205000"/>
    <s v="-"/>
    <n v="2412050000"/>
    <s v="-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s v="I2412080000060"/>
    <x v="8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s v="I2431020000065"/>
    <x v="8"/>
    <x v="206"/>
    <n v="2"/>
    <x v="1"/>
    <n v="24"/>
    <x v="4"/>
    <n v="243"/>
    <x v="13"/>
    <n v="2431"/>
    <x v="42"/>
    <n v="243102"/>
    <s v="Donación BIRF"/>
    <n v="24310200"/>
    <s v="-"/>
    <n v="243102000"/>
    <s v="-"/>
    <n v="2431020000"/>
    <s v="-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s v="I3131010000280"/>
    <x v="8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s v="I3131020000280"/>
    <x v="8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s v="I3131010000281"/>
    <x v="8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8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s v="I3211010400453"/>
    <x v="8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s v="I3211020900498"/>
    <x v="8"/>
    <x v="106"/>
    <n v="3"/>
    <x v="2"/>
    <n v="32"/>
    <x v="7"/>
    <n v="321"/>
    <x v="16"/>
    <n v="3211"/>
    <x v="37"/>
    <n v="321102"/>
    <s v="Banco Interamericano de Desarrollo"/>
    <n v="32110209"/>
    <s v="-"/>
    <n v="321102090"/>
    <s v="-"/>
    <n v="3211020900"/>
    <s v="-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8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s v="I3211021500504"/>
    <x v="8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s v="I3211021600505"/>
    <x v="8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s v="I3211021700506"/>
    <x v="8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s v="I3211021800507"/>
    <x v="8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s v="I3211021900508"/>
    <x v="8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s v="I3211022000509"/>
    <x v="8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8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8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8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8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8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s v="I3211030500535"/>
    <x v="8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500536"/>
    <x v="8"/>
    <x v="191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8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s v="I3211090100650"/>
    <x v="8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s v="I3211090200660"/>
    <x v="8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s v="I3212030000693"/>
    <x v="8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s v="I3232010000890"/>
    <x v="8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s v="I3321010000922"/>
    <x v="8"/>
    <x v="232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Donaciones corrientes del Gobierno Central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5010100001"/>
    <x v="9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1010000001"/>
    <x v="9"/>
    <x v="261"/>
    <n v="1"/>
    <x v="0"/>
    <n v="14"/>
    <x v="3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2110000001"/>
    <x v="9"/>
    <x v="262"/>
    <n v="1"/>
    <x v="0"/>
    <n v="14"/>
    <x v="3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113000000004"/>
    <x v="9"/>
    <x v="263"/>
    <n v="2"/>
    <x v="1"/>
    <n v="21"/>
    <x v="9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200514"/>
    <x v="9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1111010100001"/>
    <x v="9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s v="I1111020100001"/>
    <x v="9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s v="I1111030100001"/>
    <x v="9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s v="I1112010000001"/>
    <x v="9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s v="I1112020000001"/>
    <x v="9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s v="I1113010100001"/>
    <x v="9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s v="I1113010200001"/>
    <x v="9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s v="I1113020100001"/>
    <x v="9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s v="I1113020200001"/>
    <x v="9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s v="I1114010000001"/>
    <x v="9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s v="I1115010100001"/>
    <x v="9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21010000001"/>
    <x v="9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s v="I1122010000001"/>
    <x v="9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s v="I1122020000001"/>
    <x v="9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s v="I1123010000001"/>
    <x v="9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s v="I1123020000001"/>
    <x v="9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s v="I1124010000001"/>
    <x v="9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s v="I1125010000001"/>
    <x v="9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s v="I1131010100001"/>
    <x v="9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s v="I1131010200001"/>
    <x v="9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s v="I1131020100001"/>
    <x v="9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s v="I1131020200001"/>
    <x v="9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s v="I11320103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s v="I11320103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s v="I113201041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s v="I113201041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s v="I1132010421001"/>
    <x v="9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s v="I1132010422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s v="I1132010431001"/>
    <x v="9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s v="I1132010440001"/>
    <x v="9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s v="I1132010451001"/>
    <x v="9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s v="I1132010452001"/>
    <x v="9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s v="I1132020310001"/>
    <x v="9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s v="I1132020320001"/>
    <x v="9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s v="I1141010100001"/>
    <x v="9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s v="I1141020100001"/>
    <x v="9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s v="I1142010100001"/>
    <x v="9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s v="I1142090100001"/>
    <x v="9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s v="I1142090200001"/>
    <x v="9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s v="I1143030100001"/>
    <x v="9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s v="I1143030200001"/>
    <x v="9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s v="I1143040100001"/>
    <x v="9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s v="I1143090110001"/>
    <x v="9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s v="I1143090120001"/>
    <x v="9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s v="I1143090130001"/>
    <x v="9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s v="I1143090200001"/>
    <x v="9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s v="I1191010000001"/>
    <x v="9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s v="I1199010000001"/>
    <x v="9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s v="I1213010100001"/>
    <x v="9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s v="I1213010200001"/>
    <x v="9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s v="I1213020100001"/>
    <x v="9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s v="I1213030100001"/>
    <x v="9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s v="I1312030101001"/>
    <x v="9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s v="I1312030102001"/>
    <x v="9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icio de recaudación Tesorería Nacional"/>
    <n v="1312030102"/>
    <s v="-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s v="I1312030401001"/>
    <x v="9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s v="I1312030402001"/>
    <x v="9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s v="I1312040110001"/>
    <x v="9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s v="I1312090210001"/>
    <x v="9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s v="I1312090220001"/>
    <x v="9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s v="I1312090610001"/>
    <x v="9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s v="I1312090920001"/>
    <x v="9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s v="I1312090930001"/>
    <x v="9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s v="I1312090940001"/>
    <x v="9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s v="I1313010110001"/>
    <x v="9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s v="I1313010120001"/>
    <x v="9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s v="I1313010310001"/>
    <x v="9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s v="I1313010320001"/>
    <x v="9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s v="I1313010330001"/>
    <x v="9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s v="I1313010340001"/>
    <x v="9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s v="I1313020130001"/>
    <x v="9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s v="I1313020140001"/>
    <x v="9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s v="I1313020310001"/>
    <x v="9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s v="I1313020320001"/>
    <x v="9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s v="I1313020340001"/>
    <x v="9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s v="I1321030000001"/>
    <x v="9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s v="I1323010100001"/>
    <x v="9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s v="I1323030100001"/>
    <x v="9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s v="I1331010000001"/>
    <x v="9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s v="I1331020100001"/>
    <x v="9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s v="I1331020200001"/>
    <x v="9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s v="I1331040100001"/>
    <x v="9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s v="I1331040200001"/>
    <x v="9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s v="I1331090200001"/>
    <x v="9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s v="I1331090300001"/>
    <x v="9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s v="I1331090400001"/>
    <x v="9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s v="I1331090500001"/>
    <x v="9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s v="I1331090900001"/>
    <x v="9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s v="I1332010100001"/>
    <x v="9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s v="I1341000000001"/>
    <x v="9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s v="I1391000000001"/>
    <x v="9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s v="I1399000000001"/>
    <x v="9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s v="I1411000000001"/>
    <x v="9"/>
    <x v="254"/>
    <n v="1"/>
    <x v="0"/>
    <n v="14"/>
    <x v="3"/>
    <n v="141"/>
    <x v="10"/>
    <n v="1411"/>
    <x v="46"/>
    <n v="141100"/>
    <s v="Donaciones corrientes del Gobierno Central"/>
    <n v="14110000"/>
    <s v="0"/>
    <n v="141100000"/>
    <s v="0"/>
    <n v="1411000000"/>
    <s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1010000001"/>
    <x v="9"/>
    <x v="261"/>
    <n v="1"/>
    <x v="0"/>
    <n v="14"/>
    <x v="3"/>
    <n v="141"/>
    <x v="10"/>
    <n v="1411"/>
    <x v="46"/>
    <n v="141101"/>
    <s v="Donaciones corrientes del Gobierno Central"/>
    <n v="14110100"/>
    <s v="Fideicomiso No. 955 Ministerio de Hacienda _ Banco Nacional de Costa Rica"/>
    <n v="141101000"/>
    <s v="-"/>
    <n v="1411010000"/>
    <s v="-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s v="I1412010100001"/>
    <x v="9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s v="I1412010200001"/>
    <x v="9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s v="I1412010300001"/>
    <x v="9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s v="I1412010400001"/>
    <x v="9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s v="I1412010500001"/>
    <x v="9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s v="I1412010600001"/>
    <x v="9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s v="I1412010700001"/>
    <x v="9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s v="I1412010800001"/>
    <x v="9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s v="I1412010900001"/>
    <x v="9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s v="I1412011500001"/>
    <x v="9"/>
    <x v="265"/>
    <n v="1"/>
    <x v="0"/>
    <n v="14"/>
    <x v="3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s v="I1412020000001"/>
    <x v="9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s v="I1412050000001"/>
    <x v="9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s v="I1412060000001"/>
    <x v="9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s v="I1412080000001"/>
    <x v="9"/>
    <x v="239"/>
    <n v="1"/>
    <x v="0"/>
    <n v="14"/>
    <x v="3"/>
    <n v="141"/>
    <x v="10"/>
    <n v="1412"/>
    <x v="27"/>
    <n v="141208"/>
    <s v="SINAC"/>
    <n v="14120800"/>
    <s v="-"/>
    <n v="141208000"/>
    <s v="-"/>
    <n v="141208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s v="I1412110000001"/>
    <x v="9"/>
    <x v="262"/>
    <n v="1"/>
    <x v="0"/>
    <n v="14"/>
    <x v="3"/>
    <n v="141"/>
    <x v="10"/>
    <n v="1412"/>
    <x v="27"/>
    <n v="141211"/>
    <s v="Instituto Meteorológico Nacional"/>
    <n v="14121100"/>
    <s v="-"/>
    <n v="141211000"/>
    <s v="-"/>
    <n v="1412110000"/>
    <s v="-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s v="I1413010100001"/>
    <x v="9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s v="I1413010200001"/>
    <x v="9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s v="I1413010300001"/>
    <x v="9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s v="I1413010400001"/>
    <x v="9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s v="I1413010500001"/>
    <x v="9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s v="I1413010600001"/>
    <x v="9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s v="I1413010700001"/>
    <x v="9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s v="I1413010900001"/>
    <x v="9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s v="I1413011000001"/>
    <x v="9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s v="I1413011100001"/>
    <x v="9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s v="I1413011200001"/>
    <x v="9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s v="I1413011300001"/>
    <x v="9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s v="I1413020000001"/>
    <x v="9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s v="I1413030000001"/>
    <x v="9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s v="I1413040000001"/>
    <x v="9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s v="I1413060000001"/>
    <x v="9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s v="I1413080000001"/>
    <x v="9"/>
    <x v="256"/>
    <n v="1"/>
    <x v="0"/>
    <n v="14"/>
    <x v="3"/>
    <n v="141"/>
    <x v="10"/>
    <n v="1413"/>
    <x v="28"/>
    <n v="141308"/>
    <s v="Instituto Nacional de Fomento y Asesoría Municipal recursos convenio MIVAH-PRUGAM"/>
    <n v="14130800"/>
    <s v="-"/>
    <n v="141308000"/>
    <s v="-"/>
    <n v="1413080000"/>
    <s v="Instituto Nacional de Fomento y Asesoría Municipal recursos convenio MIVAH-PRUGAM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s v="I1414010000001"/>
    <x v="9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s v="I1415010100001"/>
    <x v="9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s v="I1415010200001"/>
    <x v="9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s v="I1415010300001"/>
    <x v="9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s v="I1415010400001"/>
    <x v="9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s v="I1415010500001"/>
    <x v="9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s v="I1415010600001"/>
    <x v="9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s v="I1416010100001"/>
    <x v="9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s v="I1416010200001"/>
    <x v="9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s v="I1416010300001"/>
    <x v="9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s v="I1416010400001"/>
    <x v="9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s v="I1416010600001"/>
    <x v="9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s v="I1432040000001"/>
    <x v="9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s v="I2113000000004"/>
    <x v="9"/>
    <x v="263"/>
    <n v="2"/>
    <x v="1"/>
    <n v="21"/>
    <x v="9"/>
    <n v="211"/>
    <x v="20"/>
    <n v="2113"/>
    <x v="47"/>
    <n v="211300"/>
    <s v="-"/>
    <n v="21130000"/>
    <s v="-"/>
    <n v="211300000"/>
    <s v="-"/>
    <n v="2113000000"/>
    <s v="-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s v="I2412030000060"/>
    <x v="9"/>
    <x v="243"/>
    <n v="2"/>
    <x v="1"/>
    <n v="24"/>
    <x v="4"/>
    <n v="241"/>
    <x v="12"/>
    <n v="2412"/>
    <x v="33"/>
    <n v="241203"/>
    <s v="Transf.Captal Inst M"/>
    <n v="24120300"/>
    <s v="-"/>
    <n v="241203000"/>
    <s v="-"/>
    <n v="2412030000"/>
    <s v="-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s v="I2412060000060"/>
    <x v="9"/>
    <x v="238"/>
    <n v="2"/>
    <x v="1"/>
    <n v="24"/>
    <x v="4"/>
    <n v="241"/>
    <x v="12"/>
    <n v="2412"/>
    <x v="33"/>
    <n v="241206"/>
    <s v="Dir. Geologias Minas"/>
    <n v="24120600"/>
    <s v="-"/>
    <n v="241206000"/>
    <s v="-"/>
    <n v="2412060000"/>
    <s v="-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s v="I2412070000060"/>
    <x v="9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s v="I2412080000060"/>
    <x v="9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s v="I3131010000280"/>
    <x v="9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s v="I3131020000280"/>
    <x v="9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s v="I3131010000281"/>
    <x v="9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s v="I3131010000282"/>
    <x v="9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s v="I3211010400453"/>
    <x v="9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s v="I3211021400503"/>
    <x v="9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s v="I3211021500504"/>
    <x v="9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s v="I3211021600505"/>
    <x v="9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s v="I3211021700506"/>
    <x v="9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s v="I3211021800507"/>
    <x v="9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s v="I3211021900508"/>
    <x v="9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s v="I3211022000509"/>
    <x v="9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s v="I3211022100510"/>
    <x v="9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s v="I3212001000511"/>
    <x v="9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s v="I3212002000512"/>
    <x v="9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s v="I3211010500513"/>
    <x v="9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s v="I3211030200514"/>
    <x v="9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s v="I3211030400533"/>
    <x v="9"/>
    <x v="156"/>
    <n v="3"/>
    <x v="2"/>
    <n v="32"/>
    <x v="7"/>
    <n v="321"/>
    <x v="16"/>
    <n v="3211"/>
    <x v="37"/>
    <n v="321103"/>
    <s v="Banco Mundial"/>
    <n v="32110304"/>
    <s v="-"/>
    <n v="321103040"/>
    <s v="-"/>
    <n v="3211030400"/>
    <s v="-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4"/>
    <x v="9"/>
    <x v="178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500535"/>
    <x v="9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s v="I3211030700538"/>
    <x v="9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s v="I3211090100650"/>
    <x v="9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s v="I3211090200660"/>
    <x v="9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s v="I3212030000693"/>
    <x v="9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s v="I3321010000923"/>
    <x v="9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s v="I1111010100001"/>
    <x v="10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s v="I1111020100001"/>
    <x v="10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s v="I1111030100001"/>
    <x v="10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s v="I1112010000001"/>
    <x v="10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s v="I1112020000001"/>
    <x v="10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s v="I1113010100001"/>
    <x v="10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s v="I1113010200001"/>
    <x v="10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s v="I1113020100001"/>
    <x v="10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s v="I1113020200001"/>
    <x v="10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s v="I1114010000001"/>
    <x v="10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s v="I1115010100001"/>
    <x v="10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s v="I1121010000001"/>
    <x v="10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s v="I1122010000001"/>
    <x v="10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s v="I1122020000001"/>
    <x v="10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s v="I1123010000001"/>
    <x v="10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s v="I1123020000001"/>
    <x v="10"/>
    <x v="198"/>
    <n v="1"/>
    <x v="0"/>
    <n v="11"/>
    <x v="0"/>
    <n v="112"/>
    <x v="1"/>
    <n v="1123"/>
    <x v="6"/>
    <n v="112302"/>
    <s v="Impuesto sobre personas jurídicas Ley N° 9024"/>
    <n v="11230200"/>
    <s v="-"/>
    <n v="112302000"/>
    <s v="-"/>
    <n v="1123020000"/>
    <s v="-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s v="I1123030000001"/>
    <x v="10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s v="I1124010000001"/>
    <x v="10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s v="I1125010000001"/>
    <x v="10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s v="I1131010100001"/>
    <x v="10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s v="I1131010200001"/>
    <x v="10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s v="I1131020100001"/>
    <x v="10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s v="I1131020200001"/>
    <x v="10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s v="I1132010311001"/>
    <x v="10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s v="I1132010312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s v="I1132010411001"/>
    <x v="1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s v="I1132010412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s v="I1132010421001"/>
    <x v="10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s v="I1132010422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s v="I1132010431001"/>
    <x v="10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s v="I1132010440001"/>
    <x v="10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s v="I1132010451001"/>
    <x v="10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s v="I1132010452001"/>
    <x v="10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s v="I1132020310001"/>
    <x v="10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s v="I1132020320001"/>
    <x v="10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s v="I1141010100001"/>
    <x v="10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s v="I1141020100001"/>
    <x v="10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s v="I1142010100001"/>
    <x v="10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s v="I1142090100001"/>
    <x v="10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s v="I1142090200001"/>
    <x v="10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s v="I1143030100001"/>
    <x v="10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s v="I1143030200001"/>
    <x v="10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s v="I1143040100001"/>
    <x v="10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s v="I1143090110001"/>
    <x v="10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s v="I1143090120001"/>
    <x v="10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s v="I1143090130001"/>
    <x v="10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s v="I1143090200001"/>
    <x v="10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s v="I1191010000001"/>
    <x v="10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s v="I1199010000001"/>
    <x v="10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s v="I1213010100001"/>
    <x v="10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s v="I1213010200001"/>
    <x v="10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s v="I1213020100001"/>
    <x v="10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s v="I1213030100001"/>
    <x v="10"/>
    <x v="49"/>
    <n v="1"/>
    <x v="0"/>
    <n v="12"/>
    <x v="1"/>
    <n v="121"/>
    <x v="5"/>
    <n v="1213"/>
    <x v="16"/>
    <n v="121303"/>
    <s v="Contribución a otros regímenes de pensiones"/>
    <n v="12130301"/>
    <s v="-"/>
    <n v="121303010"/>
    <s v="-"/>
    <n v="1213030100"/>
    <s v="-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s v="I1213030200001"/>
    <x v="10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s v="I1213040100001"/>
    <x v="10"/>
    <x v="267"/>
    <n v="1"/>
    <x v="0"/>
    <n v="12"/>
    <x v="1"/>
    <n v="121"/>
    <x v="5"/>
    <n v="1213"/>
    <x v="16"/>
    <n v="121304"/>
    <s v="Contribución Especial Solidaria Ley 9383"/>
    <n v="12130401"/>
    <s v="-"/>
    <n v="121304010"/>
    <s v="-"/>
    <n v="1213040100"/>
    <s v="-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s v="I1312030101001"/>
    <x v="10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s v="I1312030401001"/>
    <x v="10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s v="I1312030402001"/>
    <x v="10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s v="I1312040110001"/>
    <x v="10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s v="I1312040900001"/>
    <x v="10"/>
    <x v="268"/>
    <n v="1"/>
    <x v="0"/>
    <n v="13"/>
    <x v="2"/>
    <n v="131"/>
    <x v="6"/>
    <n v="1312"/>
    <x v="18"/>
    <n v="131204"/>
    <s v="Otros alquileres"/>
    <n v="13120409"/>
    <s v="-"/>
    <n v="131204090"/>
    <s v="-"/>
    <n v="1312040900"/>
    <s v="-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s v="I1312090210001"/>
    <x v="10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s v="I1312090220001"/>
    <x v="10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s v="I1312090610001"/>
    <x v="10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s v="I1312090930001"/>
    <x v="10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s v="I1312090940001"/>
    <x v="10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s v="I1313010110001"/>
    <x v="10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s v="I1313010120001"/>
    <x v="10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s v="I1313010310001"/>
    <x v="10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s v="I1313010320001"/>
    <x v="10"/>
    <x v="59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2"/>
    <s v="Der. Registro Naval"/>
    <n v="1313010320"/>
    <s v="-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s v="I1313010330001"/>
    <x v="10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s v="I1313010340001"/>
    <x v="10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s v="I1313020130001"/>
    <x v="10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Canon por aprovechamiento de aguas"/>
    <n v="1313020130"/>
    <s v="-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s v="I1313020140001"/>
    <x v="10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Canon ambiental por vertidos"/>
    <n v="1313020140"/>
    <s v="-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s v="I1313020310001"/>
    <x v="10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s v="I1313020320001"/>
    <x v="10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s v="I1313020340001"/>
    <x v="10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s v="I1313020350001"/>
    <x v="10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s v="I1321030000001"/>
    <x v="10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s v="I1323010100001"/>
    <x v="10"/>
    <x v="252"/>
    <n v="1"/>
    <x v="0"/>
    <n v="13"/>
    <x v="2"/>
    <n v="132"/>
    <x v="7"/>
    <n v="1323"/>
    <x v="22"/>
    <n v="132301"/>
    <s v="Intereses sobre títulos valores"/>
    <n v="13230101"/>
    <s v="Intereses p otros equivalentes efect sect púb int"/>
    <n v="132301010"/>
    <s v="-"/>
    <n v="1323010100"/>
    <s v="-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s v="I1323030100001"/>
    <x v="10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s v="I1331010000001"/>
    <x v="10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s v="I1331020100001"/>
    <x v="10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s v="I1331020200001"/>
    <x v="10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s v="I1331040100001"/>
    <x v="10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s v="I1331040200001"/>
    <x v="10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s v="I1331090200001"/>
    <x v="10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s v="I1331090300001"/>
    <x v="10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s v="I1331090400001"/>
    <x v="10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s v="I1331090500001"/>
    <x v="10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s v="I1331090600001"/>
    <x v="10"/>
    <x v="270"/>
    <n v="1"/>
    <x v="0"/>
    <n v="13"/>
    <x v="2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s v="I1331090900001"/>
    <x v="10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s v="I1332010100001"/>
    <x v="10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s v="I1341000000001"/>
    <x v="10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s v="I1391000000001"/>
    <x v="10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s v="I1399000000001"/>
    <x v="10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s v="I1412010100001"/>
    <x v="10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s v="I1412010200001"/>
    <x v="10"/>
    <x v="204"/>
    <n v="1"/>
    <x v="0"/>
    <n v="14"/>
    <x v="3"/>
    <n v="141"/>
    <x v="10"/>
    <n v="1412"/>
    <x v="27"/>
    <n v="141201"/>
    <s v="Transferencias de FODESAF"/>
    <n v="14120102"/>
    <s v="Fodesaf-Ministerio de Obras Públicas y Transportes"/>
    <n v="141201020"/>
    <s v="-"/>
    <n v="1412010200"/>
    <s v="-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s v="I1412010300001"/>
    <x v="10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s v="I1412010400001"/>
    <x v="10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s v="I1412010500001"/>
    <x v="10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s v="I1412010600001"/>
    <x v="10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s v="I1412010700001"/>
    <x v="10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s v="I1412010800001"/>
    <x v="10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s v="I1412010900001"/>
    <x v="10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s v="I1412011500001"/>
    <x v="10"/>
    <x v="265"/>
    <n v="1"/>
    <x v="0"/>
    <n v="14"/>
    <x v="3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1412020000001"/>
    <x v="10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s v="I1412050000001"/>
    <x v="10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s v="I1412060000001"/>
    <x v="10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s v="I1412120000001"/>
    <x v="10"/>
    <x v="271"/>
    <n v="1"/>
    <x v="0"/>
    <n v="14"/>
    <x v="3"/>
    <n v="141"/>
    <x v="10"/>
    <n v="1412"/>
    <x v="27"/>
    <n v="141212"/>
    <s v="Consejo Superior de Educación"/>
    <n v="14121200"/>
    <s v="-"/>
    <n v="141212000"/>
    <s v="-"/>
    <n v="14121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s v="I1413010100001"/>
    <x v="10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s v="I1413010200001"/>
    <x v="10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s v="I1413010300001"/>
    <x v="10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s v="I1413010400001"/>
    <x v="10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s v="I1413010500001"/>
    <x v="10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s v="I1413010600001"/>
    <x v="10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s v="I1413010700001"/>
    <x v="10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s v="I1413010900001"/>
    <x v="10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s v="I1413011000001"/>
    <x v="10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s v="I1413011100001"/>
    <x v="10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s v="I1413011200001"/>
    <x v="10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s v="I1413011300001"/>
    <x v="10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s v="I1413020000001"/>
    <x v="10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s v="I1413030000001"/>
    <x v="10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s v="I1413040000001"/>
    <x v="10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s v="I1413060000001"/>
    <x v="10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s v="I1414010000001"/>
    <x v="10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s v="I1415010100001"/>
    <x v="10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s v="I1415010200001"/>
    <x v="10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s v="I1415010300001"/>
    <x v="10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s v="I1415010400001"/>
    <x v="10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s v="I1415010500001"/>
    <x v="10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s v="I1415010600001"/>
    <x v="10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0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s v="I1416010200001"/>
    <x v="10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s v="I1416010300001"/>
    <x v="10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s v="I1416010400001"/>
    <x v="10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s v="I1416010600001"/>
    <x v="10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s v="I1432030000001"/>
    <x v="10"/>
    <x v="219"/>
    <n v="1"/>
    <x v="0"/>
    <n v="14"/>
    <x v="3"/>
    <n v="143"/>
    <x v="18"/>
    <n v="1432"/>
    <x v="40"/>
    <n v="143203"/>
    <s v="Donación Unión Europea"/>
    <n v="14320300"/>
    <s v="-"/>
    <n v="143203000"/>
    <s v="-"/>
    <n v="1432030000"/>
    <s v="-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s v="I1432040000001"/>
    <x v="10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s v="I1432050000001"/>
    <x v="10"/>
    <x v="272"/>
    <n v="1"/>
    <x v="0"/>
    <n v="14"/>
    <x v="3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s v="I2111000000002"/>
    <x v="10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s v="I2412070000060"/>
    <x v="10"/>
    <x v="258"/>
    <n v="2"/>
    <x v="1"/>
    <n v="24"/>
    <x v="4"/>
    <n v="241"/>
    <x v="12"/>
    <n v="2412"/>
    <x v="33"/>
    <n v="241207"/>
    <s v="IMN"/>
    <n v="24120700"/>
    <s v="-"/>
    <n v="241207000"/>
    <s v="-"/>
    <n v="2412070000"/>
    <s v="-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s v="I2412080000060"/>
    <x v="10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s v="I2412090000060"/>
    <x v="10"/>
    <x v="236"/>
    <n v="2"/>
    <x v="1"/>
    <n v="24"/>
    <x v="4"/>
    <n v="241"/>
    <x v="12"/>
    <n v="2412"/>
    <x v="33"/>
    <n v="241209"/>
    <s v="Comisión Nacional de Emergencias Ley No. 8933"/>
    <n v="24120900"/>
    <s v="-"/>
    <n v="241209000"/>
    <s v="-"/>
    <n v="2412090000"/>
    <s v="-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s v="I2412100000060"/>
    <x v="10"/>
    <x v="273"/>
    <n v="2"/>
    <x v="1"/>
    <n v="24"/>
    <x v="4"/>
    <n v="241"/>
    <x v="12"/>
    <n v="2412"/>
    <x v="33"/>
    <n v="241210"/>
    <s v="Consejo Nacional de la Política Pública de la Persona Joven (CPJ)"/>
    <n v="24121000"/>
    <s v="-"/>
    <n v="241210000"/>
    <s v="-"/>
    <n v="2412100000"/>
    <s v="-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s v="I2412110000060"/>
    <x v="10"/>
    <x v="274"/>
    <n v="2"/>
    <x v="1"/>
    <n v="24"/>
    <x v="4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s v="I2412120000060"/>
    <x v="10"/>
    <x v="275"/>
    <n v="2"/>
    <x v="1"/>
    <n v="24"/>
    <x v="4"/>
    <n v="241"/>
    <x v="12"/>
    <n v="2412"/>
    <x v="33"/>
    <n v="241212"/>
    <s v="Museo de Arte y Diseño Contemporáneo (MADC)"/>
    <n v="24121200"/>
    <s v="-"/>
    <n v="241212000"/>
    <s v="-"/>
    <n v="2412120000"/>
    <s v="-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s v="I2412130000060"/>
    <x v="10"/>
    <x v="276"/>
    <n v="2"/>
    <x v="1"/>
    <n v="24"/>
    <x v="4"/>
    <n v="241"/>
    <x v="12"/>
    <n v="2412"/>
    <x v="33"/>
    <n v="241213"/>
    <s v="Sistema Nacional de Educación Musical (SINEM)"/>
    <n v="24121300"/>
    <s v="-"/>
    <n v="241213000"/>
    <s v="-"/>
    <n v="2412130000"/>
    <s v="-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s v="I3131010000280"/>
    <x v="10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s v="I3131010000281"/>
    <x v="10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s v="I3131010000282"/>
    <x v="10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s v="I3131020000280"/>
    <x v="10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s v="I3211010400453"/>
    <x v="10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0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s v="I3211021400503"/>
    <x v="10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0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s v="I3211021600505"/>
    <x v="10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s v="I3211021700506"/>
    <x v="10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s v="I3211021800507"/>
    <x v="10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s v="I3211021900508"/>
    <x v="10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s v="I3211022000509"/>
    <x v="10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s v="I3211022100510"/>
    <x v="10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0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s v="I3211030500535"/>
    <x v="10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s v="I3211030700538"/>
    <x v="10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s v="I3211090100650"/>
    <x v="10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s v="I3211090200660"/>
    <x v="10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s v="I3212001000511"/>
    <x v="10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s v="I3212002000512"/>
    <x v="10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0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10000923"/>
    <x v="10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s v="I1111010100001"/>
    <x v="11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s v="I1111020100001"/>
    <x v="11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s v="I1111030100001"/>
    <x v="11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s v="I1112010000001"/>
    <x v="11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s v="I1112020000001"/>
    <x v="11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s v="I1113010100001"/>
    <x v="11"/>
    <x v="161"/>
    <n v="1"/>
    <x v="0"/>
    <n v="11"/>
    <x v="0"/>
    <n v="111"/>
    <x v="0"/>
    <n v="1113"/>
    <x v="2"/>
    <n v="111301"/>
    <s v="Impuesto sobre dividendos"/>
    <n v="11130101"/>
    <s v="Del sector público"/>
    <n v="111301010"/>
    <s v="-"/>
    <n v="1113010100"/>
    <s v="-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s v="I1113010200001"/>
    <x v="11"/>
    <x v="120"/>
    <n v="1"/>
    <x v="0"/>
    <n v="11"/>
    <x v="0"/>
    <n v="111"/>
    <x v="0"/>
    <n v="1113"/>
    <x v="2"/>
    <n v="111301"/>
    <s v="Impuesto sobre dividendos"/>
    <n v="11130102"/>
    <s v="Del sector privado"/>
    <n v="111301020"/>
    <s v="-"/>
    <n v="1113010200"/>
    <s v="-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s v="I1113020100001"/>
    <x v="11"/>
    <x v="161"/>
    <n v="1"/>
    <x v="0"/>
    <n v="11"/>
    <x v="0"/>
    <n v="111"/>
    <x v="0"/>
    <n v="1113"/>
    <x v="2"/>
    <n v="111302"/>
    <s v="Impuestos sobre los intereses de títulos valores"/>
    <n v="11130201"/>
    <s v="Del sector público"/>
    <n v="111302010"/>
    <s v="-"/>
    <n v="1113020100"/>
    <s v="-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s v="I1113020200001"/>
    <x v="11"/>
    <x v="120"/>
    <n v="1"/>
    <x v="0"/>
    <n v="11"/>
    <x v="0"/>
    <n v="111"/>
    <x v="0"/>
    <n v="1113"/>
    <x v="2"/>
    <n v="111302"/>
    <s v="Impuestos sobre los intereses de títulos valores"/>
    <n v="11130202"/>
    <s v="Del sector privado"/>
    <n v="111302020"/>
    <s v="-"/>
    <n v="1113020200"/>
    <s v="-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s v="I1114010000001"/>
    <x v="11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s v="I1115010100001"/>
    <x v="11"/>
    <x v="18"/>
    <n v="1"/>
    <x v="0"/>
    <n v="11"/>
    <x v="0"/>
    <n v="111"/>
    <x v="0"/>
    <n v="1115"/>
    <x v="4"/>
    <n v="111501"/>
    <s v="Impuesto especial sobre bancos y entidades financieras no domiciliadas"/>
    <n v="11150101"/>
    <s v="-"/>
    <n v="111501010"/>
    <s v="-"/>
    <n v="1115010100"/>
    <s v="-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s v="I1121010000001"/>
    <x v="11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s v="I1122010000001"/>
    <x v="11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s v="I1122020000001"/>
    <x v="11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s v="I1123010000001"/>
    <x v="11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s v="I1123030000001"/>
    <x v="11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s v="I1124010000001"/>
    <x v="11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s v="I1125010000001"/>
    <x v="11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s v="I1131010100001"/>
    <x v="11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s v="I1131010200001"/>
    <x v="11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s v="I1131020100001"/>
    <x v="11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s v="I1131020200001"/>
    <x v="11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s v="I1132010311001"/>
    <x v="11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s v="I1132010312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s v="I1132010411001"/>
    <x v="1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s v="I1132010412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s v="I1132010421001"/>
    <x v="11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s v="I1132010422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s v="I1132010431001"/>
    <x v="11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s v="I1132010440001"/>
    <x v="11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s v="I1132010451001"/>
    <x v="11"/>
    <x v="199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s v="I1132010452001"/>
    <x v="11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s v="I1132020310001"/>
    <x v="11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s v="I1132020320001"/>
    <x v="11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s v="I1141010100001"/>
    <x v="11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s v="I1141020100001"/>
    <x v="11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s v="I1142010100001"/>
    <x v="11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s v="I1142090100001"/>
    <x v="11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s v="I1142090200001"/>
    <x v="11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s v="I1143030100001"/>
    <x v="11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s v="I1143030200001"/>
    <x v="11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s v="I1143040100001"/>
    <x v="11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s v="I1143090110001"/>
    <x v="11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s v="I1143090120001"/>
    <x v="11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s v="I1143090130001"/>
    <x v="11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s v="I1143090200001"/>
    <x v="11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s v="I1191010000001"/>
    <x v="11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s v="I1199010000001"/>
    <x v="11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s v="I1213010100001"/>
    <x v="11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s v="I1213010200001"/>
    <x v="11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s v="I1213020100001"/>
    <x v="11"/>
    <x v="48"/>
    <n v="1"/>
    <x v="0"/>
    <n v="12"/>
    <x v="1"/>
    <n v="121"/>
    <x v="5"/>
    <n v="1213"/>
    <x v="16"/>
    <n v="121302"/>
    <s v="Contribución del Magisterio Nacional miembros pensionados"/>
    <n v="12130201"/>
    <s v="-"/>
    <n v="121302010"/>
    <s v="-"/>
    <n v="1213020100"/>
    <s v="-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s v="I1213030100001"/>
    <x v="11"/>
    <x v="49"/>
    <n v="1"/>
    <x v="0"/>
    <n v="12"/>
    <x v="1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s v="I1213030200001"/>
    <x v="11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s v="I1312030101001"/>
    <x v="11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s v="I1312030401001"/>
    <x v="11"/>
    <x v="277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s v="I1312030402001"/>
    <x v="11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s v="I1312040110001"/>
    <x v="11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s v="I1312090210001"/>
    <x v="11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s v="I1312090220001"/>
    <x v="11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s v="I1312090610001"/>
    <x v="11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s v="I1312090930001"/>
    <x v="11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s v="I1312090940001"/>
    <x v="11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s v="I1313010110001"/>
    <x v="11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s v="I1313010120001"/>
    <x v="11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s v="I1313010310001"/>
    <x v="11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s v="I1313010320001"/>
    <x v="11"/>
    <x v="59"/>
    <n v="1"/>
    <x v="0"/>
    <n v="13"/>
    <x v="2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s v="I1313010330001"/>
    <x v="11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s v="I1313010340001"/>
    <x v="11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s v="I1313020130001"/>
    <x v="11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s v="I1313020140001"/>
    <x v="11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s v="I1313020310001"/>
    <x v="11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s v="I1313020320001"/>
    <x v="11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s v="I1313020340001"/>
    <x v="11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s v="I1313020350001"/>
    <x v="11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s v="I1321030000001"/>
    <x v="11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s v="I1323010600001"/>
    <x v="11"/>
    <x v="278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s v="I1323030100001"/>
    <x v="11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s v="I1331010000001"/>
    <x v="11"/>
    <x v="169"/>
    <n v="1"/>
    <x v="0"/>
    <n v="13"/>
    <x v="2"/>
    <n v="133"/>
    <x v="8"/>
    <n v="1331"/>
    <x v="23"/>
    <n v="133101"/>
    <s v="Multas de tránsito"/>
    <n v="13310100"/>
    <s v="-"/>
    <n v="133101000"/>
    <s v="-"/>
    <n v="1331010000"/>
    <s v="-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s v="I1331020100001"/>
    <x v="11"/>
    <x v="133"/>
    <n v="1"/>
    <x v="0"/>
    <n v="13"/>
    <x v="2"/>
    <n v="133"/>
    <x v="8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s v="I1331020200001"/>
    <x v="11"/>
    <x v="134"/>
    <n v="1"/>
    <x v="0"/>
    <n v="13"/>
    <x v="2"/>
    <n v="133"/>
    <x v="8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s v="I1331040100001"/>
    <x v="11"/>
    <x v="68"/>
    <n v="1"/>
    <x v="0"/>
    <n v="13"/>
    <x v="2"/>
    <n v="133"/>
    <x v="8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s v="I1331040200001"/>
    <x v="11"/>
    <x v="135"/>
    <n v="1"/>
    <x v="0"/>
    <n v="13"/>
    <x v="2"/>
    <n v="133"/>
    <x v="8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s v="I1331090100001"/>
    <x v="11"/>
    <x v="136"/>
    <n v="1"/>
    <x v="0"/>
    <n v="13"/>
    <x v="2"/>
    <n v="133"/>
    <x v="8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s v="I1331090200001"/>
    <x v="11"/>
    <x v="137"/>
    <n v="1"/>
    <x v="0"/>
    <n v="13"/>
    <x v="2"/>
    <n v="133"/>
    <x v="8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s v="I1331090300001"/>
    <x v="11"/>
    <x v="70"/>
    <n v="1"/>
    <x v="0"/>
    <n v="13"/>
    <x v="2"/>
    <n v="133"/>
    <x v="8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s v="I1331090400001"/>
    <x v="11"/>
    <x v="182"/>
    <n v="1"/>
    <x v="0"/>
    <n v="13"/>
    <x v="2"/>
    <n v="133"/>
    <x v="8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s v="I1331090500001"/>
    <x v="11"/>
    <x v="253"/>
    <n v="1"/>
    <x v="0"/>
    <n v="13"/>
    <x v="2"/>
    <n v="133"/>
    <x v="8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s v="I1331090600001"/>
    <x v="11"/>
    <x v="270"/>
    <n v="1"/>
    <x v="0"/>
    <n v="13"/>
    <x v="2"/>
    <n v="133"/>
    <x v="8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1"/>
    <x v="170"/>
    <n v="1"/>
    <x v="0"/>
    <n v="13"/>
    <x v="2"/>
    <n v="133"/>
    <x v="8"/>
    <n v="1331"/>
    <x v="23"/>
    <n v="133109"/>
    <s v="Otras multas"/>
    <n v="13310909"/>
    <s v="Multas Varias"/>
    <n v="133109090"/>
    <s v="-"/>
    <n v="1331090900"/>
    <s v="-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s v="I1332010100001"/>
    <x v="11"/>
    <x v="74"/>
    <n v="1"/>
    <x v="0"/>
    <n v="13"/>
    <x v="2"/>
    <n v="133"/>
    <x v="8"/>
    <n v="1332"/>
    <x v="24"/>
    <n v="133201"/>
    <s v="Remates y confiscaciones"/>
    <n v="13320101"/>
    <s v="Remates Ley N° 3421"/>
    <n v="133201010"/>
    <s v="-"/>
    <n v="1332010100"/>
    <s v="-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s v="I1341000000001"/>
    <x v="11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s v="I1391000000001"/>
    <x v="11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s v="I1399000000001"/>
    <x v="11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s v="I1412010100001"/>
    <x v="11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s v="I1412010300001"/>
    <x v="11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s v="I1412010400001"/>
    <x v="11"/>
    <x v="171"/>
    <n v="1"/>
    <x v="0"/>
    <n v="14"/>
    <x v="3"/>
    <n v="141"/>
    <x v="10"/>
    <n v="1412"/>
    <x v="27"/>
    <n v="141201"/>
    <s v="Transferencias de FODESAF"/>
    <n v="14120104"/>
    <s v="Fodesaf-Pronamype"/>
    <n v="141201040"/>
    <s v="-"/>
    <n v="1412010400"/>
    <s v="-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s v="I1412010500001"/>
    <x v="11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s v="I1412010600001"/>
    <x v="11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s v="I1412010700001"/>
    <x v="11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s v="I1412010800001"/>
    <x v="11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s v="I1412010900001"/>
    <x v="11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s v="I1412011500001"/>
    <x v="11"/>
    <x v="265"/>
    <n v="1"/>
    <x v="0"/>
    <n v="14"/>
    <x v="3"/>
    <n v="141"/>
    <x v="10"/>
    <n v="1412"/>
    <x v="27"/>
    <n v="141201"/>
    <s v="Transferencias de FODESAF"/>
    <n v="14120115"/>
    <s v="Fodesaf-Mi primer Empleo"/>
    <n v="141201150"/>
    <s v="-"/>
    <n v="1412011500"/>
    <s v="-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412020000001"/>
    <x v="11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s v="I1412050000001"/>
    <x v="11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s v="I1412060000001"/>
    <x v="11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s v="I1413010100001"/>
    <x v="11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s v="I1413010200001"/>
    <x v="11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s v="I1413010300001"/>
    <x v="11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s v="I1413010400001"/>
    <x v="11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s v="I1413010500001"/>
    <x v="11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s v="I1413010600001"/>
    <x v="11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s v="I1413010700001"/>
    <x v="11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s v="I1413010900001"/>
    <x v="11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s v="I1413011000001"/>
    <x v="11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s v="I1413011100001"/>
    <x v="11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s v="I1413011200001"/>
    <x v="11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s v="I1413011300001"/>
    <x v="11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s v="I1413020000001"/>
    <x v="11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s v="I1413030000001"/>
    <x v="11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s v="I1413040000001"/>
    <x v="11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s v="I1413060000001"/>
    <x v="11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s v="I1413070000001"/>
    <x v="11"/>
    <x v="279"/>
    <n v="1"/>
    <x v="0"/>
    <n v="14"/>
    <x v="3"/>
    <n v="141"/>
    <x v="10"/>
    <n v="1413"/>
    <x v="28"/>
    <n v="141307"/>
    <s v="Instituto de Desarrollo Rural Fideicomiso Pequeños Medianos productores de piña."/>
    <n v="14130700"/>
    <s v="-"/>
    <n v="141307000"/>
    <s v="-"/>
    <n v="1413070000"/>
    <s v="-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s v="I1413090000001"/>
    <x v="11"/>
    <x v="280"/>
    <n v="1"/>
    <x v="0"/>
    <n v="14"/>
    <x v="3"/>
    <n v="141"/>
    <x v="10"/>
    <n v="1413"/>
    <x v="28"/>
    <n v="141309"/>
    <s v="Servicios Nacional de Aguas Subterráneas, Riego y Avenamiento (SENARA)"/>
    <n v="14130900"/>
    <s v="-"/>
    <n v="141309000"/>
    <s v="-"/>
    <n v="1413090000"/>
    <s v="-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s v="I1414010000001"/>
    <x v="11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s v="I1415010100001"/>
    <x v="11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s v="I1415010200001"/>
    <x v="11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s v="I1415010300001"/>
    <x v="11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s v="I1415010400001"/>
    <x v="11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s v="I1415010500001"/>
    <x v="11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s v="I1415010600001"/>
    <x v="11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s v="I1416010100001"/>
    <x v="11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s v="I1416010200001"/>
    <x v="11"/>
    <x v="149"/>
    <n v="1"/>
    <x v="0"/>
    <n v="14"/>
    <x v="3"/>
    <n v="141"/>
    <x v="10"/>
    <n v="1416"/>
    <x v="31"/>
    <n v="141601"/>
    <s v="Cuotas Organismos Internacionales, Ley N° 3418"/>
    <n v="14160102"/>
    <s v="Bancrédito"/>
    <n v="141601020"/>
    <s v="-"/>
    <n v="1416010200"/>
    <s v="-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s v="I1416010300001"/>
    <x v="11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s v="I1416010400001"/>
    <x v="11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s v="I1416010600001"/>
    <x v="11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s v="I1432040000001"/>
    <x v="11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s v="I2340000000030"/>
    <x v="11"/>
    <x v="281"/>
    <n v="2"/>
    <x v="1"/>
    <n v="23"/>
    <x v="10"/>
    <n v="234"/>
    <x v="23"/>
    <n v="2340"/>
    <x v="35"/>
    <n v="234000"/>
    <s v="-"/>
    <n v="23400000"/>
    <s v="-"/>
    <n v="234000000"/>
    <s v="-"/>
    <n v="2340000000"/>
    <s v="-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s v="I2412080000060"/>
    <x v="11"/>
    <x v="244"/>
    <n v="2"/>
    <x v="1"/>
    <n v="24"/>
    <x v="4"/>
    <n v="241"/>
    <x v="12"/>
    <n v="2412"/>
    <x v="33"/>
    <n v="241208"/>
    <s v="FODESAF - Min. Cultu"/>
    <n v="24120800"/>
    <s v="-"/>
    <n v="241208000"/>
    <s v="-"/>
    <n v="2412080000"/>
    <s v="-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s v="I2412110000060"/>
    <x v="11"/>
    <x v="274"/>
    <n v="2"/>
    <x v="1"/>
    <n v="24"/>
    <x v="4"/>
    <n v="241"/>
    <x v="12"/>
    <n v="2412"/>
    <x v="33"/>
    <n v="241211"/>
    <s v="Museo de Arte Costarricense"/>
    <n v="24121100"/>
    <s v="-"/>
    <n v="241211000"/>
    <s v="-"/>
    <n v="2412110000"/>
    <s v="-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s v="I2412140000060"/>
    <x v="11"/>
    <x v="282"/>
    <n v="2"/>
    <x v="1"/>
    <n v="24"/>
    <x v="4"/>
    <n v="241"/>
    <x v="12"/>
    <n v="2412"/>
    <x v="33"/>
    <n v="241214"/>
    <s v="Dirección Nacional de Centros de Educación y Nutri ción y de Centros Infantiles de Atención Integral (Dirección de CEN-CINAI)"/>
    <n v="24121400"/>
    <s v="-"/>
    <n v="241214000"/>
    <s v="-"/>
    <n v="2412140000"/>
    <s v="-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s v="I3131010000280"/>
    <x v="11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s v="I3131010000281"/>
    <x v="11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s v="I3131010000282"/>
    <x v="11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131020000280"/>
    <x v="11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s v="I3211010400453"/>
    <x v="11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1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s v="I3211021400503"/>
    <x v="11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1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1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s v="I3211021700506"/>
    <x v="11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1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s v="I3211021900508"/>
    <x v="11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s v="I3211022000509"/>
    <x v="11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100510"/>
    <x v="11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1"/>
    <x v="283"/>
    <n v="3"/>
    <x v="2"/>
    <n v="32"/>
    <x v="7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300516"/>
    <x v="11"/>
    <x v="284"/>
    <n v="3"/>
    <x v="2"/>
    <n v="32"/>
    <x v="7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400517"/>
    <x v="11"/>
    <x v="285"/>
    <n v="3"/>
    <x v="2"/>
    <n v="32"/>
    <x v="7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30200514"/>
    <x v="11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s v="I3211030500535"/>
    <x v="11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s v="I3211030700538"/>
    <x v="11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s v="I3211090100650"/>
    <x v="11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s v="I3211090200660"/>
    <x v="11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s v="I3212001000511"/>
    <x v="11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s v="I3212002000512"/>
    <x v="11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3"/>
    <x v="11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321020000923"/>
    <x v="11"/>
    <x v="286"/>
    <n v="3"/>
    <x v="2"/>
    <n v="33"/>
    <x v="8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s v="I1111010100001"/>
    <x v="12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s v="I1111020100001"/>
    <x v="12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s v="I1111030100001"/>
    <x v="12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s v="I1111030200001"/>
    <x v="12"/>
    <x v="287"/>
    <n v="1"/>
    <x v="0"/>
    <n v="11"/>
    <x v="0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s v="I1111030300001"/>
    <x v="12"/>
    <x v="288"/>
    <n v="1"/>
    <x v="0"/>
    <n v="11"/>
    <x v="0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s v="I1111030400001"/>
    <x v="12"/>
    <x v="289"/>
    <n v="1"/>
    <x v="0"/>
    <n v="11"/>
    <x v="0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s v="I1112010000001"/>
    <x v="12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s v="I1112010100001"/>
    <x v="12"/>
    <x v="118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s v="I1112010200001"/>
    <x v="12"/>
    <x v="290"/>
    <n v="1"/>
    <x v="0"/>
    <n v="11"/>
    <x v="0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s v="I1112010300001"/>
    <x v="12"/>
    <x v="291"/>
    <n v="1"/>
    <x v="0"/>
    <n v="11"/>
    <x v="0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s v="I1112020000001"/>
    <x v="12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s v="I1112020100001"/>
    <x v="12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s v="I1112020200001"/>
    <x v="12"/>
    <x v="292"/>
    <n v="1"/>
    <x v="0"/>
    <n v="11"/>
    <x v="0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s v="I1112020300001"/>
    <x v="12"/>
    <x v="293"/>
    <n v="1"/>
    <x v="0"/>
    <n v="11"/>
    <x v="0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s v="I1112020400001"/>
    <x v="12"/>
    <x v="294"/>
    <n v="1"/>
    <x v="0"/>
    <n v="11"/>
    <x v="0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s v="I1113010000001"/>
    <x v="12"/>
    <x v="295"/>
    <n v="1"/>
    <x v="0"/>
    <n v="11"/>
    <x v="0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s v="I1113020000001"/>
    <x v="12"/>
    <x v="296"/>
    <n v="1"/>
    <x v="0"/>
    <n v="11"/>
    <x v="0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s v="I1114010000001"/>
    <x v="12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s v="I1121010000001"/>
    <x v="12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s v="I1122010000001"/>
    <x v="12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s v="I1122020000001"/>
    <x v="12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s v="I1123010000001"/>
    <x v="12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s v="I1123030000001"/>
    <x v="12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s v="I1124010000001"/>
    <x v="12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s v="I1125010000001"/>
    <x v="12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s v="I1131010100001"/>
    <x v="12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s v="I1131010200001"/>
    <x v="12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s v="I1131020100001"/>
    <x v="12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s v="I1131020200001"/>
    <x v="12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s v="I1132010311001"/>
    <x v="12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s v="I1132010312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s v="I1132010411001"/>
    <x v="1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s v="I1132010412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s v="I1132010421001"/>
    <x v="12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s v="I1132010422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s v="I1132010431001"/>
    <x v="12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s v="I1132010440001"/>
    <x v="12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s v="I1132010451001"/>
    <x v="12"/>
    <x v="297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Interno"/>
    <n v="1132010451"/>
    <s v="-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s v="I1132010452001"/>
    <x v="12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s v="I1132020310001"/>
    <x v="12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s v="I1132020320001"/>
    <x v="12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s v="I1141010100001"/>
    <x v="12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s v="I1141020100001"/>
    <x v="12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s v="I1142010100001"/>
    <x v="12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s v="I1142090100001"/>
    <x v="12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s v="I1142090200001"/>
    <x v="12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s v="I1143030100001"/>
    <x v="12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s v="I1143030200001"/>
    <x v="12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s v="I1143040100001"/>
    <x v="12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s v="I1143090110001"/>
    <x v="12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s v="I1143090120001"/>
    <x v="12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s v="I1143090130001"/>
    <x v="12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s v="I1143090200001"/>
    <x v="12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s v="I1191010000001"/>
    <x v="12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s v="I1199010000001"/>
    <x v="12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s v="I1213010100001"/>
    <x v="12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s v="I1213010200001"/>
    <x v="12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s v="I1213020100001"/>
    <x v="12"/>
    <x v="48"/>
    <n v="1"/>
    <x v="0"/>
    <n v="12"/>
    <x v="1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s v="I1213030100001"/>
    <x v="12"/>
    <x v="49"/>
    <n v="1"/>
    <x v="0"/>
    <n v="12"/>
    <x v="1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s v="I1213030200001"/>
    <x v="12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s v="I1312030101001"/>
    <x v="12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s v="I1312030401001"/>
    <x v="12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s v="I1312030402001"/>
    <x v="12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s v="I1312040110001"/>
    <x v="12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s v="I1312090210001"/>
    <x v="12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s v="I1312090220001"/>
    <x v="12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s v="I1312090610001"/>
    <x v="12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s v="I1312090920001"/>
    <x v="12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s v="I1312090930001"/>
    <x v="12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s v="I1312090940001"/>
    <x v="12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s v="I1313010110001"/>
    <x v="12"/>
    <x v="56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1"/>
    <s v="Licencia de Conducir Ley N° 7055"/>
    <n v="1313010110"/>
    <s v="-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s v="I1313010120001"/>
    <x v="12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s v="I1313010310001"/>
    <x v="12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s v="I1313010320001"/>
    <x v="12"/>
    <x v="59"/>
    <n v="1"/>
    <x v="0"/>
    <n v="13"/>
    <x v="2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s v="I1313010330001"/>
    <x v="12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s v="I1313010340001"/>
    <x v="12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s v="I1313020130001"/>
    <x v="12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s v="I1313020140001"/>
    <x v="12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s v="I1313020310001"/>
    <x v="12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s v="I1313020320001"/>
    <x v="12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s v="I1313020340001"/>
    <x v="12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s v="I1313020350001"/>
    <x v="12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s v="I1321030000001"/>
    <x v="12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s v="I1323010600001"/>
    <x v="12"/>
    <x v="278"/>
    <n v="1"/>
    <x v="0"/>
    <n v="13"/>
    <x v="2"/>
    <n v="132"/>
    <x v="7"/>
    <n v="1323"/>
    <x v="22"/>
    <n v="132301"/>
    <s v="Intereses sobre títulos valores"/>
    <n v="13230106"/>
    <s v="Instereses sobre títulos valores de instituciones públicas"/>
    <n v="132301060"/>
    <s v="-"/>
    <n v="1323010600"/>
    <s v="-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s v="I1323030100001"/>
    <x v="12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s v="I1331010000001"/>
    <x v="12"/>
    <x v="169"/>
    <n v="1"/>
    <x v="0"/>
    <n v="13"/>
    <x v="2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s v="I1331020100001"/>
    <x v="12"/>
    <x v="133"/>
    <n v="1"/>
    <x v="0"/>
    <n v="13"/>
    <x v="2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s v="I1331020200001"/>
    <x v="12"/>
    <x v="134"/>
    <n v="1"/>
    <x v="0"/>
    <n v="13"/>
    <x v="2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s v="I1331040100001"/>
    <x v="12"/>
    <x v="68"/>
    <n v="1"/>
    <x v="0"/>
    <n v="13"/>
    <x v="2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s v="I1331040200001"/>
    <x v="12"/>
    <x v="135"/>
    <n v="1"/>
    <x v="0"/>
    <n v="13"/>
    <x v="2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s v="I1331090100001"/>
    <x v="12"/>
    <x v="136"/>
    <n v="1"/>
    <x v="0"/>
    <n v="13"/>
    <x v="2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s v="I1331090200001"/>
    <x v="12"/>
    <x v="137"/>
    <n v="1"/>
    <x v="0"/>
    <n v="13"/>
    <x v="2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s v="I1331090300001"/>
    <x v="12"/>
    <x v="70"/>
    <n v="1"/>
    <x v="0"/>
    <n v="13"/>
    <x v="2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s v="I1331090400001"/>
    <x v="12"/>
    <x v="182"/>
    <n v="1"/>
    <x v="0"/>
    <n v="13"/>
    <x v="2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s v="I1331090500001"/>
    <x v="12"/>
    <x v="253"/>
    <n v="1"/>
    <x v="0"/>
    <n v="13"/>
    <x v="2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s v="I1331090600001"/>
    <x v="12"/>
    <x v="270"/>
    <n v="1"/>
    <x v="0"/>
    <n v="13"/>
    <x v="2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s v="I1331090900001"/>
    <x v="12"/>
    <x v="170"/>
    <n v="1"/>
    <x v="0"/>
    <n v="13"/>
    <x v="2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s v="I1332010100001"/>
    <x v="12"/>
    <x v="74"/>
    <n v="1"/>
    <x v="0"/>
    <n v="13"/>
    <x v="2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s v="I1341000000001"/>
    <x v="12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s v="I1391000000001"/>
    <x v="12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s v="I1399000000001"/>
    <x v="12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s v="I1411020000001"/>
    <x v="12"/>
    <x v="298"/>
    <n v="1"/>
    <x v="0"/>
    <n v="14"/>
    <x v="3"/>
    <n v="141"/>
    <x v="10"/>
    <n v="1411"/>
    <x v="46"/>
    <n v="141102"/>
    <s v="Transferencias corrientes Gobierno Central Superáv it Libre artículo 5 Ley 9371"/>
    <n v="14110200"/>
    <s v="Transferencias corrientes Gobierno Central Superáv it Libre artículo 5 Ley 9371"/>
    <n v="141102000"/>
    <s v="-"/>
    <n v="1411020000"/>
    <s v="-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s v="I1412010100001"/>
    <x v="12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s v="I1412010300001"/>
    <x v="12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s v="I1412010500001"/>
    <x v="12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s v="I1412010600001"/>
    <x v="12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s v="I1412010700001"/>
    <x v="12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s v="I1412010800001"/>
    <x v="12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s v="I1412010900001"/>
    <x v="12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s v="I1412020000001"/>
    <x v="12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s v="I1412050000001"/>
    <x v="12"/>
    <x v="236"/>
    <n v="1"/>
    <x v="0"/>
    <n v="14"/>
    <x v="3"/>
    <n v="141"/>
    <x v="10"/>
    <n v="1412"/>
    <x v="27"/>
    <n v="141205"/>
    <s v="CNE Ley 8933"/>
    <n v="14120500"/>
    <s v="-"/>
    <n v="141205000"/>
    <s v="-"/>
    <n v="1412050000"/>
    <s v="-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s v="I1412060000001"/>
    <x v="12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s v="I1412130000001"/>
    <x v="12"/>
    <x v="299"/>
    <n v="1"/>
    <x v="0"/>
    <n v="14"/>
    <x v="3"/>
    <n v="141"/>
    <x v="10"/>
    <n v="1412"/>
    <x v="27"/>
    <n v="141213"/>
    <s v="Unidad Ejecutora Programa para la Prevención de la Violencia y Promoción de la Inclusión Social del Ministerio de Justicia y Paz"/>
    <n v="14121300"/>
    <s v="-"/>
    <n v="141213000"/>
    <s v="-"/>
    <n v="1412130000"/>
    <s v="-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s v="I1412140000001"/>
    <x v="12"/>
    <x v="300"/>
    <n v="1"/>
    <x v="0"/>
    <n v="14"/>
    <x v="3"/>
    <n v="141"/>
    <x v="10"/>
    <n v="1412"/>
    <x v="27"/>
    <n v="141214"/>
    <s v="Transferencias corrientes Órganos Desconcentrados Superávit Libre artículo 5 Ley 9371"/>
    <n v="14121400"/>
    <s v="-"/>
    <n v="141214000"/>
    <s v="-"/>
    <n v="1412140000"/>
    <s v="-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s v="I1413010100001"/>
    <x v="12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s v="I1413010200001"/>
    <x v="12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s v="I1413010300001"/>
    <x v="12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s v="I1413010400001"/>
    <x v="12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s v="I1413010500001"/>
    <x v="12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s v="I1413010600001"/>
    <x v="12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s v="I1413010700001"/>
    <x v="12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s v="I1413010900001"/>
    <x v="12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s v="I1413011000001"/>
    <x v="12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s v="I1413011100001"/>
    <x v="12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s v="I1413011200001"/>
    <x v="12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s v="I1413011300001"/>
    <x v="12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s v="I1413020000001"/>
    <x v="12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s v="I1413030000001"/>
    <x v="12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s v="I1413040000001"/>
    <x v="12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s v="I1413060000001"/>
    <x v="12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s v="I1413100000001"/>
    <x v="12"/>
    <x v="301"/>
    <n v="1"/>
    <x v="0"/>
    <n v="14"/>
    <x v="3"/>
    <n v="141"/>
    <x v="10"/>
    <n v="1413"/>
    <x v="28"/>
    <n v="141310"/>
    <s v="Transferencias corrientes Instituciones Descentral izadas no Empresariales Superávit Libre artículo 5 Ley 9371"/>
    <n v="14131000"/>
    <s v="-"/>
    <n v="141310000"/>
    <s v="-"/>
    <n v="1413100000"/>
    <s v="-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s v="I1414010000001"/>
    <x v="12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s v="I1414030000001"/>
    <x v="12"/>
    <x v="302"/>
    <n v="1"/>
    <x v="0"/>
    <n v="14"/>
    <x v="3"/>
    <n v="141"/>
    <x v="10"/>
    <n v="1414"/>
    <x v="29"/>
    <n v="141403"/>
    <s v="Transferencias de Gobiernos locales Superávit Libre artículo 5 Ley Nº 9371"/>
    <n v="14140300"/>
    <s v="-"/>
    <n v="141403000"/>
    <s v="-"/>
    <n v="1414030000"/>
    <s v="-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s v="I1415010100001"/>
    <x v="12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s v="I1415010200001"/>
    <x v="12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s v="I1415010300001"/>
    <x v="12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s v="I1415010400001"/>
    <x v="12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s v="I1415010500001"/>
    <x v="12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s v="I1415010600001"/>
    <x v="12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s v="I1416010100001"/>
    <x v="12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s v="I1416010300001"/>
    <x v="12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s v="I1416010400001"/>
    <x v="12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s v="I1416010600001"/>
    <x v="12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s v="I1416020200001"/>
    <x v="12"/>
    <x v="303"/>
    <n v="1"/>
    <x v="0"/>
    <n v="14"/>
    <x v="3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s v="I1425000000001"/>
    <x v="12"/>
    <x v="304"/>
    <n v="1"/>
    <x v="0"/>
    <n v="14"/>
    <x v="3"/>
    <n v="142"/>
    <x v="11"/>
    <n v="1425"/>
    <x v="32"/>
    <n v="142500"/>
    <s v="Transferencias corrientes del Sector Privado-Super ávit Libre artículo 5 Ley 9371"/>
    <n v="14250000"/>
    <s v="-"/>
    <n v="142500000"/>
    <s v="-"/>
    <n v="1425000000"/>
    <s v="-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s v="I1426000000001"/>
    <x v="12"/>
    <x v="305"/>
    <n v="1"/>
    <x v="0"/>
    <n v="14"/>
    <x v="3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s v="I1432040000001"/>
    <x v="12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s v="I1432050000001"/>
    <x v="12"/>
    <x v="272"/>
    <n v="1"/>
    <x v="0"/>
    <n v="14"/>
    <x v="3"/>
    <n v="143"/>
    <x v="18"/>
    <n v="1432"/>
    <x v="40"/>
    <n v="143205"/>
    <s v="Subvención de la Unión Europea para el Fortalecimi ento del Programa Justicia Restaurativa- Poder Judicial"/>
    <n v="14320500"/>
    <s v="-"/>
    <n v="143205000"/>
    <s v="-"/>
    <n v="1432050000"/>
    <s v="-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s v="I2111000000002"/>
    <x v="12"/>
    <x v="220"/>
    <n v="2"/>
    <x v="1"/>
    <n v="21"/>
    <x v="9"/>
    <n v="211"/>
    <x v="20"/>
    <n v="2111"/>
    <x v="44"/>
    <n v="211100"/>
    <s v="-"/>
    <n v="21110000"/>
    <s v="-"/>
    <n v="211100000"/>
    <s v="-"/>
    <n v="2111000000"/>
    <s v="-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s v="I2340000000030"/>
    <x v="12"/>
    <x v="306"/>
    <n v="2"/>
    <x v="1"/>
    <n v="23"/>
    <x v="11"/>
    <n v="234"/>
    <x v="25"/>
    <n v="2340"/>
    <x v="35"/>
    <n v="234000"/>
    <s v="-"/>
    <n v="23400000"/>
    <s v="-"/>
    <n v="234000000"/>
    <s v="-"/>
    <n v="2340000000"/>
    <s v="-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s v="I3131010000280"/>
    <x v="12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s v="I3131010000282"/>
    <x v="12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s v="I3131020000280"/>
    <x v="12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s v="I3211010400453"/>
    <x v="12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454"/>
    <x v="12"/>
    <x v="307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10500513"/>
    <x v="12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s v="I3211021400503"/>
    <x v="12"/>
    <x v="177"/>
    <n v="3"/>
    <x v="2"/>
    <n v="32"/>
    <x v="7"/>
    <n v="321"/>
    <x v="16"/>
    <n v="3211"/>
    <x v="37"/>
    <n v="321102"/>
    <s v="Banco Interamericano de Desarrollo"/>
    <n v="32110214"/>
    <s v="-"/>
    <n v="321102140"/>
    <s v="-"/>
    <n v="3211021400"/>
    <s v="-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500504"/>
    <x v="12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600505"/>
    <x v="12"/>
    <x v="207"/>
    <n v="3"/>
    <x v="2"/>
    <n v="32"/>
    <x v="7"/>
    <n v="321"/>
    <x v="16"/>
    <n v="3211"/>
    <x v="37"/>
    <n v="321102"/>
    <s v="Banco Interamericano de Desarrollo"/>
    <n v="32110216"/>
    <s v="-"/>
    <n v="321102160"/>
    <s v="-"/>
    <n v="3211021600"/>
    <s v="-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700506"/>
    <x v="12"/>
    <x v="208"/>
    <n v="3"/>
    <x v="2"/>
    <n v="32"/>
    <x v="7"/>
    <n v="321"/>
    <x v="16"/>
    <n v="3211"/>
    <x v="37"/>
    <n v="321102"/>
    <s v="Banco Interamericano de Desarrollo"/>
    <n v="32110217"/>
    <s v="-"/>
    <n v="321102170"/>
    <s v="-"/>
    <n v="3211021700"/>
    <s v="-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800507"/>
    <x v="12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1900508"/>
    <x v="12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s v="I3211022000509"/>
    <x v="12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s v="I3211022100510"/>
    <x v="12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1022200515"/>
    <x v="12"/>
    <x v="283"/>
    <n v="3"/>
    <x v="2"/>
    <n v="32"/>
    <x v="7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s v="I3211022300516"/>
    <x v="12"/>
    <x v="284"/>
    <n v="3"/>
    <x v="2"/>
    <n v="32"/>
    <x v="7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s v="I3211022400517"/>
    <x v="12"/>
    <x v="285"/>
    <n v="3"/>
    <x v="2"/>
    <n v="32"/>
    <x v="7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s v="I3211022500518"/>
    <x v="12"/>
    <x v="308"/>
    <n v="3"/>
    <x v="2"/>
    <n v="32"/>
    <x v="7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s v="I3211030200514"/>
    <x v="12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s v="I3211030500535"/>
    <x v="12"/>
    <x v="179"/>
    <n v="3"/>
    <x v="2"/>
    <n v="32"/>
    <x v="7"/>
    <n v="321"/>
    <x v="16"/>
    <n v="3211"/>
    <x v="37"/>
    <n v="321103"/>
    <s v="Banco Mundial"/>
    <n v="32110305"/>
    <s v="-"/>
    <n v="321103050"/>
    <s v="-"/>
    <n v="3211030500"/>
    <s v="-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s v="I3211030700538"/>
    <x v="12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s v="I3211090100650"/>
    <x v="12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s v="I3211090200660"/>
    <x v="12"/>
    <x v="194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1000511"/>
    <x v="12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02000512"/>
    <x v="12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s v="I3212030000693"/>
    <x v="12"/>
    <x v="157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12030000694"/>
    <x v="12"/>
    <x v="309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3232010000890"/>
    <x v="12"/>
    <x v="210"/>
    <n v="3"/>
    <x v="2"/>
    <n v="32"/>
    <x v="7"/>
    <n v="323"/>
    <x v="19"/>
    <n v="3232"/>
    <x v="43"/>
    <n v="323201"/>
    <s v="-"/>
    <n v="32320100"/>
    <s v="-"/>
    <n v="323201000"/>
    <s v="-"/>
    <n v="3232010000"/>
    <s v="-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s v="I3321010000923"/>
    <x v="12"/>
    <x v="26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s v="I3321010000924"/>
    <x v="12"/>
    <x v="310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s v="I3321010000925"/>
    <x v="12"/>
    <x v="311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s v="I3321020000923"/>
    <x v="12"/>
    <x v="286"/>
    <n v="3"/>
    <x v="2"/>
    <n v="33"/>
    <x v="8"/>
    <n v="332"/>
    <x v="22"/>
    <n v="3321"/>
    <x v="35"/>
    <n v="332102"/>
    <s v="-"/>
    <n v="33210200"/>
    <s v="-"/>
    <n v="332102000"/>
    <s v="-"/>
    <n v="3321020000"/>
    <s v="-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s v="I1111010100001"/>
    <x v="13"/>
    <x v="115"/>
    <n v="1"/>
    <x v="0"/>
    <n v="11"/>
    <x v="0"/>
    <n v="111"/>
    <x v="0"/>
    <n v="1111"/>
    <x v="0"/>
    <n v="111101"/>
    <s v="Impuesto  sobre  salarios,  jubilaciones,  pensiones  y otros pagos laborales del Sector Público         "/>
    <n v="11110101"/>
    <s v="-"/>
    <n v="111101010"/>
    <s v="-"/>
    <n v="1111010100"/>
    <s v="-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1863182922.72"/>
    <n v="0"/>
    <n v="232569788550.32999"/>
    <n v="34430211449.669998"/>
    <n v="87.1"/>
    <n v="12.9"/>
  </r>
  <r>
    <s v="I1111020100001"/>
    <x v="13"/>
    <x v="116"/>
    <n v="1"/>
    <x v="0"/>
    <n v="11"/>
    <x v="0"/>
    <n v="111"/>
    <x v="0"/>
    <n v="1111"/>
    <x v="0"/>
    <n v="111102"/>
    <s v="Impuesto  sobre  salarios,  jubilaciones,  pensiones  y otros pagos laborales del Sector Privado      "/>
    <n v="11110201"/>
    <s v="-"/>
    <n v="111102010"/>
    <s v="-"/>
    <n v="1111020100"/>
    <s v="-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592746785"/>
    <n v="0"/>
    <n v="201129912835.19"/>
    <n v="19870087164.810001"/>
    <n v="91.01"/>
    <n v="8.99"/>
  </r>
  <r>
    <s v="I1111030100001"/>
    <x v="13"/>
    <x v="117"/>
    <n v="1"/>
    <x v="0"/>
    <n v="11"/>
    <x v="0"/>
    <n v="111"/>
    <x v="0"/>
    <n v="1111"/>
    <x v="0"/>
    <n v="111103"/>
    <s v="Impuestos sobre los ingresos y utilidades de personas físicas"/>
    <n v="11110301"/>
    <s v="-"/>
    <n v="111103010"/>
    <s v="-"/>
    <n v="1111030100"/>
    <s v="-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297132748"/>
    <n v="0"/>
    <n v="30556017260.970001"/>
    <n v="10443982739.030001"/>
    <n v="74.53"/>
    <n v="25.47"/>
  </r>
  <r>
    <s v="I1111030200001"/>
    <x v="13"/>
    <x v="287"/>
    <n v="1"/>
    <x v="0"/>
    <n v="11"/>
    <x v="0"/>
    <n v="111"/>
    <x v="0"/>
    <n v="1111"/>
    <x v="0"/>
    <n v="111103"/>
    <s v="Impuestos sobre los ingresos y utilidades de personas físicas"/>
    <n v="11110302"/>
    <s v="Impuesto sobre rentas de capital inmobiliario de personas físicas"/>
    <n v="111103020"/>
    <s v="-"/>
    <n v="1111030200"/>
    <s v="-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105654398"/>
    <n v="0"/>
    <n v="9024904823"/>
    <n v="1775095177"/>
    <n v="83.56"/>
    <n v="16.440000000000001"/>
  </r>
  <r>
    <s v="I1111030300001"/>
    <x v="13"/>
    <x v="288"/>
    <n v="1"/>
    <x v="0"/>
    <n v="11"/>
    <x v="0"/>
    <n v="111"/>
    <x v="0"/>
    <n v="1111"/>
    <x v="0"/>
    <n v="111103"/>
    <s v="Impuestos sobre los ingresos y utilidades de personas físicas"/>
    <n v="11110303"/>
    <s v="Impuesto sobre rentas de capital mobiliario de personas físicas"/>
    <n v="111103030"/>
    <s v="-"/>
    <n v="1111030300"/>
    <s v="-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6986093"/>
    <n v="0"/>
    <n v="1021879677"/>
    <n v="158120323"/>
    <n v="86.6"/>
    <n v="13.4"/>
  </r>
  <r>
    <s v="I1111030400001"/>
    <x v="13"/>
    <x v="289"/>
    <n v="1"/>
    <x v="0"/>
    <n v="11"/>
    <x v="0"/>
    <n v="111"/>
    <x v="0"/>
    <n v="1111"/>
    <x v="0"/>
    <n v="111103"/>
    <s v="Impuestos sobre los ingresos y utilidades de personas físicas"/>
    <n v="11110304"/>
    <s v="Impuesto sobre las ganancias y pérdidas de capital de personas físicas"/>
    <n v="111103040"/>
    <s v="-"/>
    <n v="1111030400"/>
    <s v="-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52214930"/>
    <n v="0"/>
    <n v="1372011322"/>
    <n v="287988678"/>
    <n v="82.65"/>
    <n v="17.350000000000001"/>
  </r>
  <r>
    <s v="I1112010000001"/>
    <x v="13"/>
    <x v="160"/>
    <n v="1"/>
    <x v="0"/>
    <n v="11"/>
    <x v="0"/>
    <n v="111"/>
    <x v="0"/>
    <n v="1112"/>
    <x v="1"/>
    <n v="111201"/>
    <s v="Impuestos sobre los ingresos y utilidades de las personas jurídicas del Sector Público"/>
    <n v="11120100"/>
    <s v="-"/>
    <n v="111201000"/>
    <s v="-"/>
    <n v="1112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10100001"/>
    <x v="13"/>
    <x v="118"/>
    <n v="1"/>
    <x v="0"/>
    <n v="11"/>
    <x v="0"/>
    <n v="111"/>
    <x v="0"/>
    <n v="1112"/>
    <x v="1"/>
    <n v="111201"/>
    <s v="Impuestos sobre los ingresos y utilidades de las personas jurídicas del Sector Público"/>
    <n v="11120101"/>
    <s v="-"/>
    <n v="111201010"/>
    <s v="-"/>
    <n v="1112010100"/>
    <s v="-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122054602.68000001"/>
    <n v="0"/>
    <n v="101716448232.55"/>
    <n v="-716448232.54999995"/>
    <n v="100.71"/>
    <n v="-0.71"/>
  </r>
  <r>
    <s v="I1112010200001"/>
    <x v="13"/>
    <x v="290"/>
    <n v="1"/>
    <x v="0"/>
    <n v="11"/>
    <x v="0"/>
    <n v="111"/>
    <x v="0"/>
    <n v="1112"/>
    <x v="1"/>
    <n v="111201"/>
    <s v="Impuestos sobre los ingresos y utilidades de las personas jurídicas del Sector Público"/>
    <n v="11120102"/>
    <s v="Impuesto sobre rentas de capital inmobiliario de personas jurídicas del sector público"/>
    <n v="111201020"/>
    <s v="-"/>
    <n v="1112010200"/>
    <s v="-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652058"/>
    <n v="0"/>
    <n v="59778846"/>
    <n v="71221154"/>
    <n v="45.63"/>
    <n v="54.37"/>
  </r>
  <r>
    <s v="I1112010300001"/>
    <x v="13"/>
    <x v="291"/>
    <n v="1"/>
    <x v="0"/>
    <n v="11"/>
    <x v="0"/>
    <n v="111"/>
    <x v="0"/>
    <n v="1112"/>
    <x v="1"/>
    <n v="111201"/>
    <s v="Impuestos sobre los ingresos y utilidades de las personas jurídicas del Sector Público"/>
    <n v="11120103"/>
    <s v="Impuesto sobre rentas de capital mobiliario de personas jurídicas del sector público"/>
    <n v="111201030"/>
    <s v="-"/>
    <n v="1112010300"/>
    <s v="-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0"/>
    <n v="0"/>
    <n v="72070338413.720001"/>
    <n v="14729661586.280001"/>
    <n v="83.03"/>
    <n v="16.97"/>
  </r>
  <r>
    <s v="I1112010400001"/>
    <x v="13"/>
    <x v="312"/>
    <n v="1"/>
    <x v="0"/>
    <n v="11"/>
    <x v="0"/>
    <n v="111"/>
    <x v="0"/>
    <n v="1112"/>
    <x v="1"/>
    <n v="111201"/>
    <s v="Impuestos sobre los ingresos y utilidades de las personas jurídicas del Sector Público"/>
    <n v="11120104"/>
    <s v="-"/>
    <n v="111201040"/>
    <s v="-"/>
    <n v="1112010400"/>
    <s v="-"/>
    <n v="1"/>
    <s v="Ingresos corrientes"/>
    <n v="261108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000001"/>
    <x v="13"/>
    <x v="119"/>
    <n v="1"/>
    <x v="0"/>
    <n v="11"/>
    <x v="0"/>
    <n v="111"/>
    <x v="0"/>
    <n v="1112"/>
    <x v="1"/>
    <n v="111202"/>
    <s v="Impuestos sobre los ingresos y utilidades de las personas jurídicas del Sector Privado"/>
    <n v="11120200"/>
    <s v="-"/>
    <n v="111202000"/>
    <s v="-"/>
    <n v="1112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2020100001"/>
    <x v="13"/>
    <x v="6"/>
    <n v="1"/>
    <x v="0"/>
    <n v="11"/>
    <x v="0"/>
    <n v="111"/>
    <x v="0"/>
    <n v="1112"/>
    <x v="1"/>
    <n v="111202"/>
    <s v="Impuestos sobre los ingresos y utilidades de las personas jurídicas del Sector Privado"/>
    <n v="11120201"/>
    <s v="-"/>
    <n v="111202010"/>
    <s v="-"/>
    <n v="1112020100"/>
    <s v="-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2886236572.0599999"/>
    <n v="0"/>
    <n v="434193543012.07001"/>
    <n v="83806456987.929993"/>
    <n v="83.82"/>
    <n v="16.18"/>
  </r>
  <r>
    <s v="I1112020200001"/>
    <x v="13"/>
    <x v="292"/>
    <n v="1"/>
    <x v="0"/>
    <n v="11"/>
    <x v="0"/>
    <n v="111"/>
    <x v="0"/>
    <n v="1112"/>
    <x v="1"/>
    <n v="111202"/>
    <s v="Impuestos sobre los ingresos y utilidades de las personas jurídicas del Sector Privado"/>
    <n v="11120202"/>
    <s v="Impuesto sobre rentas de capital inmobiliario de personas jurídicas del Sector Privado"/>
    <n v="111202020"/>
    <s v="-"/>
    <n v="1112020200"/>
    <s v="-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208430553"/>
    <n v="0"/>
    <n v="39291737988"/>
    <n v="9658262012"/>
    <n v="80.27"/>
    <n v="19.73"/>
  </r>
  <r>
    <s v="I1112020300001"/>
    <x v="13"/>
    <x v="293"/>
    <n v="1"/>
    <x v="0"/>
    <n v="11"/>
    <x v="0"/>
    <n v="111"/>
    <x v="0"/>
    <n v="1112"/>
    <x v="1"/>
    <n v="111202"/>
    <s v="Impuestos sobre los ingresos y utilidades de las personas jurídicas del Sector Privado"/>
    <n v="11120203"/>
    <s v="Impuesto sobre rentas de capital mobiliario de personas jurídicas del Sector Privado"/>
    <n v="111202030"/>
    <s v="-"/>
    <n v="1112020300"/>
    <s v="-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90866192"/>
    <n v="0"/>
    <n v="68382289281.779999"/>
    <n v="15517710718.219999"/>
    <n v="81.5"/>
    <n v="18.5"/>
  </r>
  <r>
    <s v="I1112020400001"/>
    <x v="13"/>
    <x v="294"/>
    <n v="1"/>
    <x v="0"/>
    <n v="11"/>
    <x v="0"/>
    <n v="111"/>
    <x v="0"/>
    <n v="1112"/>
    <x v="1"/>
    <n v="111202"/>
    <s v="Impuestos sobre los ingresos y utilidades de las personas jurídicas del Sector Privado"/>
    <n v="11120204"/>
    <s v="Impuesto sobre las ganancias y pérdidas de capital de personas jurídicas del sector privado"/>
    <n v="111202040"/>
    <s v="-"/>
    <n v="1112020400"/>
    <s v="-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86509444"/>
    <n v="0"/>
    <n v="5925845725"/>
    <n v="824154275"/>
    <n v="87.79"/>
    <n v="12.21"/>
  </r>
  <r>
    <s v="I1113010000001"/>
    <x v="13"/>
    <x v="295"/>
    <n v="1"/>
    <x v="0"/>
    <n v="11"/>
    <x v="0"/>
    <n v="111"/>
    <x v="0"/>
    <n v="1113"/>
    <x v="2"/>
    <n v="111301"/>
    <s v="Impuesto sobre dividendos"/>
    <n v="11130100"/>
    <s v="-"/>
    <n v="111301000"/>
    <s v="-"/>
    <n v="111301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3020000001"/>
    <x v="13"/>
    <x v="296"/>
    <n v="1"/>
    <x v="0"/>
    <n v="11"/>
    <x v="0"/>
    <n v="111"/>
    <x v="0"/>
    <n v="1113"/>
    <x v="2"/>
    <n v="111302"/>
    <s v="Impuestos sobre los intereses de títulos valores"/>
    <n v="11130200"/>
    <s v="-"/>
    <n v="111302000"/>
    <s v="-"/>
    <n v="111302000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114010000001"/>
    <x v="13"/>
    <x v="122"/>
    <n v="1"/>
    <x v="0"/>
    <n v="11"/>
    <x v="0"/>
    <n v="111"/>
    <x v="0"/>
    <n v="1114"/>
    <x v="3"/>
    <n v="111401"/>
    <s v="Impuesto sobre remesas al exterior"/>
    <n v="11140100"/>
    <s v="-"/>
    <n v="111401000"/>
    <s v="-"/>
    <n v="1114010000"/>
    <s v="-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42652971.08000001"/>
    <n v="0"/>
    <n v="146579661382.13"/>
    <n v="31420338617.869999"/>
    <n v="82.35"/>
    <n v="17.649999999999999"/>
  </r>
  <r>
    <s v="I1121010000001"/>
    <x v="13"/>
    <x v="162"/>
    <n v="1"/>
    <x v="0"/>
    <n v="11"/>
    <x v="0"/>
    <n v="112"/>
    <x v="1"/>
    <n v="1121"/>
    <x v="39"/>
    <n v="112101"/>
    <s v="Impuesto solidario de vivienda Ley N°8683"/>
    <n v="11210100"/>
    <s v="-"/>
    <n v="112101000"/>
    <s v="-"/>
    <n v="1121010000"/>
    <s v="-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7713493"/>
    <n v="0"/>
    <n v="4437165588.8900003"/>
    <n v="242834411.11000001"/>
    <n v="94.81"/>
    <n v="5.19"/>
  </r>
  <r>
    <s v="I1122010000001"/>
    <x v="13"/>
    <x v="123"/>
    <n v="1"/>
    <x v="0"/>
    <n v="11"/>
    <x v="0"/>
    <n v="112"/>
    <x v="1"/>
    <n v="1122"/>
    <x v="5"/>
    <n v="112201"/>
    <s v="Impuesto a la propiedad de vehículos Ley N°7088"/>
    <n v="11220100"/>
    <s v="-"/>
    <n v="112201000"/>
    <s v="-"/>
    <n v="1122010000"/>
    <s v="-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469862"/>
    <n v="0"/>
    <n v="22744137837.700001"/>
    <n v="146255862162.29999"/>
    <n v="13.46"/>
    <n v="86.54"/>
  </r>
  <r>
    <s v="I1122020000001"/>
    <x v="13"/>
    <x v="21"/>
    <n v="1"/>
    <x v="0"/>
    <n v="11"/>
    <x v="0"/>
    <n v="112"/>
    <x v="1"/>
    <n v="1122"/>
    <x v="5"/>
    <n v="112202"/>
    <s v="Timbre Fauna Silvestre Ley N°7317"/>
    <n v="11220200"/>
    <s v="-"/>
    <n v="112202000"/>
    <s v="-"/>
    <n v="1122020000"/>
    <s v="-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0"/>
    <n v="0"/>
    <n v="276342584.24000001"/>
    <n v="1713657415.76"/>
    <n v="13.89"/>
    <n v="86.11"/>
  </r>
  <r>
    <s v="I1123010000001"/>
    <x v="13"/>
    <x v="22"/>
    <n v="1"/>
    <x v="0"/>
    <n v="11"/>
    <x v="0"/>
    <n v="112"/>
    <x v="1"/>
    <n v="1123"/>
    <x v="6"/>
    <n v="112301"/>
    <s v="Incremento Timbre de Educación y Cultura Ley N° 6879"/>
    <n v="11230100"/>
    <s v="-"/>
    <n v="112301000"/>
    <s v="-"/>
    <n v="1123010000"/>
    <s v="-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0"/>
    <n v="0"/>
    <n v="1322371020.53"/>
    <n v="-676371020.52999997"/>
    <n v="204.7"/>
    <n v="-104.7"/>
  </r>
  <r>
    <s v="I1123030000001"/>
    <x v="13"/>
    <x v="266"/>
    <n v="1"/>
    <x v="0"/>
    <n v="11"/>
    <x v="0"/>
    <n v="112"/>
    <x v="1"/>
    <n v="1123"/>
    <x v="6"/>
    <n v="112303"/>
    <s v="Impuesto a las Personas Jurídicas Ley 9428"/>
    <n v="11230300"/>
    <s v="-"/>
    <n v="112303000"/>
    <s v="-"/>
    <n v="1123030000"/>
    <s v="-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87908797"/>
    <n v="0"/>
    <n v="24875109732.130001"/>
    <n v="2124890267.8699999"/>
    <n v="92.13"/>
    <n v="7.87"/>
  </r>
  <r>
    <s v="I1124010000001"/>
    <x v="13"/>
    <x v="23"/>
    <n v="1"/>
    <x v="0"/>
    <n v="11"/>
    <x v="0"/>
    <n v="112"/>
    <x v="1"/>
    <n v="1124"/>
    <x v="7"/>
    <n v="112401"/>
    <s v="Impuestos sobre el traspaso de bienes inmuebles"/>
    <n v="11240100"/>
    <s v="-"/>
    <n v="112401000"/>
    <s v="-"/>
    <n v="1124010000"/>
    <s v="-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998165127"/>
    <n v="0"/>
    <n v="28971661461.779999"/>
    <n v="1328338538.22"/>
    <n v="95.62"/>
    <n v="4.38"/>
  </r>
  <r>
    <s v="I1125010000001"/>
    <x v="13"/>
    <x v="24"/>
    <n v="1"/>
    <x v="0"/>
    <n v="11"/>
    <x v="0"/>
    <n v="112"/>
    <x v="1"/>
    <n v="1125"/>
    <x v="8"/>
    <n v="112501"/>
    <s v="Impuesto sobre el traspaso de vehículos usados Ley N° 7088"/>
    <n v="11250100"/>
    <s v="-"/>
    <n v="112501000"/>
    <s v="-"/>
    <n v="1125010000"/>
    <s v="-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488452021"/>
    <n v="0"/>
    <n v="18867898784"/>
    <n v="-567898784"/>
    <n v="103.1"/>
    <n v="-3.1"/>
  </r>
  <r>
    <s v="I1131010100001"/>
    <x v="13"/>
    <x v="124"/>
    <n v="1"/>
    <x v="0"/>
    <n v="11"/>
    <x v="0"/>
    <n v="113"/>
    <x v="2"/>
    <n v="1131"/>
    <x v="9"/>
    <n v="113101"/>
    <s v="Impuesto general sobre las ventas"/>
    <n v="11310101"/>
    <s v="Impuesto sobre la venta de bienes y servicios internos"/>
    <n v="113101010"/>
    <s v="Impuesto de Ventas Ley N° 7543"/>
    <n v="1131010100"/>
    <s v="-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7205527792"/>
    <n v="0"/>
    <n v="801808413402.29004"/>
    <n v="49741586597.709999"/>
    <n v="94.16"/>
    <n v="5.84"/>
  </r>
  <r>
    <s v="I1131010200001"/>
    <x v="13"/>
    <x v="163"/>
    <n v="1"/>
    <x v="0"/>
    <n v="11"/>
    <x v="0"/>
    <n v="113"/>
    <x v="2"/>
    <n v="1131"/>
    <x v="9"/>
    <n v="113101"/>
    <s v="Impuesto general sobre las ventas"/>
    <n v="11310102"/>
    <s v="Impuesto sobre la venta de bienes y servicios importados"/>
    <n v="113101020"/>
    <s v="Impuesto de ventas bienes y servicios importados"/>
    <n v="1131010200"/>
    <s v="-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17278575655.919998"/>
    <n v="0"/>
    <n v="468891485307.40997"/>
    <n v="34658514692.589996"/>
    <n v="93.12"/>
    <n v="6.88"/>
  </r>
  <r>
    <s v="I1131020100001"/>
    <x v="13"/>
    <x v="164"/>
    <n v="1"/>
    <x v="0"/>
    <n v="11"/>
    <x v="0"/>
    <n v="113"/>
    <x v="2"/>
    <n v="1131"/>
    <x v="9"/>
    <n v="113102"/>
    <s v="Impuesto selectivo de consumo"/>
    <n v="11310201"/>
    <s v="Impuesto selectivo de consumo de bienes internos"/>
    <n v="113102010"/>
    <s v="Impuesto selectivo de consumo de bienes internos"/>
    <n v="1131020100"/>
    <s v="-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14646821"/>
    <n v="0"/>
    <n v="6061520499"/>
    <n v="-861520499"/>
    <n v="116.57"/>
    <n v="-16.57"/>
  </r>
  <r>
    <s v="I1131020200001"/>
    <x v="13"/>
    <x v="165"/>
    <n v="1"/>
    <x v="0"/>
    <n v="11"/>
    <x v="0"/>
    <n v="113"/>
    <x v="2"/>
    <n v="1131"/>
    <x v="9"/>
    <n v="113102"/>
    <s v="Impuesto selectivo de consumo"/>
    <n v="11310202"/>
    <s v="Impuesto selectivo de consumo de bienes importados"/>
    <n v="113102020"/>
    <s v="Impuesto selectivo de consumo de bienes importados"/>
    <n v="1131020200"/>
    <s v="-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3120439011.25"/>
    <n v="0"/>
    <n v="102251327866.49001"/>
    <n v="48672133.509999998"/>
    <n v="99.95"/>
    <n v="0.05"/>
  </r>
  <r>
    <s v="I1132010311001"/>
    <x v="13"/>
    <x v="30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Interno"/>
    <n v="1132010311"/>
    <s v="-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0"/>
    <n v="0"/>
    <n v="212457155595"/>
    <n v="8542844405"/>
    <n v="96.13"/>
    <n v="3.87"/>
  </r>
  <r>
    <s v="I1132010312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3"/>
    <s v="Impuesto único a los combustibles Ley N° 8114"/>
    <n v="113201031"/>
    <s v="Externo"/>
    <n v="1132010312"/>
    <s v="-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6212927361.4899998"/>
    <n v="0"/>
    <n v="152916371322.31"/>
    <n v="38083628677.690002"/>
    <n v="80.06"/>
    <n v="19.940000000000001"/>
  </r>
  <r>
    <s v="I1132010411001"/>
    <x v="1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nterno"/>
    <n v="1132010411"/>
    <s v="-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970"/>
    <n v="0"/>
    <n v="26134187981.880001"/>
    <n v="-4134187981.8800001"/>
    <n v="118.79"/>
    <n v="-18.79"/>
  </r>
  <r>
    <s v="I1132010412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alcohólicas Ley N° 7972"/>
    <n v="113201041"/>
    <s v="Importaciones"/>
    <n v="1132010412"/>
    <s v="-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493330508.95999998"/>
    <n v="0"/>
    <n v="9412940796.3099995"/>
    <n v="1217059203.6900001"/>
    <n v="88.55"/>
    <n v="11.45"/>
  </r>
  <r>
    <s v="I1132010421001"/>
    <x v="13"/>
    <x v="30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nterno"/>
    <n v="1132010421"/>
    <s v="-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0"/>
    <n v="0"/>
    <n v="30223284692.740002"/>
    <n v="6556715307.2600002"/>
    <n v="82.17"/>
    <n v="17.829999999999998"/>
  </r>
  <r>
    <s v="I1132010422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s sobre bebidas envasadas sin contenido alcohólico"/>
    <n v="113201042"/>
    <s v="Importaciones"/>
    <n v="1132010422"/>
    <s v="-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96877192.859999999"/>
    <n v="0"/>
    <n v="2056930397.1199999"/>
    <n v="1033069602.88"/>
    <n v="66.569999999999993"/>
    <n v="33.43"/>
  </r>
  <r>
    <s v="I1132010431001"/>
    <x v="13"/>
    <x v="31"/>
    <n v="1"/>
    <x v="0"/>
    <n v="11"/>
    <x v="0"/>
    <n v="113"/>
    <x v="2"/>
    <n v="1132"/>
    <x v="10"/>
    <n v="113201"/>
    <s v="Impuestos específicos sobre la producción y consumo de bienes"/>
    <n v="11320104"/>
    <s v="Impuesto sobre el jabón de tocador Ley N° 8114"/>
    <n v="113201043"/>
    <s v="Importaciones"/>
    <n v="1132010431"/>
    <s v="-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78679868.640000001"/>
    <n v="0"/>
    <n v="2661309341.6700001"/>
    <n v="78690658.329999998"/>
    <n v="97.13"/>
    <n v="2.87"/>
  </r>
  <r>
    <s v="I1132010440001"/>
    <x v="13"/>
    <x v="126"/>
    <n v="1"/>
    <x v="0"/>
    <n v="11"/>
    <x v="0"/>
    <n v="113"/>
    <x v="2"/>
    <n v="1132"/>
    <x v="10"/>
    <n v="113201"/>
    <s v="Impuestos específicos sobre la producción y consumo de bienes"/>
    <n v="11320104"/>
    <s v="Impuesto al cemento"/>
    <n v="113201044"/>
    <s v="Impuesto al cemento"/>
    <n v="1132010440"/>
    <s v="-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s v="I1132010452001"/>
    <x v="13"/>
    <x v="200"/>
    <n v="1"/>
    <x v="0"/>
    <n v="11"/>
    <x v="0"/>
    <n v="113"/>
    <x v="2"/>
    <n v="1132"/>
    <x v="10"/>
    <n v="113201"/>
    <s v="Impuestos específicos sobre la producción y consumo de bienes"/>
    <n v="11320104"/>
    <s v="Impuesto productos de tabaco Ley N° 9028"/>
    <n v="113201045"/>
    <s v="Aduanas"/>
    <n v="1132010452"/>
    <s v="-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5964234.3399999999"/>
    <n v="0"/>
    <n v="19931214389.549999"/>
    <n v="68785610.450000003"/>
    <n v="99.66"/>
    <n v="0.34"/>
  </r>
  <r>
    <s v="I1132020310001"/>
    <x v="13"/>
    <x v="33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1"/>
    <s v="Impuesto sobre casinos Ley N° 9050"/>
    <n v="1132020310"/>
    <s v="-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0"/>
    <n v="0"/>
    <n v="291856374.27999997"/>
    <n v="1143143625.72"/>
    <n v="20.34"/>
    <n v="79.66"/>
  </r>
  <r>
    <s v="I1132020320001"/>
    <x v="13"/>
    <x v="212"/>
    <n v="1"/>
    <x v="0"/>
    <n v="11"/>
    <x v="0"/>
    <n v="113"/>
    <x v="2"/>
    <n v="1132"/>
    <x v="10"/>
    <n v="113202"/>
    <s v="Impuestos específicos sobre la producción y consumo de servicios"/>
    <n v="11320203"/>
    <s v="Impuestos específicos a los servicios de diversión y esparcimiento"/>
    <n v="113202032"/>
    <s v="Impuesto sobre empresas de apuestas electrónicas Ley N° 9050"/>
    <n v="1132020320"/>
    <s v="-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0"/>
    <n v="19305535"/>
    <n v="80694465"/>
    <n v="19.309999999999999"/>
    <n v="80.69"/>
  </r>
  <r>
    <s v="I1141010100001"/>
    <x v="13"/>
    <x v="127"/>
    <n v="1"/>
    <x v="0"/>
    <n v="11"/>
    <x v="0"/>
    <n v="114"/>
    <x v="3"/>
    <n v="1141"/>
    <x v="11"/>
    <n v="114101"/>
    <s v="Derechos de importación de mercancías"/>
    <n v="11410101"/>
    <s v="Arancel de aduanas"/>
    <n v="114101010"/>
    <s v="-"/>
    <n v="1141010100"/>
    <s v="-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3593652031.9000001"/>
    <n v="0"/>
    <n v="91603365763"/>
    <n v="-6628365763"/>
    <n v="107.8"/>
    <n v="-7.8"/>
  </r>
  <r>
    <s v="I1141020100001"/>
    <x v="13"/>
    <x v="35"/>
    <n v="1"/>
    <x v="0"/>
    <n v="11"/>
    <x v="0"/>
    <n v="114"/>
    <x v="3"/>
    <n v="1141"/>
    <x v="11"/>
    <n v="114102"/>
    <s v="Impuestos sobre el valor aduanero de las mercancías"/>
    <n v="11410201"/>
    <s v="1% sobre el valor aduanero de las mercancías"/>
    <n v="114102010"/>
    <s v="-"/>
    <n v="1141020100"/>
    <s v="-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532296234.94"/>
    <n v="0"/>
    <n v="14935659822.049999"/>
    <n v="-1335659822.05"/>
    <n v="109.82"/>
    <n v="-9.82"/>
  </r>
  <r>
    <s v="I1142010100001"/>
    <x v="13"/>
    <x v="36"/>
    <n v="1"/>
    <x v="0"/>
    <n v="11"/>
    <x v="0"/>
    <n v="114"/>
    <x v="3"/>
    <n v="1142"/>
    <x v="12"/>
    <n v="114201"/>
    <s v="Derechos de exportación de mercancías"/>
    <n v="11420101"/>
    <s v="Derecho sobre exportación del banano"/>
    <n v="114201010"/>
    <s v="-"/>
    <n v="1142010100"/>
    <s v="-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83157318.590000004"/>
    <n v="0"/>
    <n v="3182951914.6500001"/>
    <n v="482048085.35000002"/>
    <n v="86.85"/>
    <n v="13.15"/>
  </r>
  <r>
    <s v="I1142090100001"/>
    <x v="13"/>
    <x v="37"/>
    <n v="1"/>
    <x v="0"/>
    <n v="11"/>
    <x v="0"/>
    <n v="114"/>
    <x v="3"/>
    <n v="1142"/>
    <x v="12"/>
    <n v="114209"/>
    <s v="Otros impuestos a las exportaciones"/>
    <n v="11420901"/>
    <s v="¢1.5 p/caja Ban Expo"/>
    <n v="114209010"/>
    <s v="-"/>
    <n v="1142090100"/>
    <s v="-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4222659"/>
    <n v="0"/>
    <n v="169465632"/>
    <n v="10534368"/>
    <n v="94.15"/>
    <n v="5.85"/>
  </r>
  <r>
    <s v="I1142090200001"/>
    <x v="13"/>
    <x v="213"/>
    <n v="1"/>
    <x v="0"/>
    <n v="11"/>
    <x v="0"/>
    <n v="114"/>
    <x v="3"/>
    <n v="1142"/>
    <x v="12"/>
    <n v="114209"/>
    <s v="Otros impuestos a las exportaciones"/>
    <n v="11420902"/>
    <s v="Impuestos exportación vía terrestre"/>
    <n v="114209020"/>
    <s v="-"/>
    <n v="1142090200"/>
    <s v="-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35979375.75"/>
    <n v="0"/>
    <n v="1240729977.75"/>
    <n v="619270022.25"/>
    <n v="66.709999999999994"/>
    <n v="33.29"/>
  </r>
  <r>
    <s v="I1143030100001"/>
    <x v="13"/>
    <x v="39"/>
    <n v="1"/>
    <x v="0"/>
    <n v="11"/>
    <x v="0"/>
    <n v="114"/>
    <x v="3"/>
    <n v="1143"/>
    <x v="13"/>
    <n v="114303"/>
    <s v="Impuesto de salida al exterior"/>
    <n v="11430301"/>
    <s v="Derecho de salida del territorio nacional vía áerea"/>
    <n v="114303010"/>
    <s v="-"/>
    <n v="1143030100"/>
    <s v="-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123350128.02"/>
    <n v="0"/>
    <n v="15600606385.540001"/>
    <n v="2859393614.46"/>
    <n v="84.51"/>
    <n v="15.49"/>
  </r>
  <r>
    <s v="I1143030200001"/>
    <x v="13"/>
    <x v="214"/>
    <n v="1"/>
    <x v="0"/>
    <n v="11"/>
    <x v="0"/>
    <n v="114"/>
    <x v="3"/>
    <n v="1143"/>
    <x v="13"/>
    <n v="114303"/>
    <s v="Impuesto de salida al exterior"/>
    <n v="11430302"/>
    <s v="Derecho de salida del territorio nacional vía terrestre"/>
    <n v="114303020"/>
    <s v="-"/>
    <n v="1143030200"/>
    <s v="-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305774.6499999999"/>
    <n v="0"/>
    <n v="582182332.82000005"/>
    <n v="247817667.18000001"/>
    <n v="70.14"/>
    <n v="29.86"/>
  </r>
  <r>
    <s v="I1143040100001"/>
    <x v="13"/>
    <x v="40"/>
    <n v="1"/>
    <x v="0"/>
    <n v="11"/>
    <x v="0"/>
    <n v="114"/>
    <x v="3"/>
    <n v="1143"/>
    <x v="13"/>
    <n v="114304"/>
    <s v="Derechos consulares"/>
    <n v="11430401"/>
    <s v="Derechos consulares Ley N° 7293"/>
    <n v="114304010"/>
    <s v="-"/>
    <n v="1143040100"/>
    <s v="-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0"/>
    <n v="0"/>
    <n v="1544805642.5799999"/>
    <n v="755194357.41999996"/>
    <n v="67.17"/>
    <n v="32.83"/>
  </r>
  <r>
    <s v="I1143090110001"/>
    <x v="13"/>
    <x v="201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1"/>
    <s v="Fond.Soc Migra L8764"/>
    <n v="1143090110"/>
    <s v="-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0"/>
    <n v="0"/>
    <n v="876234636.99000001"/>
    <n v="253765363.00999999"/>
    <n v="77.540000000000006"/>
    <n v="22.46"/>
  </r>
  <r>
    <s v="I1143090120001"/>
    <x v="13"/>
    <x v="215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2"/>
    <s v="Fondo Esp.Migracion"/>
    <n v="1143090120"/>
    <s v="-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0"/>
    <n v="0"/>
    <n v="3343076230.6100001"/>
    <n v="786923769.38999999"/>
    <n v="80.95"/>
    <n v="19.05"/>
  </r>
  <r>
    <s v="I1143090130001"/>
    <x v="13"/>
    <x v="202"/>
    <n v="1"/>
    <x v="0"/>
    <n v="11"/>
    <x v="0"/>
    <n v="114"/>
    <x v="3"/>
    <n v="1143"/>
    <x v="13"/>
    <n v="114309"/>
    <s v="Otros impuestos sobre el comercio exterior y las transacciones internacionales"/>
    <n v="11430901"/>
    <s v="Impuestos Ley de Migración N° 8764"/>
    <n v="114309013"/>
    <s v="Otros Imp Migra 8764"/>
    <n v="1143090130"/>
    <s v="-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0"/>
    <n v="0"/>
    <n v="5179792829.4399996"/>
    <n v="1290207170.5599999"/>
    <n v="80.06"/>
    <n v="19.940000000000001"/>
  </r>
  <r>
    <s v="I1143090200001"/>
    <x v="13"/>
    <x v="128"/>
    <n v="1"/>
    <x v="0"/>
    <n v="11"/>
    <x v="0"/>
    <n v="114"/>
    <x v="3"/>
    <n v="1143"/>
    <x v="13"/>
    <n v="114309"/>
    <s v="Otros impuestos sobre el comercio exterior y las transacciones internacionales"/>
    <n v="11430902"/>
    <s v="Impuesto General Forestal "/>
    <n v="114309020"/>
    <s v="-"/>
    <n v="1143090200"/>
    <s v="-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34729862.799999997"/>
    <n v="0"/>
    <n v="1015270621.79"/>
    <n v="484729378.20999998"/>
    <n v="67.680000000000007"/>
    <n v="32.32"/>
  </r>
  <r>
    <s v="I1191010000001"/>
    <x v="13"/>
    <x v="42"/>
    <n v="1"/>
    <x v="0"/>
    <n v="11"/>
    <x v="0"/>
    <n v="119"/>
    <x v="4"/>
    <n v="1191"/>
    <x v="14"/>
    <n v="119101"/>
    <s v="Timbre Fiscal Ley N° 7208"/>
    <n v="11910100"/>
    <s v="-"/>
    <n v="119101000"/>
    <s v="-"/>
    <n v="1191010000"/>
    <s v="-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557705.49"/>
    <n v="0"/>
    <n v="4159821345.4400001"/>
    <n v="960178654.55999994"/>
    <n v="81.25"/>
    <n v="18.75"/>
  </r>
  <r>
    <s v="I1199010000001"/>
    <x v="13"/>
    <x v="129"/>
    <n v="1"/>
    <x v="0"/>
    <n v="11"/>
    <x v="0"/>
    <n v="119"/>
    <x v="4"/>
    <n v="1199"/>
    <x v="15"/>
    <n v="119901"/>
    <s v="Papel Sellado Ley N° 7345"/>
    <n v="11990100"/>
    <s v="-"/>
    <n v="119901000"/>
    <s v="-"/>
    <n v="1199010000"/>
    <s v="-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0"/>
    <n v="0"/>
    <n v="1208605.1100000001"/>
    <n v="-208605.11"/>
    <n v="120.86"/>
    <n v="-20.86"/>
  </r>
  <r>
    <s v="I1213010100001"/>
    <x v="13"/>
    <x v="47"/>
    <n v="1"/>
    <x v="0"/>
    <n v="12"/>
    <x v="1"/>
    <n v="121"/>
    <x v="5"/>
    <n v="1213"/>
    <x v="16"/>
    <n v="121301"/>
    <s v="Contribución del Magisterio Nacional miembros activos"/>
    <n v="12130101"/>
    <s v="-"/>
    <n v="121301010"/>
    <s v="-"/>
    <n v="1213010100"/>
    <s v="-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7986430.0499999998"/>
    <n v="0"/>
    <n v="13318818636.209999"/>
    <n v="8451181363.79"/>
    <n v="61.18"/>
    <n v="38.82"/>
  </r>
  <r>
    <s v="I1213010200001"/>
    <x v="13"/>
    <x v="248"/>
    <n v="1"/>
    <x v="0"/>
    <n v="12"/>
    <x v="1"/>
    <n v="121"/>
    <x v="5"/>
    <n v="1213"/>
    <x v="16"/>
    <n v="121301"/>
    <s v="Contrib. trasl L8721"/>
    <n v="12130102"/>
    <s v="-"/>
    <n v="121301020"/>
    <s v="-"/>
    <n v="1213010200"/>
    <s v="-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0"/>
    <n v="0"/>
    <n v="4103544491.4699998"/>
    <n v="1956455508.53"/>
    <n v="67.72"/>
    <n v="32.28"/>
  </r>
  <r>
    <s v="I1213020100001"/>
    <x v="13"/>
    <x v="48"/>
    <n v="1"/>
    <x v="0"/>
    <n v="12"/>
    <x v="1"/>
    <n v="121"/>
    <x v="5"/>
    <n v="1213"/>
    <x v="16"/>
    <n v="121302"/>
    <s v="Contribución del Magisterio Nacional miembros pensionados y jubilados"/>
    <n v="12130201"/>
    <s v="-"/>
    <n v="121302010"/>
    <s v="-"/>
    <n v="1213020100"/>
    <s v="-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0"/>
    <n v="0"/>
    <n v="31298049318.98"/>
    <n v="301950681.01999998"/>
    <n v="99.04"/>
    <n v="0.96"/>
  </r>
  <r>
    <s v="I1213030100001"/>
    <x v="13"/>
    <x v="49"/>
    <n v="1"/>
    <x v="0"/>
    <n v="12"/>
    <x v="1"/>
    <n v="121"/>
    <x v="5"/>
    <n v="1213"/>
    <x v="16"/>
    <n v="121303"/>
    <s v="Contribución a otros regímenes de pensiones"/>
    <n v="12130301"/>
    <s v="Deducción sueldos para pensionados Ley Nº 7302"/>
    <n v="121303010"/>
    <s v="-"/>
    <n v="1213030100"/>
    <s v="-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5323930.83"/>
    <n v="0"/>
    <n v="13205125877.6"/>
    <n v="524874122.39999998"/>
    <n v="96.18"/>
    <n v="3.82"/>
  </r>
  <r>
    <s v="I1213030200001"/>
    <x v="13"/>
    <x v="267"/>
    <n v="1"/>
    <x v="0"/>
    <n v="12"/>
    <x v="1"/>
    <n v="121"/>
    <x v="5"/>
    <n v="1213"/>
    <x v="16"/>
    <n v="121303"/>
    <s v="Contribución a otros regímenes de pensiones"/>
    <n v="12130302"/>
    <s v="-"/>
    <n v="121303020"/>
    <s v="-"/>
    <n v="1213030200"/>
    <s v="-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0"/>
    <n v="0"/>
    <n v="2273590372.3600001"/>
    <n v="2436409627.6399999"/>
    <n v="48.27"/>
    <n v="51.73"/>
  </r>
  <r>
    <s v="I1312030101001"/>
    <x v="13"/>
    <x v="166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Costo Transf. SWIFT"/>
    <n v="1312030101"/>
    <s v="-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0"/>
    <n v="0"/>
    <n v="1571803.93"/>
    <n v="1028196.07"/>
    <n v="60.45"/>
    <n v="39.549999999999997"/>
  </r>
  <r>
    <s v="I1312030102001"/>
    <x v="13"/>
    <x v="203"/>
    <n v="1"/>
    <x v="0"/>
    <n v="13"/>
    <x v="2"/>
    <n v="131"/>
    <x v="6"/>
    <n v="1312"/>
    <x v="18"/>
    <n v="131203"/>
    <s v="Servicios financieros y de seguros"/>
    <n v="13120301"/>
    <s v="Servicios financieros"/>
    <n v="131203010"/>
    <s v="Serv.Rec.Teso.Nac."/>
    <n v="1312030102"/>
    <s v="-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0"/>
    <n v="0"/>
    <n v="122885.12"/>
    <n v="-122885.12"/>
    <n v="0"/>
    <n v="100"/>
  </r>
  <r>
    <s v="I1312030401001"/>
    <x v="13"/>
    <x v="203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 de recaudación Tesorería Nacional"/>
    <n v="1312030401"/>
    <s v="-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0"/>
    <n v="0"/>
    <n v="36179642.460000001"/>
    <n v="8820357.5399999991"/>
    <n v="80.400000000000006"/>
    <n v="19.600000000000001"/>
  </r>
  <r>
    <s v="I1312030402001"/>
    <x v="13"/>
    <x v="249"/>
    <n v="1"/>
    <x v="0"/>
    <n v="13"/>
    <x v="2"/>
    <n v="131"/>
    <x v="6"/>
    <n v="1312"/>
    <x v="18"/>
    <n v="131203"/>
    <s v="Servicios financieros y de seguros"/>
    <n v="13120304"/>
    <s v="Servicios de recaudación"/>
    <n v="131203040"/>
    <s v="Servicios tributarios Ley N° 9355"/>
    <n v="1312030402"/>
    <s v="-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0"/>
    <n v="0"/>
    <n v="10202506.140000001"/>
    <n v="4297493.8600000003"/>
    <n v="70.36"/>
    <n v="29.64"/>
  </r>
  <r>
    <s v="I1312040110001"/>
    <x v="13"/>
    <x v="52"/>
    <n v="1"/>
    <x v="0"/>
    <n v="13"/>
    <x v="2"/>
    <n v="131"/>
    <x v="6"/>
    <n v="1312"/>
    <x v="18"/>
    <n v="131204"/>
    <s v="Alquileres"/>
    <n v="13120401"/>
    <s v="Alquiler de edificos e instalaciones"/>
    <n v="131204011"/>
    <s v="Alquiler de edificios"/>
    <n v="1312040110"/>
    <s v="-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0"/>
    <n v="0"/>
    <n v="9292877.4900000002"/>
    <n v="13707122.51"/>
    <n v="40.4"/>
    <n v="59.6"/>
  </r>
  <r>
    <s v="I1312090210001"/>
    <x v="13"/>
    <x v="53"/>
    <n v="1"/>
    <x v="0"/>
    <n v="13"/>
    <x v="2"/>
    <n v="131"/>
    <x v="6"/>
    <n v="1312"/>
    <x v="18"/>
    <n v="131209"/>
    <s v="Otros servicios"/>
    <n v="13120902"/>
    <s v="Servicios de investigación y desarrollo"/>
    <n v="131209021"/>
    <s v="Serv Metrolog MEIC"/>
    <n v="1312090210"/>
    <s v="-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0"/>
    <n v="0"/>
    <n v="16352933.369999999"/>
    <n v="52147066.630000003"/>
    <n v="23.87"/>
    <n v="76.13"/>
  </r>
  <r>
    <s v="I1312090220001"/>
    <x v="13"/>
    <x v="168"/>
    <n v="1"/>
    <x v="0"/>
    <n v="13"/>
    <x v="2"/>
    <n v="131"/>
    <x v="6"/>
    <n v="1312"/>
    <x v="18"/>
    <n v="131209"/>
    <s v="Otros servicios"/>
    <n v="13120902"/>
    <s v="Servicios de investigación y desarrollo"/>
    <n v="131209022"/>
    <s v="Serv Amb SETENA"/>
    <n v="1312090220"/>
    <s v="-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s v="I1312090610001"/>
    <x v="13"/>
    <x v="225"/>
    <n v="1"/>
    <x v="0"/>
    <n v="13"/>
    <x v="2"/>
    <n v="131"/>
    <x v="6"/>
    <n v="1312"/>
    <x v="18"/>
    <n v="131209"/>
    <s v="Otros servicios"/>
    <n v="13120906"/>
    <s v="Servicios Públicos e Impre"/>
    <n v="131209061"/>
    <s v="-"/>
    <n v="1312090610"/>
    <s v="-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0"/>
    <n v="0"/>
    <n v="27121980.73"/>
    <n v="-12121980.73"/>
    <n v="180.81"/>
    <n v="-80.81"/>
  </r>
  <r>
    <s v="I1312090920001"/>
    <x v="13"/>
    <x v="55"/>
    <n v="1"/>
    <x v="0"/>
    <n v="13"/>
    <x v="2"/>
    <n v="131"/>
    <x v="6"/>
    <n v="1312"/>
    <x v="18"/>
    <n v="131209"/>
    <s v="Otros servicios"/>
    <n v="13120909"/>
    <s v="Venta de otros servicios"/>
    <n v="131209092"/>
    <s v="Venta Ser. IGN-MOPT"/>
    <n v="1312090920"/>
    <s v="-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s v="I1312090930001"/>
    <x v="13"/>
    <x v="216"/>
    <n v="1"/>
    <x v="0"/>
    <n v="13"/>
    <x v="2"/>
    <n v="131"/>
    <x v="6"/>
    <n v="1312"/>
    <x v="18"/>
    <n v="131209"/>
    <s v="Otros servicios"/>
    <n v="13120909"/>
    <s v="Honorarios defensa civil víctimas"/>
    <n v="131209093"/>
    <s v="-"/>
    <n v="1312090930"/>
    <s v="-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s v="I1312090940001"/>
    <x v="13"/>
    <x v="234"/>
    <n v="1"/>
    <x v="0"/>
    <n v="13"/>
    <x v="2"/>
    <n v="131"/>
    <x v="6"/>
    <n v="1312"/>
    <x v="18"/>
    <n v="131209"/>
    <s v="Otros servicios"/>
    <n v="13120909"/>
    <s v="Consulta datos TSE"/>
    <n v="131209094"/>
    <s v="-"/>
    <n v="1312090940"/>
    <s v="-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0"/>
    <n v="0"/>
    <n v="1129637308.4100001"/>
    <n v="424362691.58999997"/>
    <n v="72.69"/>
    <n v="27.31"/>
  </r>
  <r>
    <s v="I1313010120001"/>
    <x v="13"/>
    <x v="57"/>
    <n v="1"/>
    <x v="0"/>
    <n v="13"/>
    <x v="2"/>
    <n v="131"/>
    <x v="6"/>
    <n v="1313"/>
    <x v="19"/>
    <n v="131301"/>
    <s v="Derechos administrativos a los servicios de transporte"/>
    <n v="13130101"/>
    <s v="Derechos administrativos a los servicios de transporte por carretera"/>
    <n v="131301012"/>
    <s v="Canon CTP Ley N° 7969"/>
    <n v="1313010120"/>
    <s v="-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0"/>
    <n v="0"/>
    <n v="1012719138.73"/>
    <n v="5745858499.2700005"/>
    <n v="14.98"/>
    <n v="85.02"/>
  </r>
  <r>
    <s v="I1313010310001"/>
    <x v="13"/>
    <x v="58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1"/>
    <s v="Rev Barcos Cap Puert"/>
    <n v="1313010310"/>
    <s v="-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0"/>
    <n v="0"/>
    <n v="10604375.279999999"/>
    <n v="6695624.7199999997"/>
    <n v="61.3"/>
    <n v="38.700000000000003"/>
  </r>
  <r>
    <s v="I1313010320001"/>
    <x v="13"/>
    <x v="59"/>
    <n v="1"/>
    <x v="0"/>
    <n v="13"/>
    <x v="2"/>
    <n v="131"/>
    <x v="6"/>
    <n v="1313"/>
    <x v="19"/>
    <n v="131301"/>
    <s v="Derechos administrativos a los servicios de transporte "/>
    <n v="13130103"/>
    <s v="Derechos administrativos a los servicios de transporte portuario"/>
    <n v="131301032"/>
    <s v="Der. Registro Naval"/>
    <n v="1313010320"/>
    <s v="-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0"/>
    <n v="0"/>
    <n v="3509970"/>
    <n v="490030"/>
    <n v="87.75"/>
    <n v="12.25"/>
  </r>
  <r>
    <s v="I1313010330001"/>
    <x v="13"/>
    <x v="60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3"/>
    <s v="Der Zarpe Embar Ext."/>
    <n v="1313010330"/>
    <s v="-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0"/>
    <n v="0"/>
    <n v="64871935"/>
    <n v="928065"/>
    <n v="98.59"/>
    <n v="1.41"/>
  </r>
  <r>
    <s v="I1313010340001"/>
    <x v="13"/>
    <x v="61"/>
    <n v="1"/>
    <x v="0"/>
    <n v="13"/>
    <x v="2"/>
    <n v="131"/>
    <x v="6"/>
    <n v="1313"/>
    <x v="19"/>
    <n v="131301"/>
    <s v="Derechos administrativos a los servicios de transporte"/>
    <n v="13130103"/>
    <s v="Derechos administrativos a los servicios de transporte portuario"/>
    <n v="131301034"/>
    <s v="Canon Cert Navegab."/>
    <n v="1313010340"/>
    <s v="-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0"/>
    <n v="0"/>
    <n v="27473289.699999999"/>
    <n v="15126710.300000001"/>
    <n v="64.489999999999995"/>
    <n v="35.51"/>
  </r>
  <r>
    <s v="I1313020130001"/>
    <x v="13"/>
    <x v="250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3"/>
    <s v="-"/>
    <n v="1313020130"/>
    <s v="-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s v="I1313020140001"/>
    <x v="13"/>
    <x v="251"/>
    <n v="1"/>
    <x v="0"/>
    <n v="13"/>
    <x v="2"/>
    <n v="131"/>
    <x v="6"/>
    <n v="1313"/>
    <x v="19"/>
    <n v="131302"/>
    <s v="Derechos administrativos a otros servicios públicos"/>
    <n v="13130201"/>
    <s v="Cánones por regulación de los servicios públicos"/>
    <n v="131302014"/>
    <s v="-"/>
    <n v="1313020140"/>
    <s v="-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s v="I1313020310001"/>
    <x v="13"/>
    <x v="130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1"/>
    <s v="Radio y TV Ley N° 1758"/>
    <n v="1313020310"/>
    <s v="-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0"/>
    <n v="0"/>
    <n v="12025000"/>
    <n v="-2025000"/>
    <n v="120.25"/>
    <n v="-20.25"/>
  </r>
  <r>
    <s v="I1313020320001"/>
    <x v="13"/>
    <x v="131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2"/>
    <s v="Frecuencias de Radio Ley N° 1758"/>
    <n v="1313020320"/>
    <s v="-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0"/>
    <n v="0"/>
    <n v="11943000"/>
    <n v="8057000"/>
    <n v="59.72"/>
    <n v="40.28"/>
  </r>
  <r>
    <s v="I1313020340001"/>
    <x v="13"/>
    <x v="226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4"/>
    <s v="Conc.explo.min L8246"/>
    <n v="1313020340"/>
    <s v="-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s v="I1313020350001"/>
    <x v="13"/>
    <x v="269"/>
    <n v="1"/>
    <x v="0"/>
    <n v="13"/>
    <x v="2"/>
    <n v="131"/>
    <x v="6"/>
    <n v="1313"/>
    <x v="19"/>
    <n v="131302"/>
    <s v="Derechos administrativos a otros servicios públicos"/>
    <n v="13130203"/>
    <s v="Derechos administrativos a actividades comerciales"/>
    <n v="131302035"/>
    <s v="Derechos de Inscripción de Gestión de Residuos Ley 8839"/>
    <n v="1313020350"/>
    <s v="-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0"/>
    <n v="0"/>
    <n v="15642239.75"/>
    <n v="2857760.25"/>
    <n v="84.55"/>
    <n v="15.45"/>
  </r>
  <r>
    <s v="I1321030000001"/>
    <x v="13"/>
    <x v="235"/>
    <n v="1"/>
    <x v="0"/>
    <n v="13"/>
    <x v="2"/>
    <n v="132"/>
    <x v="7"/>
    <n v="1321"/>
    <x v="20"/>
    <n v="132103"/>
    <s v="Utilidades INS (25%)"/>
    <n v="13210300"/>
    <s v="-"/>
    <n v="132103000"/>
    <s v="-"/>
    <n v="1321030000"/>
    <s v="-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s v="I1322020100001"/>
    <x v="13"/>
    <x v="65"/>
    <n v="1"/>
    <x v="0"/>
    <n v="13"/>
    <x v="2"/>
    <n v="132"/>
    <x v="7"/>
    <n v="1322"/>
    <x v="21"/>
    <n v="132202"/>
    <s v="Alquiler de terrenos"/>
    <n v="13220201"/>
    <s v="-"/>
    <n v="132202010"/>
    <s v="-"/>
    <n v="1322020100"/>
    <s v="-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s v="I1323030100001"/>
    <x v="13"/>
    <x v="132"/>
    <n v="1"/>
    <x v="0"/>
    <n v="13"/>
    <x v="2"/>
    <n v="132"/>
    <x v="7"/>
    <n v="1323"/>
    <x v="22"/>
    <n v="132303"/>
    <s v="Otras rentas de activos financieros"/>
    <n v="13230301"/>
    <s v="Int S/CC y O Ban Est"/>
    <n v="132303010"/>
    <s v="-"/>
    <n v="1323030100"/>
    <s v="-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0"/>
    <n v="0"/>
    <n v="106482602.01000001"/>
    <n v="273517397.99000001"/>
    <n v="28.02"/>
    <n v="71.98"/>
  </r>
  <r>
    <s v="I1331010000001"/>
    <x v="13"/>
    <x v="169"/>
    <n v="1"/>
    <x v="0"/>
    <n v="13"/>
    <x v="2"/>
    <n v="133"/>
    <x v="24"/>
    <n v="1331"/>
    <x v="23"/>
    <n v="133101"/>
    <s v="Multas de tránsito"/>
    <n v="13310100"/>
    <s v="-"/>
    <n v="133101000"/>
    <s v="-"/>
    <n v="1331010000"/>
    <s v="-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s v="I1331020100001"/>
    <x v="13"/>
    <x v="133"/>
    <n v="1"/>
    <x v="0"/>
    <n v="13"/>
    <x v="2"/>
    <n v="133"/>
    <x v="24"/>
    <n v="1331"/>
    <x v="23"/>
    <n v="133102"/>
    <s v="Multas por atraso en pago de impuestos"/>
    <n v="13310201"/>
    <s v="Impuestos Internos"/>
    <n v="133102010"/>
    <s v="-"/>
    <n v="1331020100"/>
    <s v="-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0"/>
    <n v="0"/>
    <n v="3962882635.9899998"/>
    <n v="1480117364.01"/>
    <n v="72.81"/>
    <n v="27.19"/>
  </r>
  <r>
    <s v="I1331020200001"/>
    <x v="13"/>
    <x v="134"/>
    <n v="1"/>
    <x v="0"/>
    <n v="13"/>
    <x v="2"/>
    <n v="133"/>
    <x v="24"/>
    <n v="1331"/>
    <x v="23"/>
    <n v="133102"/>
    <s v="Multas por atraso en pago de impuestos"/>
    <n v="13310202"/>
    <s v="Impuestos Aduanas"/>
    <n v="133102020"/>
    <s v="-"/>
    <n v="1331020200"/>
    <s v="-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0"/>
    <n v="0"/>
    <n v="1442084291.0599999"/>
    <n v="357915708.94"/>
    <n v="80.12"/>
    <n v="19.88"/>
  </r>
  <r>
    <s v="I1331040100001"/>
    <x v="13"/>
    <x v="68"/>
    <n v="1"/>
    <x v="0"/>
    <n v="13"/>
    <x v="2"/>
    <n v="133"/>
    <x v="24"/>
    <n v="1331"/>
    <x v="23"/>
    <n v="133104"/>
    <s v="Sanciones administrativas"/>
    <n v="13310401"/>
    <s v="Sanciones Administrativas y Otros Ley No. 7092"/>
    <n v="133104010"/>
    <s v="-"/>
    <n v="1331040100"/>
    <s v="-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150926307"/>
    <n v="0"/>
    <n v="3765586793.7800002"/>
    <n v="3094413206.2199998"/>
    <n v="54.89"/>
    <n v="45.11"/>
  </r>
  <r>
    <s v="I1331040200001"/>
    <x v="13"/>
    <x v="135"/>
    <n v="1"/>
    <x v="0"/>
    <n v="13"/>
    <x v="2"/>
    <n v="133"/>
    <x v="24"/>
    <n v="1331"/>
    <x v="23"/>
    <n v="133104"/>
    <s v="Sanciones administrativas"/>
    <n v="13310402"/>
    <s v="Ejecución de garantías de cumplimiento y participación"/>
    <n v="133104020"/>
    <s v="-"/>
    <n v="1331040200"/>
    <s v="-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0"/>
    <n v="0"/>
    <n v="82453226.349999994"/>
    <n v="17546773.649999999"/>
    <n v="82.45"/>
    <n v="17.55"/>
  </r>
  <r>
    <s v="I1331090100001"/>
    <x v="13"/>
    <x v="136"/>
    <n v="1"/>
    <x v="0"/>
    <n v="13"/>
    <x v="2"/>
    <n v="133"/>
    <x v="24"/>
    <n v="1331"/>
    <x v="23"/>
    <n v="133109"/>
    <s v="Otras multas"/>
    <n v="13310901"/>
    <s v="Multas Sugeval"/>
    <n v="133109010"/>
    <s v="-"/>
    <n v="1331090100"/>
    <s v="-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0"/>
    <n v="0"/>
    <n v="94757284.640000001"/>
    <n v="-94757284.640000001"/>
    <n v="0"/>
    <n v="100"/>
  </r>
  <r>
    <s v="I1331090200001"/>
    <x v="13"/>
    <x v="137"/>
    <n v="1"/>
    <x v="0"/>
    <n v="13"/>
    <x v="2"/>
    <n v="133"/>
    <x v="24"/>
    <n v="1331"/>
    <x v="23"/>
    <n v="133109"/>
    <s v="Otras multas"/>
    <n v="13310902"/>
    <s v="1% Ley Protección al Consumidor"/>
    <n v="133109020"/>
    <s v="-"/>
    <n v="1331090200"/>
    <s v="-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0"/>
    <n v="0"/>
    <n v="206730188.16999999"/>
    <n v="-31730188.170000002"/>
    <n v="118.13"/>
    <n v="-18.13"/>
  </r>
  <r>
    <s v="I1331090300001"/>
    <x v="13"/>
    <x v="70"/>
    <n v="1"/>
    <x v="0"/>
    <n v="13"/>
    <x v="2"/>
    <n v="133"/>
    <x v="24"/>
    <n v="1331"/>
    <x v="23"/>
    <n v="133109"/>
    <s v="Otras multas"/>
    <n v="13310903"/>
    <s v="Multas por Incumplimiento"/>
    <n v="133109030"/>
    <s v="-"/>
    <n v="1331090300"/>
    <s v="-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2438336.35"/>
    <n v="0"/>
    <n v="105839481.28"/>
    <n v="259460518.72"/>
    <n v="28.97"/>
    <n v="71.03"/>
  </r>
  <r>
    <s v="I1331090400001"/>
    <x v="13"/>
    <x v="182"/>
    <n v="1"/>
    <x v="0"/>
    <n v="13"/>
    <x v="2"/>
    <n v="133"/>
    <x v="24"/>
    <n v="1331"/>
    <x v="23"/>
    <n v="133109"/>
    <s v="Otras multas"/>
    <n v="13310904"/>
    <s v="Infracciones Ley Lab"/>
    <n v="133109040"/>
    <s v="-"/>
    <n v="1331090400"/>
    <s v="-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s v="I1331090500001"/>
    <x v="13"/>
    <x v="253"/>
    <n v="1"/>
    <x v="0"/>
    <n v="13"/>
    <x v="2"/>
    <n v="133"/>
    <x v="24"/>
    <n v="1331"/>
    <x v="23"/>
    <n v="133109"/>
    <s v="Otras multas"/>
    <n v="13310905"/>
    <s v="Multas Ley 8246 N° Código de Miniería"/>
    <n v="133109050"/>
    <s v="-"/>
    <n v="1331090500"/>
    <s v="-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s v="I1331090600001"/>
    <x v="13"/>
    <x v="270"/>
    <n v="1"/>
    <x v="0"/>
    <n v="13"/>
    <x v="2"/>
    <n v="133"/>
    <x v="24"/>
    <n v="1331"/>
    <x v="23"/>
    <n v="133109"/>
    <s v="Otras multas"/>
    <n v="13310906"/>
    <s v="Multas artículo 36 Ley N° 9028 productos del tabaco"/>
    <n v="133109060"/>
    <s v="-"/>
    <n v="1331090600"/>
    <s v="-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s v="I1331090700001"/>
    <x v="13"/>
    <x v="313"/>
    <n v="1"/>
    <x v="0"/>
    <n v="13"/>
    <x v="2"/>
    <n v="133"/>
    <x v="24"/>
    <n v="1331"/>
    <x v="23"/>
    <n v="133109"/>
    <s v="Otras multas"/>
    <n v="13310907"/>
    <s v="Multas por incumplimiento restricción sanitaria COVID-19"/>
    <n v="133109070"/>
    <s v="-"/>
    <n v="1331090700"/>
    <s v="-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0"/>
    <n v="0"/>
    <n v="53829900"/>
    <n v="-53829900"/>
    <n v="0"/>
    <n v="100"/>
  </r>
  <r>
    <s v="I1331090900001"/>
    <x v="13"/>
    <x v="170"/>
    <n v="1"/>
    <x v="0"/>
    <n v="13"/>
    <x v="2"/>
    <n v="133"/>
    <x v="24"/>
    <n v="1331"/>
    <x v="23"/>
    <n v="133109"/>
    <s v="Otras multas"/>
    <n v="13310909"/>
    <s v="Multas Varias"/>
    <n v="133109090"/>
    <s v="-"/>
    <n v="1331090900"/>
    <s v="-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0"/>
    <n v="0"/>
    <n v="26468595.239999998"/>
    <n v="179531404.75999999"/>
    <n v="12.85"/>
    <n v="87.15"/>
  </r>
  <r>
    <s v="I1332010100001"/>
    <x v="13"/>
    <x v="74"/>
    <n v="1"/>
    <x v="0"/>
    <n v="13"/>
    <x v="2"/>
    <n v="133"/>
    <x v="24"/>
    <n v="1332"/>
    <x v="48"/>
    <n v="133201"/>
    <s v="Remates y confiscaciones"/>
    <n v="13320101"/>
    <s v="Remates Ley N° 3421"/>
    <n v="133201010"/>
    <s v="-"/>
    <n v="1332010100"/>
    <s v="-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0"/>
    <n v="0"/>
    <n v="130900246.89"/>
    <n v="-104900246.89"/>
    <n v="503.46"/>
    <n v="-403.46"/>
  </r>
  <r>
    <s v="I1341000000001"/>
    <x v="13"/>
    <x v="227"/>
    <n v="1"/>
    <x v="0"/>
    <n v="13"/>
    <x v="2"/>
    <n v="134"/>
    <x v="21"/>
    <n v="1341"/>
    <x v="45"/>
    <n v="134100"/>
    <s v="Int.Mor Atra.Pag.Imp"/>
    <n v="13410000"/>
    <s v="-"/>
    <n v="134100000"/>
    <s v="-"/>
    <n v="1341000000"/>
    <s v="-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27225.66"/>
    <n v="0"/>
    <n v="471981313.99000001"/>
    <n v="-193981313.99000001"/>
    <n v="169.78"/>
    <n v="-69.78"/>
  </r>
  <r>
    <s v="I1391000000001"/>
    <x v="13"/>
    <x v="138"/>
    <n v="1"/>
    <x v="0"/>
    <n v="13"/>
    <x v="2"/>
    <n v="139"/>
    <x v="9"/>
    <n v="1391"/>
    <x v="25"/>
    <n v="139100"/>
    <s v="-"/>
    <n v="13910000"/>
    <s v="-"/>
    <n v="139100000"/>
    <s v="-"/>
    <n v="1391000000"/>
    <s v="-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486170"/>
    <n v="0"/>
    <n v="5499099987.1400003"/>
    <n v="-349099987.13999999"/>
    <n v="106.78"/>
    <n v="-6.78"/>
  </r>
  <r>
    <s v="I1392000000001"/>
    <x v="13"/>
    <x v="314"/>
    <n v="1"/>
    <x v="0"/>
    <n v="13"/>
    <x v="2"/>
    <n v="139"/>
    <x v="9"/>
    <n v="1392"/>
    <x v="49"/>
    <n v="139200"/>
    <n v="0"/>
    <n v="13920000"/>
    <n v="0"/>
    <n v="139200000"/>
    <n v="0"/>
    <n v="1392000000"/>
    <n v="0"/>
    <n v="1"/>
    <s v="Ingresos corrientes"/>
    <n v="0"/>
    <n v="3400000"/>
    <n v="3400000"/>
    <n v="0"/>
    <n v="0"/>
    <n v="0"/>
    <n v="0"/>
    <n v="0"/>
    <n v="0"/>
    <n v="0"/>
    <n v="0"/>
    <n v="0"/>
    <n v="0"/>
    <n v="0"/>
    <m/>
    <n v="0"/>
    <n v="3400000"/>
    <n v="0"/>
    <n v="100"/>
  </r>
  <r>
    <s v="I1399000000001"/>
    <x v="13"/>
    <x v="77"/>
    <n v="1"/>
    <x v="0"/>
    <n v="13"/>
    <x v="2"/>
    <n v="139"/>
    <x v="9"/>
    <n v="1399"/>
    <x v="26"/>
    <n v="139900"/>
    <s v="-"/>
    <n v="13990000"/>
    <s v="-"/>
    <n v="139900000"/>
    <s v="-"/>
    <n v="1399000000"/>
    <s v="-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86654749.560000002"/>
    <n v="0"/>
    <n v="8497528317.8100004"/>
    <n v="-1743173586.28"/>
    <n v="125.81"/>
    <n v="-25.81"/>
  </r>
  <r>
    <s v="I1412010100001"/>
    <x v="13"/>
    <x v="139"/>
    <n v="1"/>
    <x v="0"/>
    <n v="14"/>
    <x v="3"/>
    <n v="141"/>
    <x v="10"/>
    <n v="1412"/>
    <x v="27"/>
    <n v="141201"/>
    <s v="Transferencias de FODESAF"/>
    <n v="14120101"/>
    <s v="Fodesaf-Comedores-Ministerio Educación Pública Ley N° 8783 Artículo 3 inciso e"/>
    <n v="141201010"/>
    <s v="-"/>
    <n v="1412010100"/>
    <s v="-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0"/>
    <n v="0"/>
    <n v="31950143588.009998"/>
    <n v="1717234295.99"/>
    <n v="94.9"/>
    <n v="5.0999999999999996"/>
  </r>
  <r>
    <s v="I1412010300001"/>
    <x v="13"/>
    <x v="140"/>
    <n v="1"/>
    <x v="0"/>
    <n v="14"/>
    <x v="3"/>
    <n v="141"/>
    <x v="10"/>
    <n v="1412"/>
    <x v="27"/>
    <n v="141201"/>
    <s v="Transferencias de FODESAF"/>
    <n v="14120103"/>
    <s v="Fodesaf-Pronae-Ministerio de Trabajo"/>
    <n v="141201030"/>
    <s v="-"/>
    <n v="1412010300"/>
    <s v="-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0"/>
    <n v="0"/>
    <n v="7003615000"/>
    <n v="7581054376"/>
    <n v="48.02"/>
    <n v="51.98"/>
  </r>
  <r>
    <s v="I1412010500001"/>
    <x v="13"/>
    <x v="183"/>
    <n v="1"/>
    <x v="0"/>
    <n v="14"/>
    <x v="3"/>
    <n v="141"/>
    <x v="10"/>
    <n v="1412"/>
    <x v="27"/>
    <n v="141201"/>
    <s v="Transferencias de FODESAF"/>
    <n v="14120105"/>
    <s v="Fodesaf-Régimen no Contribuitivo de Pensiones-CCSS Ley No. 8783"/>
    <n v="141201050"/>
    <s v="-"/>
    <n v="1412010500"/>
    <s v="-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0"/>
    <n v="0"/>
    <n v="49803110000"/>
    <n v="35575273051"/>
    <n v="58.33"/>
    <n v="41.67"/>
  </r>
  <r>
    <s v="I1412010600001"/>
    <x v="13"/>
    <x v="184"/>
    <n v="1"/>
    <x v="0"/>
    <n v="14"/>
    <x v="3"/>
    <n v="141"/>
    <x v="10"/>
    <n v="1412"/>
    <x v="27"/>
    <n v="141201"/>
    <s v="Transferencias de FODESAF"/>
    <n v="14120106"/>
    <s v="Fodesaf-MEP-Comedores Escolares Juntas Ley No. 8783"/>
    <n v="141201060"/>
    <s v="-"/>
    <n v="1412010600"/>
    <s v="-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s v="I1412010700001"/>
    <x v="13"/>
    <x v="185"/>
    <n v="1"/>
    <x v="0"/>
    <n v="14"/>
    <x v="3"/>
    <n v="141"/>
    <x v="10"/>
    <n v="1412"/>
    <x v="27"/>
    <n v="141201"/>
    <s v="Transferencias de FODESAF"/>
    <n v="14120107"/>
    <s v="Fodesaf-MEP-Programa Avancemos-Ley No. 8783"/>
    <n v="141201070"/>
    <s v="-"/>
    <n v="1412010700"/>
    <s v="-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0"/>
    <n v="0"/>
    <n v="32054005643.950001"/>
    <n v="17945994356.049999"/>
    <n v="64.11"/>
    <n v="35.89"/>
  </r>
  <r>
    <s v="I1412010800001"/>
    <x v="13"/>
    <x v="186"/>
    <n v="1"/>
    <x v="0"/>
    <n v="14"/>
    <x v="3"/>
    <n v="141"/>
    <x v="10"/>
    <n v="1412"/>
    <x v="27"/>
    <n v="141201"/>
    <s v="Transferencias de FODESAF"/>
    <n v="14120108"/>
    <s v="Fodesaf-IMAS-Jefas de Hogar Ley No. 8783"/>
    <n v="141201080"/>
    <s v="-"/>
    <n v="1412010800"/>
    <s v="-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0"/>
    <n v="0"/>
    <n v="4186724640"/>
    <n v="2990517600"/>
    <n v="58.33"/>
    <n v="41.67"/>
  </r>
  <r>
    <s v="I1412010900001"/>
    <x v="13"/>
    <x v="187"/>
    <n v="1"/>
    <x v="0"/>
    <n v="14"/>
    <x v="3"/>
    <n v="141"/>
    <x v="10"/>
    <n v="1412"/>
    <x v="27"/>
    <n v="141201"/>
    <s v="Transferencias de FODESAF"/>
    <n v="14120109"/>
    <s v="Fodesaf-Desaf- Ley No. 8783"/>
    <n v="141201090"/>
    <s v="-"/>
    <n v="1412010900"/>
    <s v="-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0"/>
    <n v="0"/>
    <n v="1135317112.8699999"/>
    <n v="2114429787.1300001"/>
    <n v="34.94"/>
    <n v="65.06"/>
  </r>
  <r>
    <s v="I1412020000001"/>
    <x v="13"/>
    <x v="79"/>
    <n v="1"/>
    <x v="0"/>
    <n v="14"/>
    <x v="3"/>
    <n v="141"/>
    <x v="10"/>
    <n v="1412"/>
    <x v="27"/>
    <n v="141202"/>
    <s v="Transferencias de la Junta Administrativa del Registro Nacional Ley N° 7138"/>
    <n v="14120200"/>
    <s v="-"/>
    <n v="141202000"/>
    <s v="-"/>
    <n v="1412020000"/>
    <s v="-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0"/>
    <n v="0"/>
    <n v="2198458479.7199998"/>
    <n v="1208424523.28"/>
    <n v="64.53"/>
    <n v="35.47"/>
  </r>
  <r>
    <s v="I1412060000001"/>
    <x v="13"/>
    <x v="237"/>
    <n v="1"/>
    <x v="0"/>
    <n v="14"/>
    <x v="3"/>
    <n v="141"/>
    <x v="10"/>
    <n v="1412"/>
    <x v="27"/>
    <n v="141206"/>
    <s v="CTAC Ley 5222"/>
    <n v="14120600"/>
    <s v="-"/>
    <n v="141206000"/>
    <s v="-"/>
    <n v="1412060000"/>
    <s v="-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s v="I1413010100001"/>
    <x v="13"/>
    <x v="81"/>
    <n v="1"/>
    <x v="0"/>
    <n v="14"/>
    <x v="3"/>
    <n v="141"/>
    <x v="10"/>
    <n v="1413"/>
    <x v="28"/>
    <n v="141301"/>
    <s v="Cuotas a Organismos Internacionales, Ley N° 3418"/>
    <n v="14130101"/>
    <s v="CONICIT"/>
    <n v="141301010"/>
    <s v="-"/>
    <n v="1413010100"/>
    <s v="-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s v="I1413010200001"/>
    <x v="13"/>
    <x v="144"/>
    <n v="1"/>
    <x v="0"/>
    <n v="14"/>
    <x v="3"/>
    <n v="141"/>
    <x v="10"/>
    <n v="1413"/>
    <x v="28"/>
    <n v="141301"/>
    <s v="Cuotas a Organismos Internacionales, Ley N° 3418"/>
    <n v="14130102"/>
    <s v="Junta Administrativa Colegio San Luis Gonzaga"/>
    <n v="141301020"/>
    <s v="-"/>
    <n v="1413010200"/>
    <s v="-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s v="I1413010300001"/>
    <x v="13"/>
    <x v="82"/>
    <n v="1"/>
    <x v="0"/>
    <n v="14"/>
    <x v="3"/>
    <n v="141"/>
    <x v="10"/>
    <n v="1413"/>
    <x v="28"/>
    <n v="141301"/>
    <s v="Cuotas a Organismos Internacionales, Ley N° 3418"/>
    <n v="14130103"/>
    <s v="ICT"/>
    <n v="141301030"/>
    <s v="-"/>
    <n v="1413010300"/>
    <s v="-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s v="I1413010400001"/>
    <x v="13"/>
    <x v="83"/>
    <n v="1"/>
    <x v="0"/>
    <n v="14"/>
    <x v="3"/>
    <n v="141"/>
    <x v="10"/>
    <n v="1413"/>
    <x v="28"/>
    <n v="141301"/>
    <s v="Cuotas a Organismos Internacionales, Ley N° 3418"/>
    <n v="14130104"/>
    <s v="INEC"/>
    <n v="141301040"/>
    <s v="-"/>
    <n v="1413010400"/>
    <s v="-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s v="I1413010500001"/>
    <x v="13"/>
    <x v="84"/>
    <n v="1"/>
    <x v="0"/>
    <n v="14"/>
    <x v="3"/>
    <n v="141"/>
    <x v="10"/>
    <n v="1413"/>
    <x v="28"/>
    <n v="141301"/>
    <s v="Cuotas a Organismos Internacionales, Ley N° 3418"/>
    <n v="14130105"/>
    <s v="INAMU"/>
    <n v="141301050"/>
    <s v="-"/>
    <n v="1413010500"/>
    <s v="-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s v="I1413010600001"/>
    <x v="13"/>
    <x v="145"/>
    <n v="1"/>
    <x v="0"/>
    <n v="14"/>
    <x v="3"/>
    <n v="141"/>
    <x v="10"/>
    <n v="1413"/>
    <x v="28"/>
    <n v="141301"/>
    <s v="Cuotas a Organismos Internacionales, Ley N° 3418"/>
    <n v="14130106"/>
    <s v="PANI"/>
    <n v="141301060"/>
    <s v="-"/>
    <n v="1413010600"/>
    <s v="-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s v="I1413010700001"/>
    <x v="13"/>
    <x v="172"/>
    <n v="1"/>
    <x v="0"/>
    <n v="14"/>
    <x v="3"/>
    <n v="141"/>
    <x v="10"/>
    <n v="1413"/>
    <x v="28"/>
    <n v="141301"/>
    <s v="Cuotas a Organismos Internacionales, Ley N° 3418"/>
    <n v="14130107"/>
    <s v="IDA"/>
    <n v="141301070"/>
    <s v="-"/>
    <n v="1413010700"/>
    <s v="-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s v="I1413010900001"/>
    <x v="13"/>
    <x v="146"/>
    <n v="1"/>
    <x v="0"/>
    <n v="14"/>
    <x v="3"/>
    <n v="141"/>
    <x v="10"/>
    <n v="1413"/>
    <x v="28"/>
    <n v="141301"/>
    <s v="Cuotas a Organismos Internacionales, Ley N° 3418"/>
    <n v="14130109"/>
    <s v="SENARA"/>
    <n v="141301090"/>
    <s v="-"/>
    <n v="1413010900"/>
    <s v="-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s v="I1413011000001"/>
    <x v="13"/>
    <x v="86"/>
    <n v="1"/>
    <x v="0"/>
    <n v="14"/>
    <x v="3"/>
    <n v="141"/>
    <x v="10"/>
    <n v="1413"/>
    <x v="28"/>
    <n v="141301"/>
    <s v="Cuotas a Organismos Internacionales, Ley N° 3418"/>
    <n v="14130110"/>
    <s v="ARESEP"/>
    <n v="141301100"/>
    <s v="-"/>
    <n v="1413011000"/>
    <s v="-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s v="I1413011100001"/>
    <x v="13"/>
    <x v="87"/>
    <n v="1"/>
    <x v="0"/>
    <n v="14"/>
    <x v="3"/>
    <n v="141"/>
    <x v="10"/>
    <n v="1413"/>
    <x v="28"/>
    <n v="141301"/>
    <s v="Cuotas a Organismos Internacionales, Ley N° 3418"/>
    <n v="14130111"/>
    <s v="INCOPESCA"/>
    <n v="141301110"/>
    <s v="-"/>
    <n v="1413011100"/>
    <s v="-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s v="I1413011200001"/>
    <x v="13"/>
    <x v="88"/>
    <n v="1"/>
    <x v="0"/>
    <n v="14"/>
    <x v="3"/>
    <n v="141"/>
    <x v="10"/>
    <n v="1413"/>
    <x v="28"/>
    <n v="141301"/>
    <s v="Cuotas a Organismos Internacionales, Ley N° 3418"/>
    <n v="14130112"/>
    <s v="INA"/>
    <n v="141301120"/>
    <s v="-"/>
    <n v="1413011200"/>
    <s v="-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s v="I1413011300001"/>
    <x v="13"/>
    <x v="89"/>
    <n v="1"/>
    <x v="0"/>
    <n v="14"/>
    <x v="3"/>
    <n v="141"/>
    <x v="10"/>
    <n v="1413"/>
    <x v="28"/>
    <n v="141301"/>
    <s v="Cuotas a Organismos Internacionales, Ley N° 3418"/>
    <n v="14130113"/>
    <s v="IFAM"/>
    <n v="141301130"/>
    <s v="-"/>
    <n v="1413011300"/>
    <s v="-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s v="I1413020000001"/>
    <x v="13"/>
    <x v="92"/>
    <n v="1"/>
    <x v="0"/>
    <n v="14"/>
    <x v="3"/>
    <n v="141"/>
    <x v="10"/>
    <n v="1413"/>
    <x v="28"/>
    <n v="141302"/>
    <s v="Instituto Nacional de Aprendizaje Ley N° 7372"/>
    <n v="14130200"/>
    <s v="-"/>
    <n v="141302000"/>
    <s v="-"/>
    <n v="1413020000"/>
    <s v="-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s v="I1413030000001"/>
    <x v="13"/>
    <x v="147"/>
    <n v="1"/>
    <x v="0"/>
    <n v="14"/>
    <x v="3"/>
    <n v="141"/>
    <x v="10"/>
    <n v="1413"/>
    <x v="28"/>
    <n v="141303"/>
    <s v="Junta de Desarrollo de la Zona Sur. Ley N° 7730"/>
    <n v="14130300"/>
    <s v="-"/>
    <n v="141303000"/>
    <s v="-"/>
    <n v="1413030000"/>
    <s v="-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0"/>
    <n v="0"/>
    <n v="238497729.19"/>
    <n v="170355520.81"/>
    <n v="58.33"/>
    <n v="41.67"/>
  </r>
  <r>
    <s v="I1413040000001"/>
    <x v="13"/>
    <x v="217"/>
    <n v="1"/>
    <x v="0"/>
    <n v="14"/>
    <x v="3"/>
    <n v="141"/>
    <x v="10"/>
    <n v="1413"/>
    <x v="28"/>
    <n v="141304"/>
    <s v="Instituto Nacional de Estadística y Censos Ley N° 7839 artículo 13 -Convenio BCCR-INEC-MH para Estudio Económico a Empresas"/>
    <n v="14130400"/>
    <s v="-"/>
    <n v="141304000"/>
    <s v="-"/>
    <n v="1413040000"/>
    <s v="-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0"/>
    <n v="0"/>
    <n v="412936131"/>
    <n v="33039447"/>
    <n v="92.59"/>
    <n v="7.41"/>
  </r>
  <r>
    <s v="I1413060000001"/>
    <x v="13"/>
    <x v="255"/>
    <n v="1"/>
    <x v="0"/>
    <n v="14"/>
    <x v="3"/>
    <n v="141"/>
    <x v="10"/>
    <n v="1413"/>
    <x v="28"/>
    <n v="141306"/>
    <s v="INDER"/>
    <n v="14130600"/>
    <s v="-"/>
    <n v="141306000"/>
    <s v="-"/>
    <n v="1413060000"/>
    <s v="-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s v="I1414010000001"/>
    <x v="13"/>
    <x v="93"/>
    <n v="1"/>
    <x v="0"/>
    <n v="14"/>
    <x v="3"/>
    <n v="141"/>
    <x v="10"/>
    <n v="1414"/>
    <x v="29"/>
    <n v="141401"/>
    <s v="Transferencias de Municipalidades Ley N° 7729"/>
    <n v="14140100"/>
    <s v="-"/>
    <n v="141401000"/>
    <s v="-"/>
    <n v="1414010000"/>
    <s v="-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0"/>
    <n v="0"/>
    <n v="648575136.32000005"/>
    <n v="511424863.68000001"/>
    <n v="55.91"/>
    <n v="44.09"/>
  </r>
  <r>
    <s v="I1415010100001"/>
    <x v="13"/>
    <x v="94"/>
    <n v="1"/>
    <x v="0"/>
    <n v="14"/>
    <x v="3"/>
    <n v="141"/>
    <x v="10"/>
    <n v="1415"/>
    <x v="30"/>
    <n v="141501"/>
    <s v="Cuotas Organismos Internacionales, Ley N° 3418"/>
    <n v="14150101"/>
    <s v="AyA"/>
    <n v="141501010"/>
    <s v="-"/>
    <n v="1415010100"/>
    <s v="-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0"/>
    <n v="0"/>
    <n v="130000000"/>
    <n v="87700000"/>
    <n v="59.72"/>
    <n v="40.28"/>
  </r>
  <r>
    <s v="I1415010200001"/>
    <x v="13"/>
    <x v="95"/>
    <n v="1"/>
    <x v="0"/>
    <n v="14"/>
    <x v="3"/>
    <n v="141"/>
    <x v="10"/>
    <n v="1415"/>
    <x v="30"/>
    <n v="141501"/>
    <s v="Cuotas Organismos Internacionales, Ley N° 3418"/>
    <n v="14150102"/>
    <s v="ICE"/>
    <n v="141501020"/>
    <s v="-"/>
    <n v="1415010200"/>
    <s v="-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s v="I1415010300001"/>
    <x v="13"/>
    <x v="96"/>
    <n v="1"/>
    <x v="0"/>
    <n v="14"/>
    <x v="3"/>
    <n v="141"/>
    <x v="10"/>
    <n v="1415"/>
    <x v="30"/>
    <n v="141501"/>
    <s v="Cuotas Organismos Internacionales, Ley N° 3418"/>
    <n v="14150103"/>
    <s v="INCOOP"/>
    <n v="141501030"/>
    <s v="-"/>
    <n v="1415010300"/>
    <s v="-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s v="I1415010400001"/>
    <x v="13"/>
    <x v="97"/>
    <n v="1"/>
    <x v="0"/>
    <n v="14"/>
    <x v="3"/>
    <n v="141"/>
    <x v="10"/>
    <n v="1415"/>
    <x v="30"/>
    <n v="141501"/>
    <s v="Cuotas Organismos Internacionales, Ley N° 3418"/>
    <n v="14150104"/>
    <s v="JAPDEVA"/>
    <n v="141501040"/>
    <s v="-"/>
    <n v="1415010400"/>
    <s v="-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s v="I1415010500001"/>
    <x v="13"/>
    <x v="98"/>
    <n v="1"/>
    <x v="0"/>
    <n v="14"/>
    <x v="3"/>
    <n v="141"/>
    <x v="10"/>
    <n v="1415"/>
    <x v="30"/>
    <n v="141501"/>
    <s v="Cuotas Organismos Internacionales, Ley N° 3418"/>
    <n v="14150105"/>
    <s v="CNP"/>
    <n v="141501050"/>
    <s v="-"/>
    <n v="1415010500"/>
    <s v="-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s v="I1415010600001"/>
    <x v="13"/>
    <x v="189"/>
    <n v="1"/>
    <x v="0"/>
    <n v="14"/>
    <x v="3"/>
    <n v="141"/>
    <x v="10"/>
    <n v="1415"/>
    <x v="30"/>
    <n v="141501"/>
    <s v="Cuotas Organismos Internacionales, Ley N° 3418"/>
    <n v="14150106"/>
    <s v="INCOFER"/>
    <n v="141501060"/>
    <s v="-"/>
    <n v="1415010600"/>
    <s v="-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s v="I1415040000001"/>
    <x v="13"/>
    <x v="315"/>
    <n v="1"/>
    <x v="0"/>
    <n v="14"/>
    <x v="3"/>
    <n v="141"/>
    <x v="10"/>
    <n v="1415"/>
    <x v="30"/>
    <n v="141504"/>
    <s v="Refinadora Costarricense de Petroleo art. 5 y 6 Ley N°9840 Emergencia COVID-19"/>
    <n v="14150400"/>
    <s v="-"/>
    <n v="141504000"/>
    <s v="-"/>
    <n v="1415040000"/>
    <s v="-"/>
    <n v="1"/>
    <s v="Ingresos corrientes"/>
    <n v="0"/>
    <n v="14915796989"/>
    <n v="14915796989"/>
    <n v="0"/>
    <n v="0"/>
    <n v="0"/>
    <n v="0"/>
    <n v="1040700900"/>
    <n v="7899389868"/>
    <n v="5975706221"/>
    <n v="1040146831"/>
    <n v="0"/>
    <n v="0"/>
    <n v="0"/>
    <n v="0"/>
    <n v="15955943820"/>
    <n v="-1040146831"/>
    <n v="106.97"/>
    <n v="-6.97"/>
  </r>
  <r>
    <s v="I1416010100001"/>
    <x v="13"/>
    <x v="148"/>
    <n v="1"/>
    <x v="0"/>
    <n v="14"/>
    <x v="3"/>
    <n v="141"/>
    <x v="10"/>
    <n v="1416"/>
    <x v="31"/>
    <n v="141601"/>
    <s v="Cuotas Organismos Internacionales, Ley N° 3418"/>
    <n v="14160101"/>
    <s v="Banco de Costa Rica"/>
    <n v="141601010"/>
    <s v="-"/>
    <n v="1416010100"/>
    <s v="-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s v="I1416010300001"/>
    <x v="13"/>
    <x v="150"/>
    <n v="1"/>
    <x v="0"/>
    <n v="14"/>
    <x v="3"/>
    <n v="141"/>
    <x v="10"/>
    <n v="1416"/>
    <x v="31"/>
    <n v="141601"/>
    <s v="Cuotas Organismos Internacionales, Ley N° 3418"/>
    <n v="14160103"/>
    <s v="Banco Nacional de Costa Rica"/>
    <n v="141601030"/>
    <s v="-"/>
    <n v="1416010300"/>
    <s v="-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s v="I1416010400001"/>
    <x v="13"/>
    <x v="151"/>
    <n v="1"/>
    <x v="0"/>
    <n v="14"/>
    <x v="3"/>
    <n v="141"/>
    <x v="10"/>
    <n v="1416"/>
    <x v="31"/>
    <n v="141601"/>
    <s v="Cuotas Organismos Internacionales, Ley N° 3418"/>
    <n v="14160104"/>
    <s v="INVU"/>
    <n v="141601040"/>
    <s v="-"/>
    <n v="1416010400"/>
    <s v="-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s v="I1416010600001"/>
    <x v="13"/>
    <x v="173"/>
    <n v="1"/>
    <x v="0"/>
    <n v="14"/>
    <x v="3"/>
    <n v="141"/>
    <x v="10"/>
    <n v="1416"/>
    <x v="31"/>
    <n v="141601"/>
    <s v="Cuotas Organismos Internacionales, Ley N° 3418"/>
    <n v="14160106"/>
    <s v="INFOCOOP"/>
    <n v="141601060"/>
    <s v="-"/>
    <n v="1416010600"/>
    <s v="-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s v="I1416020200001"/>
    <x v="13"/>
    <x v="303"/>
    <n v="1"/>
    <x v="0"/>
    <n v="14"/>
    <x v="3"/>
    <n v="141"/>
    <x v="10"/>
    <n v="1416"/>
    <x v="31"/>
    <n v="141602"/>
    <s v="Transferencias de aseguradoras públicas para Financ. INEC Ley 9694"/>
    <n v="14160202"/>
    <s v="Transferencias de aseguradoras públicas para Financ. INEC Ley 9694"/>
    <n v="141602020"/>
    <s v="-"/>
    <n v="1416020200"/>
    <s v="-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0"/>
    <n v="0"/>
    <n v="2333936689.1199999"/>
    <n v="811063310.88"/>
    <n v="74.209999999999994"/>
    <n v="25.79"/>
  </r>
  <r>
    <s v="I1426000000001"/>
    <x v="13"/>
    <x v="305"/>
    <n v="1"/>
    <x v="0"/>
    <n v="14"/>
    <x v="3"/>
    <n v="142"/>
    <x v="11"/>
    <n v="1426"/>
    <x v="32"/>
    <n v="142600"/>
    <s v="Transferencias de aseguradoras privadas para Financ. INEC Ley 9694"/>
    <n v="14260000"/>
    <s v="-"/>
    <n v="142600000"/>
    <s v="-"/>
    <n v="1426000000"/>
    <s v="-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0"/>
    <n v="0"/>
    <n v="1176882286.72"/>
    <n v="-71882286.719999999"/>
    <n v="106.51"/>
    <n v="-6.51"/>
  </r>
  <r>
    <s v="I1432040000001"/>
    <x v="13"/>
    <x v="257"/>
    <n v="1"/>
    <x v="0"/>
    <n v="14"/>
    <x v="3"/>
    <n v="143"/>
    <x v="18"/>
    <n v="1432"/>
    <x v="40"/>
    <n v="143204"/>
    <s v="DONACION KOLFACI"/>
    <n v="14320400"/>
    <s v="-"/>
    <n v="143204000"/>
    <s v="-"/>
    <n v="1432040000"/>
    <s v="-"/>
    <n v="1"/>
    <s v="Ingresos corrientes"/>
    <m/>
    <n v="49634900"/>
    <n v="49634900"/>
    <n v="0"/>
    <n v="0"/>
    <n v="0"/>
    <n v="0"/>
    <n v="0"/>
    <n v="0"/>
    <n v="49634900"/>
    <n v="0"/>
    <n v="0"/>
    <n v="0"/>
    <n v="0"/>
    <m/>
    <n v="49634900"/>
    <n v="0"/>
    <n v="100"/>
    <n v="0"/>
  </r>
  <r>
    <s v="I2413010000060"/>
    <x v="13"/>
    <x v="316"/>
    <n v="2"/>
    <x v="1"/>
    <n v="24"/>
    <x v="4"/>
    <n v="241"/>
    <x v="12"/>
    <n v="2413"/>
    <x v="50"/>
    <n v="241301"/>
    <s v="Instituto Nacional de Aprendizaje. Ley Nº7372 de 22-11-93"/>
    <n v="24130100"/>
    <s v="-"/>
    <n v="241301000"/>
    <s v="-"/>
    <n v="2413010000"/>
    <s v="-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s v="I2416020100060"/>
    <x v="13"/>
    <x v="317"/>
    <n v="2"/>
    <x v="1"/>
    <n v="24"/>
    <x v="4"/>
    <n v="241"/>
    <x v="12"/>
    <n v="2416"/>
    <x v="51"/>
    <n v="241602"/>
    <s v="Instituto Nacional de Seguros. Atención emergencia COVID-19 Ley N°9847"/>
    <n v="24160201"/>
    <s v="-"/>
    <n v="241602010"/>
    <s v="-"/>
    <n v="2416020100"/>
    <s v="-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s v="I3131010000280"/>
    <x v="13"/>
    <x v="154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3255668051.9200001"/>
    <n v="0"/>
    <n v="346793442580.19"/>
    <n v="486020605755.81"/>
    <n v="41.64"/>
    <n v="58.36"/>
  </r>
  <r>
    <s v="I3131010000281"/>
    <x v="13"/>
    <x v="175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s v="I3131010000282"/>
    <x v="13"/>
    <x v="221"/>
    <n v="3"/>
    <x v="2"/>
    <n v="31"/>
    <x v="6"/>
    <n v="313"/>
    <x v="15"/>
    <n v="3131"/>
    <x v="36"/>
    <n v="313101"/>
    <s v="Colocación de títulos valores de corto plazo"/>
    <n v="31310100"/>
    <s v="-"/>
    <n v="313101000"/>
    <s v="-"/>
    <n v="3131010000"/>
    <s v="-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s v="I3131020000280"/>
    <x v="13"/>
    <x v="155"/>
    <n v="3"/>
    <x v="2"/>
    <n v="31"/>
    <x v="6"/>
    <n v="313"/>
    <x v="15"/>
    <n v="3131"/>
    <x v="36"/>
    <n v="313102"/>
    <s v="Colocación de títulos valores de largo plazo"/>
    <n v="31310200"/>
    <s v="-"/>
    <n v="313102000"/>
    <s v="-"/>
    <n v="3131020000"/>
    <s v="-"/>
    <n v="280"/>
    <s v="Títulos valores de deuda interna"/>
    <n v="4152612940568"/>
    <n v="3578586734742.7202"/>
    <n v="3578586734742.7202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265846065"/>
    <n v="0"/>
    <n v="2037316585494.98"/>
    <n v="1541270149247.74"/>
    <n v="56.93"/>
    <n v="43.07"/>
  </r>
  <r>
    <s v="I3211010400453"/>
    <x v="13"/>
    <x v="176"/>
    <n v="3"/>
    <x v="2"/>
    <n v="32"/>
    <x v="7"/>
    <n v="321"/>
    <x v="16"/>
    <n v="3211"/>
    <x v="37"/>
    <n v="321101"/>
    <s v="Banco Centroaméricano de Integración Económica"/>
    <n v="32110104"/>
    <s v="-"/>
    <n v="321101040"/>
    <s v="-"/>
    <n v="3211010400"/>
    <s v="-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s v="I3211010500454"/>
    <x v="13"/>
    <x v="307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s v="I3211010500513"/>
    <x v="13"/>
    <x v="259"/>
    <n v="3"/>
    <x v="2"/>
    <n v="32"/>
    <x v="7"/>
    <n v="321"/>
    <x v="16"/>
    <n v="3211"/>
    <x v="37"/>
    <n v="321101"/>
    <s v="Banco Centroaméricano de Integración Económica"/>
    <n v="32110105"/>
    <s v="-"/>
    <n v="321101050"/>
    <s v="-"/>
    <n v="3211010500"/>
    <s v="-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s v="I3211021500504"/>
    <x v="13"/>
    <x v="190"/>
    <n v="3"/>
    <x v="2"/>
    <n v="32"/>
    <x v="7"/>
    <n v="321"/>
    <x v="16"/>
    <n v="3211"/>
    <x v="37"/>
    <n v="321102"/>
    <s v="Banco Interamericano de Desarrollo"/>
    <n v="32110215"/>
    <s v="-"/>
    <n v="321102150"/>
    <s v="-"/>
    <n v="3211021500"/>
    <s v="-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s v="I3211021800507"/>
    <x v="13"/>
    <x v="209"/>
    <n v="3"/>
    <x v="2"/>
    <n v="32"/>
    <x v="7"/>
    <n v="321"/>
    <x v="16"/>
    <n v="3211"/>
    <x v="37"/>
    <n v="321102"/>
    <s v="Banco Interamericano de Desarrollo"/>
    <n v="32110218"/>
    <s v="-"/>
    <n v="321102180"/>
    <s v="-"/>
    <n v="3211021800"/>
    <s v="-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s v="I3211021900508"/>
    <x v="13"/>
    <x v="231"/>
    <n v="3"/>
    <x v="2"/>
    <n v="32"/>
    <x v="7"/>
    <n v="321"/>
    <x v="16"/>
    <n v="3211"/>
    <x v="37"/>
    <n v="321102"/>
    <s v="Banco Interamericano de Desarrollo"/>
    <n v="32110219"/>
    <s v="-"/>
    <n v="321102190"/>
    <s v="-"/>
    <n v="3211021900"/>
    <s v="-"/>
    <n v="508"/>
    <s v="Crédito BID Nº 2852/OC-CR-Programa de Innovación y Capital Humano para la Competitividad, Ley N° 9218"/>
    <n v="0"/>
    <n v="11874890347.629999"/>
    <n v="1210335244.3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0"/>
    <n v="0"/>
    <n v="1210335244.3"/>
    <n v="10664555103.33"/>
    <n v="10.19"/>
    <n v="89.81"/>
  </r>
  <r>
    <s v="I3211022000509"/>
    <x v="13"/>
    <x v="245"/>
    <n v="3"/>
    <x v="2"/>
    <n v="32"/>
    <x v="7"/>
    <n v="321"/>
    <x v="16"/>
    <n v="3211"/>
    <x v="37"/>
    <n v="321102"/>
    <s v="Banco Interamericano de Desarrollo"/>
    <n v="32110220"/>
    <s v="-"/>
    <n v="321102200"/>
    <s v="-"/>
    <n v="3211022000"/>
    <s v="-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s v="I3211022100510"/>
    <x v="13"/>
    <x v="246"/>
    <n v="3"/>
    <x v="2"/>
    <n v="32"/>
    <x v="7"/>
    <n v="321"/>
    <x v="16"/>
    <n v="3211"/>
    <x v="37"/>
    <n v="321102"/>
    <s v="Banco Interamericano de Desarrollo"/>
    <n v="32110221"/>
    <s v="-"/>
    <n v="321102210"/>
    <s v="-"/>
    <n v="3211022100"/>
    <s v="-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s v="I3211022200515"/>
    <x v="13"/>
    <x v="283"/>
    <n v="3"/>
    <x v="2"/>
    <n v="32"/>
    <x v="7"/>
    <n v="321"/>
    <x v="16"/>
    <n v="3211"/>
    <x v="37"/>
    <n v="321102"/>
    <s v="Banco Interamericano de Desarrollo"/>
    <n v="32110222"/>
    <s v="-"/>
    <n v="321102220"/>
    <s v="-"/>
    <n v="3211022200"/>
    <s v="-"/>
    <n v="515"/>
    <s v="Crédito BID N°3488/OC-CR-Programa de Integración Fronteriza (PIF) Ley N°9451"/>
    <n v="0"/>
    <n v="58798699500.449997"/>
    <n v="711657371.60000002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0"/>
    <n v="0"/>
    <n v="711657371.60000002"/>
    <n v="58087042128.849998"/>
    <n v="1.21"/>
    <n v="98.79"/>
  </r>
  <r>
    <s v="I3211022300516"/>
    <x v="13"/>
    <x v="284"/>
    <n v="3"/>
    <x v="2"/>
    <n v="32"/>
    <x v="7"/>
    <n v="321"/>
    <x v="16"/>
    <n v="3211"/>
    <x v="37"/>
    <n v="321102"/>
    <s v="Banco Interamericano de Desarrollo"/>
    <n v="32110223"/>
    <s v="-"/>
    <n v="321102230"/>
    <s v="-"/>
    <n v="3211022300"/>
    <s v="-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s v="I3211022400517"/>
    <x v="13"/>
    <x v="285"/>
    <n v="3"/>
    <x v="2"/>
    <n v="32"/>
    <x v="7"/>
    <n v="321"/>
    <x v="16"/>
    <n v="3211"/>
    <x v="37"/>
    <n v="321102"/>
    <s v="Banco Interamericano de Desarrollo"/>
    <n v="32110224"/>
    <s v="-"/>
    <n v="321102240"/>
    <s v="-"/>
    <n v="3211022400"/>
    <s v="-"/>
    <n v="517"/>
    <s v="Crédito BID N° 4507/OC-CR Programa Red Vial Cantonal II (PIV2) Ley N° 8982"/>
    <n v="0"/>
    <n v="81373344448.759995"/>
    <n v="9587673499.3199997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0"/>
    <n v="0"/>
    <n v="9587673499.3199997"/>
    <n v="71785670949.440002"/>
    <n v="11.78"/>
    <n v="88.22"/>
  </r>
  <r>
    <s v="I3211022500518"/>
    <x v="13"/>
    <x v="308"/>
    <n v="3"/>
    <x v="2"/>
    <n v="32"/>
    <x v="7"/>
    <n v="321"/>
    <x v="16"/>
    <n v="3211"/>
    <x v="37"/>
    <n v="321102"/>
    <s v="Banco Interamericano de Desarrollo"/>
    <n v="32110225"/>
    <s v="-"/>
    <n v="321102250"/>
    <s v="-"/>
    <n v="3211022500"/>
    <s v="-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s v="I3211022600519"/>
    <x v="13"/>
    <x v="318"/>
    <n v="3"/>
    <x v="2"/>
    <n v="32"/>
    <x v="7"/>
    <n v="321"/>
    <x v="16"/>
    <n v="3211"/>
    <x v="37"/>
    <n v="321102"/>
    <s v="Banco Interamericano de Desarrollo"/>
    <n v="32110226"/>
    <n v="0"/>
    <n v="321102260"/>
    <n v="0"/>
    <n v="3211022600"/>
    <n v="0"/>
    <n v="519"/>
    <s v="Crédito BID N.°4988/OC-CR Programa hacia una Economía Verde: Apoyo al Plan de Descarbonización de Costa Rica. Ley Nº 9846"/>
    <n v="0"/>
    <n v="131612900000"/>
    <n v="44202103927.940002"/>
    <n v="0"/>
    <n v="0"/>
    <n v="0"/>
    <n v="0"/>
    <n v="0"/>
    <n v="0"/>
    <n v="0"/>
    <n v="0"/>
    <n v="14462154300.610001"/>
    <n v="29739949627.330002"/>
    <n v="0"/>
    <m/>
    <n v="44202103927.940002"/>
    <n v="87410796072.059998"/>
    <n v="33.58"/>
    <n v="66.42"/>
  </r>
  <r>
    <s v="I3211030200514"/>
    <x v="13"/>
    <x v="264"/>
    <n v="3"/>
    <x v="2"/>
    <n v="32"/>
    <x v="7"/>
    <n v="321"/>
    <x v="16"/>
    <n v="3211"/>
    <x v="37"/>
    <n v="321103"/>
    <s v="Banco Mundial"/>
    <n v="32110302"/>
    <s v="-"/>
    <n v="321103020"/>
    <s v="-"/>
    <n v="3211030200"/>
    <s v="-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s v="I3211030700538"/>
    <x v="13"/>
    <x v="223"/>
    <n v="3"/>
    <x v="2"/>
    <n v="32"/>
    <x v="7"/>
    <n v="321"/>
    <x v="16"/>
    <n v="3211"/>
    <x v="37"/>
    <n v="321103"/>
    <s v="Banco Mundial"/>
    <n v="32110307"/>
    <s v="-"/>
    <n v="321103070"/>
    <s v="-"/>
    <n v="3211030700"/>
    <s v="-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s v="I3211090100650"/>
    <x v="13"/>
    <x v="193"/>
    <n v="3"/>
    <x v="2"/>
    <n v="32"/>
    <x v="7"/>
    <n v="321"/>
    <x v="16"/>
    <n v="3211"/>
    <x v="37"/>
    <n v="321109"/>
    <s v="Otros Créditos de organismos internacionales de desarrollo"/>
    <n v="32110901"/>
    <s v="-"/>
    <n v="321109010"/>
    <s v="-"/>
    <n v="3211090100"/>
    <s v="-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s v="I3211090200661"/>
    <x v="13"/>
    <x v="319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1"/>
    <s v="Contrato Préstamo para financiar el Programa de Apoyo para el Fortalecimiento de las Finanzas Públicas"/>
    <n v="0"/>
    <n v="290710000000"/>
    <n v="290663994583.40002"/>
    <n v="0"/>
    <n v="0"/>
    <n v="0"/>
    <n v="0"/>
    <n v="31390875000"/>
    <n v="147173742242.17001"/>
    <n v="14582501403.790001"/>
    <n v="15200861552.01"/>
    <n v="82292264385.429993"/>
    <n v="23750000"/>
    <n v="0"/>
    <n v="0"/>
    <n v="290663994583.40002"/>
    <n v="46005416.600000001"/>
    <n v="99.98"/>
    <n v="0.02"/>
  </r>
  <r>
    <s v="I3211090200662"/>
    <x v="13"/>
    <x v="320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2"/>
    <s v="AFD Contrato de Préstamo N.° CCR 1011 01F Ley Nº 9846. Programa de Apoyo Presupuestario para el Fortalecimiento de las Políticas"/>
    <n v="0"/>
    <n v="85728857988.899994"/>
    <n v="0"/>
    <n v="0"/>
    <n v="0"/>
    <n v="0"/>
    <n v="0"/>
    <n v="0"/>
    <n v="0"/>
    <n v="0"/>
    <n v="0"/>
    <n v="0"/>
    <n v="0"/>
    <n v="0"/>
    <m/>
    <n v="0"/>
    <n v="85728857988.899994"/>
    <n v="0"/>
    <n v="100"/>
  </r>
  <r>
    <s v="I3211090200663"/>
    <x v="13"/>
    <x v="321"/>
    <n v="3"/>
    <x v="2"/>
    <n v="32"/>
    <x v="7"/>
    <n v="321"/>
    <x v="16"/>
    <n v="3211"/>
    <x v="37"/>
    <n v="321109"/>
    <s v="Otros Créditos de organismos internacionales de desarrollo"/>
    <n v="32110902"/>
    <s v="-"/>
    <n v="321109020"/>
    <s v="-"/>
    <n v="3211090200"/>
    <s v="-"/>
    <n v="663"/>
    <s v="FMI Crédito Instrumento de Financiamiento Rápido ( IFR) para apoyo presupuestario en la atención de l a emergencia COVID-19"/>
    <n v="0"/>
    <n v="280674302377.97998"/>
    <n v="68092293798.68"/>
    <n v="0"/>
    <n v="0"/>
    <n v="0"/>
    <n v="0"/>
    <n v="0"/>
    <n v="0"/>
    <n v="0"/>
    <n v="0"/>
    <n v="0"/>
    <n v="68092293798.68"/>
    <n v="0"/>
    <n v="0"/>
    <n v="68092293798.68"/>
    <n v="212582008579.29999"/>
    <n v="24.26"/>
    <n v="75.739999999999995"/>
  </r>
  <r>
    <s v="I3212001000511"/>
    <x v="13"/>
    <x v="247"/>
    <n v="3"/>
    <x v="2"/>
    <n v="32"/>
    <x v="7"/>
    <n v="321"/>
    <x v="16"/>
    <n v="3212"/>
    <x v="38"/>
    <n v="321200"/>
    <s v="-"/>
    <n v="32120010"/>
    <s v="-"/>
    <n v="321200100"/>
    <s v="-"/>
    <n v="3212001000"/>
    <s v="-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s v="I3212002000512"/>
    <x v="13"/>
    <x v="247"/>
    <n v="3"/>
    <x v="2"/>
    <n v="32"/>
    <x v="7"/>
    <n v="321"/>
    <x v="16"/>
    <n v="3212"/>
    <x v="38"/>
    <n v="321200"/>
    <s v="-"/>
    <n v="32120020"/>
    <s v="-"/>
    <n v="321200200"/>
    <s v="-"/>
    <n v="3212002000"/>
    <s v="-"/>
    <n v="512"/>
    <s v="Cred EXIMBANK Ley 9293Proyecto Rehabilitación y Ampliación de la Ruta Nacional N°_x000a_32, Tramo: Ruta N° 4 - Limón"/>
    <n v="0"/>
    <n v="135472932272.55"/>
    <n v="15201182603.24"/>
    <n v="0"/>
    <n v="0"/>
    <n v="958422120.28999996"/>
    <n v="2118061750.1300001"/>
    <n v="0"/>
    <n v="2448916885.1399999"/>
    <n v="0"/>
    <n v="3486382226.3899999"/>
    <n v="1333723741.03"/>
    <n v="4855675880.2600002"/>
    <n v="0"/>
    <n v="0"/>
    <n v="15201182603.24"/>
    <n v="120271749669.31"/>
    <n v="11.22"/>
    <n v="88.78"/>
  </r>
  <r>
    <s v="I3212030000694"/>
    <x v="13"/>
    <x v="309"/>
    <n v="3"/>
    <x v="2"/>
    <n v="32"/>
    <x v="7"/>
    <n v="321"/>
    <x v="16"/>
    <n v="3212"/>
    <x v="38"/>
    <n v="321203"/>
    <s v="-"/>
    <n v="32120300"/>
    <s v="-"/>
    <n v="321203000"/>
    <s v="-"/>
    <n v="3212030000"/>
    <s v="-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m/>
    <n v="0"/>
    <n v="50786692666.699997"/>
    <n v="0"/>
    <n v="100"/>
  </r>
  <r>
    <s v="I3311030000980"/>
    <x v="13"/>
    <x v="113"/>
    <n v="3"/>
    <x v="2"/>
    <n v="33"/>
    <x v="8"/>
    <n v="331"/>
    <x v="17"/>
    <n v="3311"/>
    <x v="35"/>
    <n v="331103"/>
    <s v="-"/>
    <n v="33110300"/>
    <s v="-"/>
    <n v="331103000"/>
    <s v="-"/>
    <n v="3311030000"/>
    <s v="-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  <r>
    <s v="I3321010000922"/>
    <x v="13"/>
    <x v="232"/>
    <n v="3"/>
    <x v="2"/>
    <n v="33"/>
    <x v="8"/>
    <n v="332"/>
    <x v="22"/>
    <n v="3321"/>
    <x v="35"/>
    <n v="332101"/>
    <s v="-"/>
    <n v="33210100"/>
    <s v="-"/>
    <n v="332101000"/>
    <s v="-"/>
    <n v="3321010000"/>
    <s v="-"/>
    <n v="922"/>
    <s v="Superávit Específico Colocación Títulos en el Exterior"/>
    <n v="0"/>
    <n v="601664170000.87"/>
    <n v="601664170000.87"/>
    <n v="0"/>
    <n v="0"/>
    <n v="601664170000.87"/>
    <n v="0"/>
    <n v="0"/>
    <n v="0"/>
    <n v="0"/>
    <n v="0"/>
    <n v="0"/>
    <n v="0"/>
    <n v="0"/>
    <m/>
    <n v="601664170000.87"/>
    <n v="0"/>
    <n v="100"/>
    <n v="0"/>
  </r>
  <r>
    <m/>
    <x v="14"/>
    <x v="322"/>
    <m/>
    <x v="3"/>
    <m/>
    <x v="12"/>
    <m/>
    <x v="26"/>
    <m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618">
  <r>
    <x v="0"/>
    <x v="0"/>
    <x v="0"/>
    <n v="1"/>
    <x v="0"/>
    <n v="11"/>
    <x v="0"/>
    <n v="111"/>
    <x v="0"/>
    <n v="1111"/>
    <x v="0"/>
    <n v="111101"/>
    <x v="0"/>
    <n v="11110101"/>
    <x v="0"/>
    <n v="111101010"/>
    <x v="0"/>
    <n v="1111010101"/>
    <x v="0"/>
    <n v="1"/>
    <s v="Ingresos corrientes"/>
    <n v="0"/>
    <n v="0"/>
    <n v="0"/>
    <n v="6596149988.7700005"/>
    <n v="973447360.88999999"/>
    <n v="3228097756.4400001"/>
    <n v="3920917810.5500002"/>
    <n v="3820586971.04"/>
    <n v="4875910999.5699997"/>
    <n v="1051165033.09"/>
    <n v="4189054132.3299999"/>
    <n v="3438055560.96"/>
    <n v="4143437463.3099999"/>
    <n v="1086614742.29"/>
    <n v="25482796120.549999"/>
    <n v="62806233939.790001"/>
    <n v="-62806233939.790001"/>
    <n v="0"/>
    <n v="100"/>
  </r>
  <r>
    <x v="1"/>
    <x v="0"/>
    <x v="1"/>
    <n v="1"/>
    <x v="0"/>
    <n v="11"/>
    <x v="0"/>
    <n v="111"/>
    <x v="0"/>
    <n v="1111"/>
    <x v="0"/>
    <n v="111102"/>
    <x v="1"/>
    <n v="11110201"/>
    <x v="0"/>
    <n v="111102010"/>
    <x v="0"/>
    <n v="1111020101"/>
    <x v="0"/>
    <n v="1"/>
    <s v="Ingresos corrientes"/>
    <n v="0"/>
    <n v="0"/>
    <n v="0"/>
    <n v="6349533772.9200001"/>
    <n v="0"/>
    <n v="6147030203.9300003"/>
    <n v="0"/>
    <n v="4425156823.1099997"/>
    <n v="0"/>
    <n v="0"/>
    <n v="10796855552.120001"/>
    <n v="4461258176.96"/>
    <n v="4430551333.0200005"/>
    <n v="0"/>
    <n v="7960324653.2399998"/>
    <n v="44570710515.300003"/>
    <n v="-44570710515.300003"/>
    <n v="0"/>
    <n v="100"/>
  </r>
  <r>
    <x v="2"/>
    <x v="0"/>
    <x v="2"/>
    <n v="1"/>
    <x v="0"/>
    <n v="11"/>
    <x v="0"/>
    <n v="111"/>
    <x v="0"/>
    <n v="1111"/>
    <x v="0"/>
    <n v="111103"/>
    <x v="2"/>
    <n v="11110301"/>
    <x v="0"/>
    <n v="111103010"/>
    <x v="0"/>
    <n v="1111030101"/>
    <x v="0"/>
    <n v="1"/>
    <s v="Ingresos corrientes"/>
    <n v="0"/>
    <n v="0"/>
    <n v="0"/>
    <n v="2955.59"/>
    <n v="0"/>
    <n v="7247486.4400000004"/>
    <n v="0"/>
    <n v="0"/>
    <n v="0"/>
    <n v="0"/>
    <n v="318048015.97000003"/>
    <n v="48353099.109999999"/>
    <n v="38772844.789999999"/>
    <n v="0"/>
    <n v="-406369060.31"/>
    <n v="6055341.5899999999"/>
    <n v="-6055341.5899999999"/>
    <n v="0"/>
    <n v="100"/>
  </r>
  <r>
    <x v="3"/>
    <x v="0"/>
    <x v="3"/>
    <n v="1"/>
    <x v="0"/>
    <n v="11"/>
    <x v="0"/>
    <n v="111"/>
    <x v="0"/>
    <n v="1111"/>
    <x v="0"/>
    <n v="111103"/>
    <x v="2"/>
    <n v="11110301"/>
    <x v="0"/>
    <n v="111103010"/>
    <x v="0"/>
    <n v="1111030102"/>
    <x v="0"/>
    <n v="1"/>
    <s v="Ingresos corrientes"/>
    <n v="0"/>
    <n v="0"/>
    <n v="0"/>
    <n v="2571930531"/>
    <n v="0"/>
    <n v="283598708.82999998"/>
    <n v="238766707.50999999"/>
    <n v="1113097691.8399999"/>
    <n v="610353798.29999995"/>
    <n v="0"/>
    <n v="2559301869.3400002"/>
    <n v="150823891.44999999"/>
    <n v="500083770.13999999"/>
    <n v="0"/>
    <n v="7783104685.6099997"/>
    <n v="15811061654.02"/>
    <n v="-15811061654.02"/>
    <n v="0"/>
    <n v="100"/>
  </r>
  <r>
    <x v="4"/>
    <x v="0"/>
    <x v="4"/>
    <n v="1"/>
    <x v="0"/>
    <n v="11"/>
    <x v="0"/>
    <n v="111"/>
    <x v="0"/>
    <n v="1112"/>
    <x v="1"/>
    <n v="111201"/>
    <x v="3"/>
    <n v="11120101"/>
    <x v="0"/>
    <n v="111201010"/>
    <x v="0"/>
    <n v="1112010101"/>
    <x v="0"/>
    <n v="1"/>
    <s v="Ingresos corrientes"/>
    <n v="0"/>
    <n v="0"/>
    <n v="0"/>
    <n v="163947.91"/>
    <n v="0"/>
    <n v="169382448.62"/>
    <n v="0"/>
    <n v="0"/>
    <n v="4512758679.8500004"/>
    <n v="0"/>
    <n v="778967122.24000001"/>
    <n v="317315893.48000002"/>
    <n v="890400683.49000001"/>
    <n v="0"/>
    <n v="4222187873.1300001"/>
    <n v="10891176648.719999"/>
    <n v="-10891176648.719999"/>
    <n v="0"/>
    <n v="100"/>
  </r>
  <r>
    <x v="5"/>
    <x v="0"/>
    <x v="5"/>
    <n v="1"/>
    <x v="0"/>
    <n v="11"/>
    <x v="0"/>
    <n v="111"/>
    <x v="0"/>
    <n v="1112"/>
    <x v="1"/>
    <n v="111201"/>
    <x v="3"/>
    <n v="11120101"/>
    <x v="0"/>
    <n v="111201010"/>
    <x v="0"/>
    <n v="1112010102"/>
    <x v="0"/>
    <n v="1"/>
    <s v="Ingresos corrientes"/>
    <n v="0"/>
    <n v="0"/>
    <n v="0"/>
    <n v="5769588309.5100002"/>
    <n v="158722917"/>
    <n v="111849186.33"/>
    <n v="172341079"/>
    <n v="1094401857.0899999"/>
    <n v="20321693098.189999"/>
    <n v="191281880"/>
    <n v="196749676"/>
    <n v="-12831503799"/>
    <n v="277441389.94"/>
    <n v="214466982"/>
    <n v="-8171440914.3999996"/>
    <n v="7505591661.6599998"/>
    <n v="-7505591661.6599998"/>
    <n v="0"/>
    <n v="100"/>
  </r>
  <r>
    <x v="6"/>
    <x v="0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6729.1"/>
    <n v="0"/>
    <n v="5523.65"/>
    <n v="-5882.65"/>
    <n v="0"/>
    <n v="0"/>
    <n v="0"/>
    <n v="-48385.2"/>
    <n v="15427.82"/>
    <n v="23587.66"/>
    <n v="-2999.62"/>
    <n v="2999.62"/>
    <n v="0"/>
    <n v="100"/>
  </r>
  <r>
    <x v="7"/>
    <x v="0"/>
    <x v="7"/>
    <n v="1"/>
    <x v="0"/>
    <n v="11"/>
    <x v="0"/>
    <n v="111"/>
    <x v="0"/>
    <n v="1112"/>
    <x v="1"/>
    <n v="111202"/>
    <x v="4"/>
    <n v="11120201"/>
    <x v="0"/>
    <n v="111202010"/>
    <x v="0"/>
    <n v="1112020101"/>
    <x v="0"/>
    <n v="1"/>
    <s v="Ingresos corrientes"/>
    <n v="0"/>
    <n v="0"/>
    <n v="0"/>
    <n v="11743021.300000001"/>
    <n v="30343571.18"/>
    <n v="370996984.99000001"/>
    <n v="3814438203.6199999"/>
    <n v="107438492.66"/>
    <n v="6812267932.6800003"/>
    <n v="68413639.959999993"/>
    <n v="95075982.760000005"/>
    <n v="-6616060757.2700005"/>
    <n v="450473963.24000001"/>
    <n v="157227598.22999999"/>
    <n v="1825217020.3299999"/>
    <n v="7127575653.6800003"/>
    <n v="-7127575653.6800003"/>
    <n v="0"/>
    <n v="100"/>
  </r>
  <r>
    <x v="8"/>
    <x v="0"/>
    <x v="8"/>
    <n v="1"/>
    <x v="0"/>
    <n v="11"/>
    <x v="0"/>
    <n v="111"/>
    <x v="0"/>
    <n v="1112"/>
    <x v="1"/>
    <n v="111202"/>
    <x v="4"/>
    <n v="11120201"/>
    <x v="0"/>
    <n v="111202010"/>
    <x v="0"/>
    <n v="1112020102"/>
    <x v="0"/>
    <n v="1"/>
    <s v="Ingresos corrientes"/>
    <n v="0"/>
    <n v="0"/>
    <n v="0"/>
    <n v="9522601964.6599998"/>
    <n v="21095593173.860001"/>
    <n v="61369365647.849998"/>
    <n v="6640200600.29"/>
    <n v="6403603262.3299999"/>
    <n v="8138588178.4099998"/>
    <n v="48417266879.150002"/>
    <n v="-6567549350.0200005"/>
    <n v="38250497478.559998"/>
    <n v="47952691104.169998"/>
    <n v="22216968250.130001"/>
    <n v="59272499956.559998"/>
    <n v="322712327145.95001"/>
    <n v="-322712327145.95001"/>
    <n v="0"/>
    <n v="100"/>
  </r>
  <r>
    <x v="9"/>
    <x v="0"/>
    <x v="9"/>
    <n v="1"/>
    <x v="0"/>
    <n v="11"/>
    <x v="0"/>
    <n v="111"/>
    <x v="0"/>
    <n v="1113"/>
    <x v="2"/>
    <n v="111301"/>
    <x v="5"/>
    <n v="11130101"/>
    <x v="1"/>
    <n v="111301011"/>
    <x v="0"/>
    <n v="1113010110"/>
    <x v="0"/>
    <n v="1"/>
    <s v="Ingresos corrientes"/>
    <n v="0"/>
    <n v="0"/>
    <n v="0"/>
    <n v="112698091.54000001"/>
    <n v="0"/>
    <n v="219689884.80000001"/>
    <n v="538303427.91999996"/>
    <n v="0"/>
    <n v="407421054.05000001"/>
    <n v="0"/>
    <n v="1166718.73"/>
    <n v="145771.62"/>
    <n v="130511.53"/>
    <n v="0"/>
    <n v="-1032835708.54"/>
    <n v="246719751.65000001"/>
    <n v="-246719751.65000001"/>
    <n v="0"/>
    <n v="100"/>
  </r>
  <r>
    <x v="10"/>
    <x v="0"/>
    <x v="10"/>
    <n v="1"/>
    <x v="0"/>
    <n v="11"/>
    <x v="0"/>
    <n v="111"/>
    <x v="0"/>
    <n v="1113"/>
    <x v="2"/>
    <n v="111301"/>
    <x v="5"/>
    <n v="11130102"/>
    <x v="2"/>
    <n v="111301021"/>
    <x v="0"/>
    <n v="1113010211"/>
    <x v="0"/>
    <n v="1"/>
    <s v="Ingresos corrientes"/>
    <n v="0"/>
    <n v="0"/>
    <n v="0"/>
    <n v="2031674.8"/>
    <n v="0"/>
    <n v="9462302.0299999993"/>
    <n v="3705597.13"/>
    <n v="0"/>
    <n v="20340707.739999998"/>
    <n v="0"/>
    <n v="827572.13"/>
    <n v="7863843.4699999997"/>
    <n v="3244540.42"/>
    <n v="0"/>
    <n v="-26351689.07"/>
    <n v="21124548.649999999"/>
    <n v="-21124548.649999999"/>
    <n v="0"/>
    <n v="100"/>
  </r>
  <r>
    <x v="11"/>
    <x v="0"/>
    <x v="11"/>
    <n v="1"/>
    <x v="0"/>
    <n v="11"/>
    <x v="0"/>
    <n v="111"/>
    <x v="0"/>
    <n v="1113"/>
    <x v="2"/>
    <n v="111301"/>
    <x v="5"/>
    <n v="11130102"/>
    <x v="2"/>
    <n v="111301021"/>
    <x v="0"/>
    <n v="1113010212"/>
    <x v="0"/>
    <n v="1"/>
    <s v="Ingresos corrientes"/>
    <n v="0"/>
    <n v="0"/>
    <n v="0"/>
    <n v="167581953.5"/>
    <n v="0"/>
    <n v="417454652.75"/>
    <n v="866441585.85000002"/>
    <n v="0"/>
    <n v="2439167177.9699998"/>
    <n v="0"/>
    <n v="625805859.45000005"/>
    <n v="287677270.38"/>
    <n v="243202204.06999999"/>
    <n v="0"/>
    <n v="373445360.30000001"/>
    <n v="5420776064.2700005"/>
    <n v="-5420776064.2700005"/>
    <n v="0"/>
    <n v="100"/>
  </r>
  <r>
    <x v="12"/>
    <x v="0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429961328.99000001"/>
    <n v="-233768411.87"/>
    <n v="-2478924503.21"/>
    <n v="13885029619.51"/>
    <n v="-260063779.44"/>
    <n v="576911811.63999999"/>
    <n v="-489397048.29000002"/>
    <n v="675343284.00999999"/>
    <n v="-556267340.12"/>
    <n v="-248607532.97"/>
    <n v="-47672123.770000003"/>
    <n v="15790660861.639999"/>
    <n v="27043206166.119999"/>
    <n v="-27043206166.119999"/>
    <n v="0"/>
    <n v="100"/>
  </r>
  <r>
    <x v="13"/>
    <x v="0"/>
    <x v="13"/>
    <n v="1"/>
    <x v="0"/>
    <n v="11"/>
    <x v="0"/>
    <n v="111"/>
    <x v="0"/>
    <n v="1113"/>
    <x v="2"/>
    <n v="111302"/>
    <x v="6"/>
    <n v="11130202"/>
    <x v="2"/>
    <n v="111302021"/>
    <x v="0"/>
    <n v="1113020211"/>
    <x v="0"/>
    <n v="1"/>
    <s v="Ingresos corrientes"/>
    <n v="0"/>
    <n v="0"/>
    <n v="0"/>
    <n v="254336408.09"/>
    <n v="0"/>
    <n v="-230044801.63999999"/>
    <n v="-24291606.449999999"/>
    <n v="0"/>
    <n v="530295367.74000001"/>
    <n v="0"/>
    <n v="30792850.420000002"/>
    <n v="60536132.490000002"/>
    <n v="79792962.170000002"/>
    <n v="0"/>
    <n v="-336923726.91000003"/>
    <n v="364493585.91000003"/>
    <n v="-364493585.91000003"/>
    <n v="0"/>
    <n v="100"/>
  </r>
  <r>
    <x v="14"/>
    <x v="0"/>
    <x v="14"/>
    <n v="1"/>
    <x v="0"/>
    <n v="11"/>
    <x v="0"/>
    <n v="111"/>
    <x v="0"/>
    <n v="1113"/>
    <x v="2"/>
    <n v="111302"/>
    <x v="6"/>
    <n v="11130202"/>
    <x v="2"/>
    <n v="111302021"/>
    <x v="0"/>
    <n v="1113020212"/>
    <x v="0"/>
    <n v="1"/>
    <s v="Ingresos corrientes"/>
    <n v="0"/>
    <n v="0"/>
    <n v="0"/>
    <n v="238788880.03999999"/>
    <n v="0"/>
    <n v="1059525250.8099999"/>
    <n v="7259869793.4899998"/>
    <n v="0"/>
    <n v="-5565832107.1199999"/>
    <n v="0"/>
    <n v="525321144.79000002"/>
    <n v="790851604.13999999"/>
    <n v="824605242.97000003"/>
    <n v="0"/>
    <n v="227273861.02000001"/>
    <n v="5360403670.1400003"/>
    <n v="-5360403670.1400003"/>
    <n v="0"/>
    <n v="100"/>
  </r>
  <r>
    <x v="15"/>
    <x v="0"/>
    <x v="15"/>
    <n v="1"/>
    <x v="0"/>
    <n v="11"/>
    <x v="0"/>
    <n v="111"/>
    <x v="0"/>
    <n v="1114"/>
    <x v="3"/>
    <n v="111401"/>
    <x v="7"/>
    <n v="11140101"/>
    <x v="0"/>
    <n v="111401011"/>
    <x v="0"/>
    <n v="1114010110"/>
    <x v="0"/>
    <n v="1"/>
    <s v="Ingresos corrientes"/>
    <n v="0"/>
    <n v="0"/>
    <n v="0"/>
    <n v="4677089.38"/>
    <n v="0"/>
    <n v="24984526.920000002"/>
    <n v="19886755.140000001"/>
    <n v="0"/>
    <n v="39687178.030000001"/>
    <n v="0"/>
    <n v="89101978.140000001"/>
    <n v="81770950.019999996"/>
    <n v="2074001.39"/>
    <n v="0"/>
    <n v="-146077046.30000001"/>
    <n v="116105432.72"/>
    <n v="-116105432.72"/>
    <n v="0"/>
    <n v="100"/>
  </r>
  <r>
    <x v="16"/>
    <x v="0"/>
    <x v="16"/>
    <n v="1"/>
    <x v="0"/>
    <n v="11"/>
    <x v="0"/>
    <n v="111"/>
    <x v="0"/>
    <n v="1114"/>
    <x v="3"/>
    <n v="111401"/>
    <x v="7"/>
    <n v="11140101"/>
    <x v="0"/>
    <n v="111401012"/>
    <x v="0"/>
    <n v="1114010120"/>
    <x v="0"/>
    <n v="1"/>
    <s v="Ingresos corrientes"/>
    <n v="0"/>
    <n v="0"/>
    <n v="0"/>
    <n v="385788008.32999998"/>
    <n v="0"/>
    <n v="1102258940.3199999"/>
    <n v="3208315192.6900001"/>
    <n v="1657616947.96"/>
    <n v="2550914820.9499998"/>
    <n v="0"/>
    <n v="1957514548.0599999"/>
    <n v="1366900713.8299999"/>
    <n v="2410770977.7399998"/>
    <n v="0"/>
    <n v="-5314263579"/>
    <n v="9325816570.8799992"/>
    <n v="-9325816570.8799992"/>
    <n v="0"/>
    <n v="100"/>
  </r>
  <r>
    <x v="17"/>
    <x v="0"/>
    <x v="17"/>
    <n v="1"/>
    <x v="0"/>
    <n v="11"/>
    <x v="0"/>
    <n v="111"/>
    <x v="0"/>
    <n v="1114"/>
    <x v="3"/>
    <n v="111401"/>
    <x v="7"/>
    <n v="11140101"/>
    <x v="0"/>
    <n v="111401013"/>
    <x v="0"/>
    <n v="1114010130"/>
    <x v="0"/>
    <n v="1"/>
    <s v="Ingresos corrientes"/>
    <n v="0"/>
    <n v="0"/>
    <n v="0"/>
    <n v="259440657.96000001"/>
    <n v="0"/>
    <n v="580075316.01999998"/>
    <n v="1977457735.1500001"/>
    <n v="0"/>
    <n v="613526772.15999997"/>
    <n v="0"/>
    <n v="229601504.44"/>
    <n v="401714361.36000001"/>
    <n v="145003414.00999999"/>
    <n v="0"/>
    <n v="7425826447.8999996"/>
    <n v="11632646209"/>
    <n v="-11632646209"/>
    <n v="0"/>
    <n v="100"/>
  </r>
  <r>
    <x v="18"/>
    <x v="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1037147500"/>
    <n v="-452537529"/>
    <n v="0"/>
    <n v="0"/>
    <n v="0"/>
    <n v="0"/>
    <n v="405531"/>
    <n v="0"/>
    <n v="0"/>
    <n v="100000"/>
    <n v="0"/>
    <n v="4629541.5"/>
    <n v="589745043.5"/>
    <n v="-589745043.5"/>
    <n v="0"/>
    <n v="100"/>
  </r>
  <r>
    <x v="19"/>
    <x v="0"/>
    <x v="19"/>
    <n v="1"/>
    <x v="0"/>
    <n v="11"/>
    <x v="0"/>
    <n v="112"/>
    <x v="1"/>
    <n v="1122"/>
    <x v="5"/>
    <n v="112201"/>
    <x v="9"/>
    <n v="11220101"/>
    <x v="0"/>
    <n v="112201010"/>
    <x v="0"/>
    <n v="1122010100"/>
    <x v="0"/>
    <n v="1"/>
    <s v="Ingresos corrientes"/>
    <n v="0"/>
    <n v="0"/>
    <n v="0"/>
    <n v="5980389421.5"/>
    <n v="2300109455.1500001"/>
    <n v="708566271.00999999"/>
    <n v="883342003.60000002"/>
    <n v="439965280.20999998"/>
    <n v="543759660.20000005"/>
    <n v="437830965"/>
    <n v="361843102.37"/>
    <n v="365168577.5"/>
    <n v="280361117.72000003"/>
    <n v="263217589.50999999"/>
    <n v="13687882755.049999"/>
    <n v="26252436198.82"/>
    <n v="-26252436198.82"/>
    <n v="0"/>
    <n v="100"/>
  </r>
  <r>
    <x v="20"/>
    <x v="0"/>
    <x v="20"/>
    <n v="1"/>
    <x v="0"/>
    <n v="11"/>
    <x v="0"/>
    <n v="112"/>
    <x v="1"/>
    <n v="1122"/>
    <x v="5"/>
    <n v="112201"/>
    <x v="9"/>
    <n v="11220102"/>
    <x v="0"/>
    <n v="112201020"/>
    <x v="0"/>
    <n v="1122010200"/>
    <x v="0"/>
    <n v="1"/>
    <s v="Ingresos corrientes"/>
    <n v="0"/>
    <n v="0"/>
    <n v="0"/>
    <n v="5980389421.5"/>
    <n v="2300109455.1500001"/>
    <n v="708566270.98000002"/>
    <n v="883342003.60000002"/>
    <n v="439965280.19"/>
    <n v="543759660.17999995"/>
    <n v="437792210"/>
    <n v="361843102.36000001"/>
    <n v="365168577.5"/>
    <n v="280361117.70999998"/>
    <n v="263217589.5"/>
    <n v="13694048246.549999"/>
    <n v="26258562935.220001"/>
    <n v="-26258562935.220001"/>
    <n v="0"/>
    <n v="100"/>
  </r>
  <r>
    <x v="21"/>
    <x v="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2282851"/>
    <n v="2363843"/>
    <n v="804463"/>
    <n v="743360"/>
    <n v="519191"/>
    <n v="651938"/>
    <n v="603811"/>
    <n v="808434"/>
    <n v="1474052"/>
    <n v="1224244"/>
    <n v="1344637"/>
    <n v="11865918"/>
    <n v="34686742"/>
    <n v="-34686742"/>
    <n v="0"/>
    <n v="100"/>
  </r>
  <r>
    <x v="22"/>
    <x v="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2805048.26"/>
    <n v="6078201.2000000002"/>
    <n v="8468521.0800000001"/>
    <n v="287850354"/>
    <n v="396749288.49000001"/>
    <n v="45407707.149999999"/>
    <n v="215747406.41"/>
    <n v="209426107.72"/>
    <n v="169858152.22"/>
    <n v="222483690.66"/>
    <n v="29250379.41"/>
    <n v="25316633.600000001"/>
    <n v="1629441490.2"/>
    <n v="-1629441490.2"/>
    <n v="0"/>
    <n v="100"/>
  </r>
  <r>
    <x v="23"/>
    <x v="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942277210"/>
    <n v="1272757330.9200001"/>
    <n v="1829385836.3299999"/>
    <n v="997408489.92999995"/>
    <n v="1930542306.23"/>
    <n v="1478955623.9400001"/>
    <n v="2069108410.97"/>
    <n v="1563493641.75"/>
    <n v="1713353440.95"/>
    <n v="2025975040.8199999"/>
    <n v="1792130890.3"/>
    <n v="1750270443.3599999"/>
    <n v="19365658665.5"/>
    <n v="-19365658665.5"/>
    <n v="0"/>
    <n v="100"/>
  </r>
  <r>
    <x v="24"/>
    <x v="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67983338.75"/>
    <n v="804239502.05999994"/>
    <n v="903383174.54999995"/>
    <n v="632459598.28999996"/>
    <n v="934667082.38999999"/>
    <n v="823474997.11000001"/>
    <n v="847854619.55999994"/>
    <n v="901916531.07000005"/>
    <n v="831828116.11000001"/>
    <n v="939042954.53999996"/>
    <n v="1002206298.2"/>
    <n v="648442789.65999997"/>
    <n v="9937499002.2900009"/>
    <n v="-9937499002.2900009"/>
    <n v="0"/>
    <n v="100"/>
  </r>
  <r>
    <x v="25"/>
    <x v="0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37376084182.32"/>
    <n v="29796522676.34"/>
    <n v="28794200635.57"/>
    <n v="30835157692.150002"/>
    <n v="28423452979.389999"/>
    <n v="26569054418.740002"/>
    <n v="30476724866.880001"/>
    <n v="30178867152.119999"/>
    <n v="31384532545.32"/>
    <n v="30690116453.799999"/>
    <n v="32418672146.310001"/>
    <n v="50104105873.860001"/>
    <n v="387047491622.79999"/>
    <n v="-387047491622.79999"/>
    <n v="0"/>
    <n v="100"/>
  </r>
  <r>
    <x v="26"/>
    <x v="0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29475461474.619999"/>
    <n v="27813362701.860001"/>
    <n v="33714045439.310001"/>
    <n v="26829356885.529999"/>
    <n v="34338745841.529999"/>
    <n v="28751665573.200001"/>
    <n v="35456333224.089996"/>
    <n v="36997001943.68"/>
    <n v="34530386965.559998"/>
    <n v="40303451549.260002"/>
    <n v="44950622065.160004"/>
    <n v="37642422776.650002"/>
    <n v="410802856440.45001"/>
    <n v="-410802856440.45001"/>
    <n v="0"/>
    <n v="100"/>
  </r>
  <r>
    <x v="27"/>
    <x v="0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054832360.0999999"/>
    <n v="1689782445.9000001"/>
    <n v="1138975298.1500001"/>
    <n v="1830969934.1199999"/>
    <n v="1479746129.24"/>
    <n v="1528001327.96"/>
    <n v="1512389643"/>
    <n v="1667292128"/>
    <n v="1848030127.27"/>
    <n v="1796851153"/>
    <n v="1879161072.7"/>
    <n v="1626156073.77"/>
    <n v="20052187693.209999"/>
    <n v="-20052187693.209999"/>
    <n v="0"/>
    <n v="100"/>
  </r>
  <r>
    <x v="28"/>
    <x v="0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9609546374.6000004"/>
    <n v="9098257668.7999992"/>
    <n v="11550313681.18"/>
    <n v="8925887123.3199997"/>
    <n v="11367292083.549999"/>
    <n v="5356521998.3000002"/>
    <n v="12057350105.639999"/>
    <n v="12150256795.9"/>
    <n v="10493154286.9"/>
    <n v="12585782668.5"/>
    <n v="14855936613.969999"/>
    <n v="15540417255.32"/>
    <n v="133590716655.98"/>
    <n v="-133590716655.98"/>
    <n v="0"/>
    <n v="100"/>
  </r>
  <r>
    <x v="29"/>
    <x v="0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4000"/>
    <n v="0"/>
    <n v="0"/>
    <n v="0"/>
    <n v="0"/>
    <n v="0"/>
    <n v="5000"/>
    <n v="0"/>
    <n v="0"/>
    <n v="75"/>
    <n v="0"/>
    <n v="0"/>
    <n v="9075"/>
    <n v="-9075"/>
    <n v="0"/>
    <n v="100"/>
  </r>
  <r>
    <x v="30"/>
    <x v="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1312833416"/>
    <n v="13134471017"/>
    <n v="9744040474"/>
    <n v="14009982675"/>
    <n v="14212604508"/>
    <n v="10825463988"/>
    <n v="15950159050"/>
    <n v="16332252434.82"/>
    <n v="12693218530.41"/>
    <n v="12046640534.27"/>
    <n v="14155297155"/>
    <n v="10366327559.51"/>
    <n v="154783291342.01001"/>
    <n v="-154783291342.01001"/>
    <n v="0"/>
    <n v="100"/>
  </r>
  <r>
    <x v="31"/>
    <x v="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5870437837"/>
    <n v="13425125936"/>
    <n v="2567612036.5100002"/>
    <n v="11556213160"/>
    <n v="5765823921"/>
    <n v="15235394998.360001"/>
    <n v="7333687550"/>
    <n v="8968595323"/>
    <n v="5663305123"/>
    <n v="5041732553"/>
    <n v="5910744500.4300003"/>
    <n v="8454788681"/>
    <n v="95793461619.300003"/>
    <n v="-95793461619.300003"/>
    <n v="0"/>
    <n v="100"/>
  </r>
  <r>
    <x v="32"/>
    <x v="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1937226416"/>
    <n v="1718613163"/>
    <n v="1581897231"/>
    <n v="2332310917"/>
    <n v="1495504116"/>
    <n v="186242390"/>
    <n v="1516993270"/>
    <n v="1640253451"/>
    <n v="1694144987"/>
    <n v="1601975323"/>
    <n v="1758596853"/>
    <n v="2366223785"/>
    <n v="19829981902"/>
    <n v="-19829981902"/>
    <n v="0"/>
    <n v="100"/>
  </r>
  <r>
    <x v="33"/>
    <x v="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96303608.83999997"/>
    <n v="319053096"/>
    <n v="442704170"/>
    <n v="210372532"/>
    <n v="308316653"/>
    <n v="48915469.07"/>
    <n v="198919829"/>
    <n v="332053756"/>
    <n v="218203271"/>
    <n v="551943641"/>
    <n v="513032698.37"/>
    <n v="532387679.30000001"/>
    <n v="3972206403.5799999"/>
    <n v="-3972206403.5799999"/>
    <n v="0"/>
    <n v="100"/>
  </r>
  <r>
    <x v="34"/>
    <x v="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727554632"/>
    <n v="1300868749"/>
    <n v="1435538531"/>
    <n v="1661523315"/>
    <n v="1461892960.7"/>
    <n v="1251725538"/>
    <n v="1449203980"/>
    <n v="1541731169"/>
    <n v="1536557477"/>
    <n v="1381541388"/>
    <n v="1495816117"/>
    <n v="675797472"/>
    <n v="16919751328.700001"/>
    <n v="-16919751328.700001"/>
    <n v="0"/>
    <n v="100"/>
  </r>
  <r>
    <x v="35"/>
    <x v="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00664489"/>
    <n v="89757181"/>
    <n v="172370110"/>
    <n v="124652037"/>
    <n v="104722404"/>
    <n v="119752803.86"/>
    <n v="107497865"/>
    <n v="100973548"/>
    <n v="89447616"/>
    <n v="108484905"/>
    <n v="100296065"/>
    <n v="124793225.72"/>
    <n v="1343412249.5799999"/>
    <n v="-1343412249.5799999"/>
    <n v="0"/>
    <n v="100"/>
  </r>
  <r>
    <x v="36"/>
    <x v="0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3067066"/>
    <n v="66087208"/>
    <n v="67105715.740000002"/>
    <n v="60344830"/>
    <n v="88049977"/>
    <n v="77779995.549999997"/>
    <n v="89859596"/>
    <n v="75764197"/>
    <n v="68031276"/>
    <n v="74462604"/>
    <n v="67939269"/>
    <n v="74719348"/>
    <n v="883211082.28999996"/>
    <n v="-883211082.28999996"/>
    <n v="0"/>
    <n v="100"/>
  </r>
  <r>
    <x v="37"/>
    <x v="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49450688.119999997"/>
    <n v="27742326.739999998"/>
    <n v="37386722"/>
    <n v="42657441"/>
    <n v="27327084"/>
    <n v="33112063"/>
    <n v="27975747"/>
    <n v="39003381"/>
    <n v="34383729"/>
    <n v="26439330.670000002"/>
    <n v="73772701.799999997"/>
    <n v="23025388.690000001"/>
    <n v="442276603.01999998"/>
    <n v="-442276603.01999998"/>
    <n v="0"/>
    <n v="100"/>
  </r>
  <r>
    <x v="38"/>
    <x v="0"/>
    <x v="34"/>
    <n v="1"/>
    <x v="0"/>
    <n v="11"/>
    <x v="0"/>
    <n v="114"/>
    <x v="3"/>
    <n v="1141"/>
    <x v="11"/>
    <n v="114101"/>
    <x v="18"/>
    <n v="11410101"/>
    <x v="13"/>
    <n v="114101011"/>
    <x v="0"/>
    <n v="1141010110"/>
    <x v="0"/>
    <n v="1"/>
    <s v="Ingresos corrientes"/>
    <n v="0"/>
    <n v="0"/>
    <n v="0"/>
    <n v="0"/>
    <n v="0"/>
    <n v="304169.59999999998"/>
    <n v="0"/>
    <n v="0"/>
    <n v="-70761.86"/>
    <n v="0"/>
    <n v="0"/>
    <n v="0"/>
    <n v="0"/>
    <n v="0"/>
    <n v="254136367.49000001"/>
    <n v="254369775.22999999"/>
    <n v="-254369775.22999999"/>
    <n v="0"/>
    <n v="100"/>
  </r>
  <r>
    <x v="39"/>
    <x v="0"/>
    <x v="34"/>
    <n v="1"/>
    <x v="0"/>
    <n v="11"/>
    <x v="0"/>
    <n v="114"/>
    <x v="3"/>
    <n v="1141"/>
    <x v="11"/>
    <n v="114101"/>
    <x v="18"/>
    <n v="11410101"/>
    <x v="13"/>
    <n v="114101012"/>
    <x v="0"/>
    <n v="1141010120"/>
    <x v="0"/>
    <n v="1"/>
    <s v="Ingresos corrientes"/>
    <n v="0"/>
    <n v="0"/>
    <n v="0"/>
    <n v="7676233322.3000002"/>
    <n v="7418780629.4300003"/>
    <n v="8407506031.4399996"/>
    <n v="6367698713.5"/>
    <n v="8378000673.9200001"/>
    <n v="7414937282.1199999"/>
    <n v="8983368175.7700005"/>
    <n v="9633715557.3199997"/>
    <n v="8811471536.7299995"/>
    <n v="11030551897.43"/>
    <n v="12560861833.120001"/>
    <n v="10627843197.24"/>
    <n v="107310968850.32001"/>
    <n v="-107310968850.32001"/>
    <n v="0"/>
    <n v="100"/>
  </r>
  <r>
    <x v="40"/>
    <x v="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905852009.1900001"/>
    <n v="1999273627.6199999"/>
    <n v="2271002299.9299998"/>
    <n v="1787825543.4100001"/>
    <n v="2189008032.9400001"/>
    <n v="2141901944"/>
    <n v="2350207894.5900002"/>
    <n v="2320482736.9699998"/>
    <n v="2278065641.1999998"/>
    <n v="2573172587.8200002"/>
    <n v="2887751029.1799998"/>
    <n v="2306120734.3800001"/>
    <n v="27010664081.23"/>
    <n v="-27010664081.23"/>
    <n v="0"/>
    <n v="100"/>
  </r>
  <r>
    <x v="41"/>
    <x v="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64030485"/>
    <n v="69725139"/>
    <n v="6713512"/>
    <n v="1549243"/>
    <n v="4175216"/>
    <n v="60538674"/>
    <n v="55349636"/>
    <n v="64437"/>
    <n v="448072354"/>
    <n v="551912389"/>
    <n v="195385580"/>
    <n v="802411215"/>
    <n v="2259927880"/>
    <n v="-2259927880"/>
    <n v="0"/>
    <n v="100"/>
  </r>
  <r>
    <x v="42"/>
    <x v="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6196620.91"/>
    <n v="13763038.42"/>
    <n v="13056677.83"/>
    <n v="13972496.640000001"/>
    <n v="16118960.220000001"/>
    <n v="15935954.01"/>
    <n v="13911541.630000001"/>
    <n v="12308909.33"/>
    <n v="14776412.83"/>
    <n v="14440755.039999999"/>
    <n v="15364116.720000001"/>
    <n v="12321677.41"/>
    <n v="172167160.99000001"/>
    <n v="-172167160.99000001"/>
    <n v="0"/>
    <n v="100"/>
  </r>
  <r>
    <x v="43"/>
    <x v="0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228"/>
    <n v="131"/>
    <n v="2418"/>
    <n v="2233"/>
    <n v="23807428"/>
    <n v="-23806298.079999998"/>
    <n v="14"/>
    <n v="5.6"/>
    <n v="39.049999999999997"/>
    <n v="63"/>
    <n v="0"/>
    <n v="-961.7"/>
    <n v="5299.87"/>
    <n v="-5299.87"/>
    <n v="0"/>
    <n v="100"/>
  </r>
  <r>
    <x v="44"/>
    <x v="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341949145.6399999"/>
    <n v="1876910133.28"/>
    <n v="2211019774.0799999"/>
    <n v="1967194791.1199999"/>
    <n v="1684578677.8599999"/>
    <n v="1807273896.22"/>
    <n v="1915896194.47"/>
    <n v="2444084647.1599998"/>
    <n v="1422828333.9400001"/>
    <n v="1526690129.9000001"/>
    <n v="1833227674.1400001"/>
    <n v="1767786628.3099999"/>
    <n v="22799440026.119999"/>
    <n v="-22799440026.119999"/>
    <n v="0"/>
    <n v="100"/>
  </r>
  <r>
    <x v="45"/>
    <x v="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475039070.06"/>
    <n v="353917401.63999999"/>
    <n v="336695715.86000001"/>
    <n v="354742664.04000002"/>
    <n v="295626049.37"/>
    <n v="224407338.44999999"/>
    <n v="90000824.120000005"/>
    <n v="467662552.22000003"/>
    <n v="238622132.75"/>
    <n v="287183061.57999998"/>
    <n v="214346865.78"/>
    <n v="368387252.02999997"/>
    <n v="3706630927.9000001"/>
    <n v="-3706630927.9000001"/>
    <n v="0"/>
    <n v="100"/>
  </r>
  <r>
    <x v="46"/>
    <x v="0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0"/>
    <n v="0"/>
    <n v="529623991.67000002"/>
    <n v="0"/>
    <n v="292304137.76999998"/>
    <n v="186298400.27000001"/>
    <n v="126050245.93000001"/>
    <n v="-1059252.97"/>
    <n v="298484453.49000001"/>
    <n v="87853197.040000007"/>
    <n v="124098182.73999999"/>
    <n v="231809758.53"/>
    <n v="1875463114.47"/>
    <n v="-1875463114.47"/>
    <n v="0"/>
    <n v="100"/>
  </r>
  <r>
    <x v="47"/>
    <x v="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65642931.09"/>
    <n v="148160039.28"/>
    <n v="172492375.47999999"/>
    <n v="202530457.37"/>
    <n v="253480004.19"/>
    <n v="167603403.24000001"/>
    <n v="244274398.86000001"/>
    <n v="325733956.85000002"/>
    <n v="429713227.47000003"/>
    <n v="232133402.62"/>
    <n v="290316171.76999998"/>
    <n v="393115235.05000001"/>
    <n v="3025195603.27"/>
    <n v="-3025195603.27"/>
    <n v="0"/>
    <n v="100"/>
  </r>
  <r>
    <x v="48"/>
    <x v="0"/>
    <x v="43"/>
    <n v="1"/>
    <x v="0"/>
    <n v="11"/>
    <x v="0"/>
    <n v="119"/>
    <x v="4"/>
    <n v="1199"/>
    <x v="15"/>
    <n v="119901"/>
    <x v="27"/>
    <n v="11990101"/>
    <x v="0"/>
    <n v="119901010"/>
    <x v="0"/>
    <n v="1199010100"/>
    <x v="0"/>
    <n v="1"/>
    <s v="Ingresos corrientes"/>
    <n v="0"/>
    <n v="0"/>
    <n v="0"/>
    <n v="2146114"/>
    <n v="0"/>
    <n v="0"/>
    <n v="0"/>
    <n v="0"/>
    <n v="0"/>
    <n v="0"/>
    <n v="5131366"/>
    <n v="4923438"/>
    <n v="2844158"/>
    <n v="9141406"/>
    <n v="8836940"/>
    <n v="33023422"/>
    <n v="-33023422"/>
    <n v="0"/>
    <n v="100"/>
  </r>
  <r>
    <x v="49"/>
    <x v="0"/>
    <x v="44"/>
    <n v="1"/>
    <x v="0"/>
    <n v="11"/>
    <x v="0"/>
    <n v="119"/>
    <x v="4"/>
    <n v="1199"/>
    <x v="15"/>
    <n v="119901"/>
    <x v="27"/>
    <n v="11990102"/>
    <x v="0"/>
    <n v="119901020"/>
    <x v="0"/>
    <n v="1199010200"/>
    <x v="0"/>
    <n v="1"/>
    <s v="Ingresos corrientes"/>
    <n v="0"/>
    <n v="0"/>
    <n v="0"/>
    <n v="235118.07999999999"/>
    <n v="1875"/>
    <n v="6075"/>
    <n v="310598.74"/>
    <n v="1250"/>
    <n v="6308.71"/>
    <n v="0"/>
    <n v="375060"/>
    <n v="238656.6"/>
    <n v="148938"/>
    <n v="403607.4"/>
    <n v="437792.7"/>
    <n v="2165280.23"/>
    <n v="-2165280.23"/>
    <n v="0"/>
    <n v="100"/>
  </r>
  <r>
    <x v="50"/>
    <x v="0"/>
    <x v="43"/>
    <n v="1"/>
    <x v="0"/>
    <n v="11"/>
    <x v="0"/>
    <n v="119"/>
    <x v="4"/>
    <n v="1199"/>
    <x v="15"/>
    <n v="119901"/>
    <x v="27"/>
    <n v="11990103"/>
    <x v="0"/>
    <n v="119901030"/>
    <x v="0"/>
    <n v="1199010300"/>
    <x v="0"/>
    <n v="1"/>
    <s v="Ingresos corrientes"/>
    <n v="0"/>
    <n v="0"/>
    <n v="0"/>
    <n v="100016"/>
    <n v="0"/>
    <n v="0"/>
    <n v="0"/>
    <n v="0"/>
    <n v="0"/>
    <n v="0"/>
    <n v="137921.5"/>
    <n v="168401"/>
    <n v="81921"/>
    <n v="235070.5"/>
    <n v="174464"/>
    <n v="897794"/>
    <n v="-897794"/>
    <n v="0"/>
    <n v="100"/>
  </r>
  <r>
    <x v="51"/>
    <x v="0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5372322244.9700003"/>
    <n v="-8089573131.2399998"/>
    <n v="3920640465.0599999"/>
    <n v="-772526054.89999998"/>
    <n v="6532585817.4899998"/>
    <n v="-2701920140.6900001"/>
    <n v="-233202596.68000001"/>
    <n v="-2583473883.7199998"/>
    <n v="2482831688.0100002"/>
    <n v="-41312082.460000001"/>
    <n v="-537277566.19000006"/>
    <n v="-3349094759.6500001"/>
    <n v="0"/>
    <n v="0"/>
    <n v="0"/>
    <n v="100"/>
  </r>
  <r>
    <x v="52"/>
    <x v="0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199599367.3199999"/>
    <n v="109000496.56999999"/>
    <n v="163703182.56999999"/>
    <n v="179647835.56999999"/>
    <n v="184996580.72999999"/>
    <n v="172531603.80000001"/>
    <n v="126174974.89"/>
    <n v="181769183.06"/>
    <n v="-247801263.03999999"/>
    <n v="-390718121.55000001"/>
    <n v="39678246.219999999"/>
    <n v="-1718582086.1400001"/>
    <n v="0"/>
    <n v="0"/>
    <n v="0"/>
    <n v="100"/>
  </r>
  <r>
    <x v="53"/>
    <x v="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62792833.97"/>
    <n v="556033208.32000005"/>
    <n v="851466398.83000004"/>
    <n v="858542440.38999999"/>
    <n v="791275455.13999999"/>
    <n v="466659677.11000001"/>
    <n v="1029565917.09"/>
    <n v="737710255.27999997"/>
    <n v="796549483"/>
    <n v="763152720.38"/>
    <n v="767738792.42999995"/>
    <n v="1014037095.65"/>
    <n v="9995524277.5900002"/>
    <n v="-9995524277.5900002"/>
    <n v="0"/>
    <n v="100"/>
  </r>
  <r>
    <x v="54"/>
    <x v="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575397046"/>
    <n v="1626717618.8"/>
    <n v="0"/>
    <n v="0"/>
    <n v="5329448818.6599998"/>
    <n v="1724758663.7"/>
    <n v="1748528410.5999999"/>
    <n v="1754017823.4000001"/>
    <n v="2052579822.4000001"/>
    <n v="2007700395.5"/>
    <n v="1404288971.5999999"/>
    <n v="1763727407.2"/>
    <n v="20987164977.860001"/>
    <n v="-20987164977.860001"/>
    <n v="0"/>
    <n v="100"/>
  </r>
  <r>
    <x v="55"/>
    <x v="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596500862.77999997"/>
    <n v="519320754.22000003"/>
    <n v="16644529.99"/>
    <n v="19524078.239999998"/>
    <n v="1619886567.9100001"/>
    <n v="555667048.58000004"/>
    <n v="688786060.90999997"/>
    <n v="556351933.86000001"/>
    <n v="622720303.57000005"/>
    <n v="578361740.38"/>
    <n v="588837931.24000001"/>
    <n v="600943520.73000002"/>
    <n v="6963545332.4099998"/>
    <n v="-6963545332.4099998"/>
    <n v="0"/>
    <n v="100"/>
  </r>
  <r>
    <x v="56"/>
    <x v="0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9242386.4600000009"/>
    <n v="3950512.26"/>
    <n v="1370869.26"/>
    <n v="352000"/>
    <n v="4249249.2699999996"/>
    <n v="0"/>
    <n v="561789.37"/>
    <n v="0"/>
    <n v="19726806.620000001"/>
    <n v="-19726806.620000001"/>
    <n v="0"/>
    <n v="100"/>
  </r>
  <r>
    <x v="57"/>
    <x v="0"/>
    <x v="51"/>
    <n v="1"/>
    <x v="0"/>
    <n v="13"/>
    <x v="2"/>
    <n v="131"/>
    <x v="6"/>
    <n v="1311"/>
    <x v="17"/>
    <n v="131109"/>
    <x v="32"/>
    <n v="13110902"/>
    <x v="23"/>
    <n v="131109020"/>
    <x v="0"/>
    <n v="1311090200"/>
    <x v="0"/>
    <n v="1"/>
    <s v="Ingresos corrientes"/>
    <n v="0"/>
    <n v="0"/>
    <n v="0"/>
    <n v="0"/>
    <n v="0"/>
    <n v="0"/>
    <n v="0"/>
    <n v="0"/>
    <n v="0"/>
    <n v="0"/>
    <n v="0"/>
    <n v="36459921.75"/>
    <n v="0"/>
    <n v="0"/>
    <n v="0"/>
    <n v="36459921.75"/>
    <n v="-36459921.75"/>
    <n v="0"/>
    <n v="100"/>
  </r>
  <r>
    <x v="58"/>
    <x v="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654906.85"/>
    <n v="490000"/>
    <n v="897624.55"/>
    <n v="542415"/>
    <n v="2552500"/>
    <n v="730341.52"/>
    <n v="380000"/>
    <n v="852194.36"/>
    <n v="341332.25"/>
    <n v="692579.2"/>
    <n v="840000"/>
    <n v="560000"/>
    <n v="9533893.7300000004"/>
    <n v="-9533893.7300000004"/>
    <n v="0"/>
    <n v="100"/>
  </r>
  <r>
    <x v="59"/>
    <x v="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273154.1"/>
    <n v="3809729.74"/>
    <n v="56508037.560000002"/>
    <n v="3899039"/>
    <n v="5421996.9500000002"/>
    <n v="3918265.82"/>
    <n v="6299113.9800000004"/>
    <n v="4944505.6500000004"/>
    <n v="6442134.2999999998"/>
    <n v="8128335.5499999998"/>
    <n v="6973369.6299999999"/>
    <n v="5412326.4299999997"/>
    <n v="115030008.70999999"/>
    <n v="-115030008.70999999"/>
    <n v="0"/>
    <n v="100"/>
  </r>
  <r>
    <x v="60"/>
    <x v="0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37912181.74000001"/>
    <n v="424929851.62"/>
    <n v="-187290309.22"/>
    <n v="-1777291.78"/>
    <n v="374478274.38999999"/>
    <n v="170344338.36000001"/>
    <n v="228718799.24000001"/>
    <n v="261821348.11000001"/>
    <n v="371238235.02999997"/>
    <n v="338707205.70999998"/>
    <n v="405255273.26999998"/>
    <n v="496359152.31999999"/>
    <n v="3120697058.79"/>
    <n v="-3120697058.79"/>
    <n v="0"/>
    <n v="100"/>
  </r>
  <r>
    <x v="61"/>
    <x v="0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4274"/>
    <n v="29247"/>
    <n v="15797311.98"/>
    <n v="2726297.33"/>
    <n v="0"/>
    <n v="0"/>
    <n v="3006137.04"/>
    <n v="0"/>
    <n v="0"/>
    <n v="0"/>
    <n v="21563267.350000001"/>
    <n v="-21563267.350000001"/>
    <n v="0"/>
    <n v="100"/>
  </r>
  <r>
    <x v="62"/>
    <x v="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6362620"/>
    <n v="33006000"/>
    <n v="26802850"/>
    <n v="22013625"/>
    <n v="24733600"/>
    <n v="15738200"/>
    <n v="18029320"/>
    <n v="13828100"/>
    <n v="558560"/>
    <n v="92200"/>
    <n v="121500"/>
    <n v="170357208.69999999"/>
    <n v="371643783.69999999"/>
    <n v="-371643783.69999999"/>
    <n v="0"/>
    <n v="100"/>
  </r>
  <r>
    <x v="63"/>
    <x v="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207445385.03"/>
    <n v="157950469.53999999"/>
    <n v="47376921.759999998"/>
    <n v="31784426.43"/>
    <n v="45194732.009999998"/>
    <n v="20650453.440000001"/>
    <n v="16584990.98"/>
    <n v="14501633.07"/>
    <n v="9717162.5"/>
    <n v="9208321.3699999992"/>
    <n v="10221985.9"/>
    <n v="553245933.20000005"/>
    <n v="2123882415.23"/>
    <n v="-2123882415.23"/>
    <n v="0"/>
    <n v="100"/>
  </r>
  <r>
    <x v="64"/>
    <x v="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170884.94"/>
    <n v="4105635.46"/>
    <n v="3281728.44"/>
    <n v="3881975.41"/>
    <n v="5043683.54"/>
    <n v="2867299.46"/>
    <n v="3656927.68"/>
    <n v="4148750.02"/>
    <n v="3962044.04"/>
    <n v="4869298.7"/>
    <n v="3387369.11"/>
    <n v="2991793.54"/>
    <n v="45367390.340000004"/>
    <n v="-45367390.340000004"/>
    <n v="0"/>
    <n v="100"/>
  </r>
  <r>
    <x v="65"/>
    <x v="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139340"/>
    <n v="85150"/>
    <n v="69320"/>
    <n v="253710"/>
    <n v="111550"/>
    <n v="135400"/>
    <n v="155160"/>
    <n v="141680"/>
    <n v="126310"/>
    <n v="151120"/>
    <n v="175110"/>
    <n v="97590"/>
    <n v="1641440"/>
    <n v="-1641440"/>
    <n v="0"/>
    <n v="100"/>
  </r>
  <r>
    <x v="66"/>
    <x v="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26797.4800000004"/>
    <n v="8513049.9000000004"/>
    <n v="10608577.15"/>
    <n v="9666177.25"/>
    <n v="9879805.7400000002"/>
    <n v="6587528.2999999998"/>
    <n v="8535250.8800000008"/>
    <n v="9486957.0500000007"/>
    <n v="6867579.5"/>
    <n v="8615200"/>
    <n v="8263904"/>
    <n v="8549036.6600000001"/>
    <n v="104599863.91"/>
    <n v="-104599863.91"/>
    <n v="0"/>
    <n v="100"/>
  </r>
  <r>
    <x v="67"/>
    <x v="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131470"/>
    <n v="1501617"/>
    <n v="2295590.15"/>
    <n v="1445438"/>
    <n v="839518"/>
    <n v="1663330.4"/>
    <n v="2132002"/>
    <n v="2727673.5"/>
    <n v="598663"/>
    <n v="681884"/>
    <n v="1579842"/>
    <n v="3763422"/>
    <n v="21360450.050000001"/>
    <n v="-21360450.050000001"/>
    <n v="0"/>
    <n v="100"/>
  </r>
  <r>
    <x v="68"/>
    <x v="0"/>
    <x v="62"/>
    <n v="1"/>
    <x v="0"/>
    <n v="13"/>
    <x v="2"/>
    <n v="131"/>
    <x v="6"/>
    <n v="1313"/>
    <x v="19"/>
    <n v="131302"/>
    <x v="35"/>
    <n v="13130209"/>
    <x v="29"/>
    <n v="131302091"/>
    <x v="20"/>
    <n v="1313020910"/>
    <x v="0"/>
    <n v="1"/>
    <s v="Ingresos corrientes"/>
    <n v="0"/>
    <n v="0"/>
    <n v="0"/>
    <n v="1277790"/>
    <n v="1969370.5"/>
    <n v="1140168"/>
    <n v="589754.92000000004"/>
    <n v="1442852.5"/>
    <n v="-106630"/>
    <n v="2000"/>
    <n v="2000"/>
    <n v="2000"/>
    <n v="1500"/>
    <n v="0"/>
    <n v="1500"/>
    <n v="6322305.9199999999"/>
    <n v="-6322305.9199999999"/>
    <n v="0"/>
    <n v="100"/>
  </r>
  <r>
    <x v="69"/>
    <x v="0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88769734.58999997"/>
    <n v="288769734.58999997"/>
    <n v="-288769734.58999997"/>
    <n v="0"/>
    <n v="100"/>
  </r>
  <r>
    <x v="70"/>
    <x v="0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4752844"/>
    <n v="54752844"/>
    <n v="-54752844"/>
    <n v="0"/>
    <n v="100"/>
  </r>
  <r>
    <x v="71"/>
    <x v="0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10238800"/>
    <n v="0"/>
    <n v="0"/>
    <n v="0"/>
    <n v="0"/>
    <n v="0"/>
    <n v="10238800"/>
    <n v="-10238800"/>
    <n v="0"/>
    <n v="100"/>
  </r>
  <r>
    <x v="72"/>
    <x v="0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500000"/>
    <n v="9000000"/>
    <n v="-9000000"/>
    <n v="0"/>
    <n v="100"/>
  </r>
  <r>
    <x v="73"/>
    <x v="0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31353673.829999998"/>
    <n v="0"/>
    <n v="0"/>
    <n v="4505144.54"/>
    <n v="0"/>
    <n v="0"/>
    <n v="179113754.08000001"/>
    <n v="0"/>
    <n v="0"/>
    <n v="0"/>
    <n v="0"/>
    <n v="156264236.31999999"/>
    <n v="371236808.76999998"/>
    <n v="-371236808.76999998"/>
    <n v="0"/>
    <n v="100"/>
  </r>
  <r>
    <x v="74"/>
    <x v="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25345909.8"/>
    <n v="167719595.88"/>
    <n v="195536731.38999999"/>
    <n v="136804887.24000001"/>
    <n v="339053533.25999999"/>
    <n v="172143768.69999999"/>
    <n v="358455727.54000002"/>
    <n v="163986936.24000001"/>
    <n v="206024037.68000001"/>
    <n v="549997753.07000005"/>
    <n v="634732837.88999999"/>
    <n v="285826010.05000001"/>
    <n v="3335627728.7399998"/>
    <n v="-3335627728.7399998"/>
    <n v="0"/>
    <n v="100"/>
  </r>
  <r>
    <x v="75"/>
    <x v="0"/>
    <x v="69"/>
    <n v="1"/>
    <x v="0"/>
    <n v="13"/>
    <x v="2"/>
    <n v="133"/>
    <x v="8"/>
    <n v="1331"/>
    <x v="23"/>
    <n v="133109"/>
    <x v="42"/>
    <n v="13310901"/>
    <x v="32"/>
    <n v="133109011"/>
    <x v="0"/>
    <n v="1331090110"/>
    <x v="0"/>
    <n v="1"/>
    <s v="Ingresos corrientes"/>
    <n v="0"/>
    <n v="0"/>
    <n v="0"/>
    <n v="1275975.27"/>
    <n v="20600665.260000002"/>
    <n v="2015392.19"/>
    <n v="54192480"/>
    <n v="58186251.960000001"/>
    <n v="5452161867.0500002"/>
    <n v="11889451.48"/>
    <n v="780104.79"/>
    <n v="3784358.14"/>
    <n v="2129794.9500000002"/>
    <n v="1251967.2"/>
    <n v="8997847.1400000006"/>
    <n v="5617266155.4300003"/>
    <n v="-5617266155.4300003"/>
    <n v="0"/>
    <n v="100"/>
  </r>
  <r>
    <x v="76"/>
    <x v="0"/>
    <x v="70"/>
    <n v="1"/>
    <x v="0"/>
    <n v="13"/>
    <x v="2"/>
    <n v="133"/>
    <x v="8"/>
    <n v="1331"/>
    <x v="23"/>
    <n v="133109"/>
    <x v="42"/>
    <n v="13310901"/>
    <x v="33"/>
    <n v="133109012"/>
    <x v="0"/>
    <n v="1331090120"/>
    <x v="0"/>
    <n v="1"/>
    <s v="Ingresos corrientes"/>
    <n v="0"/>
    <n v="0"/>
    <n v="0"/>
    <n v="0"/>
    <n v="0"/>
    <n v="0"/>
    <n v="0"/>
    <n v="0"/>
    <n v="4767663.47"/>
    <n v="1633650.22"/>
    <n v="0"/>
    <n v="0"/>
    <n v="0"/>
    <n v="0"/>
    <n v="0"/>
    <n v="6401313.6900000004"/>
    <n v="-6401313.6900000004"/>
    <n v="0"/>
    <n v="100"/>
  </r>
  <r>
    <x v="77"/>
    <x v="0"/>
    <x v="71"/>
    <n v="1"/>
    <x v="0"/>
    <n v="13"/>
    <x v="2"/>
    <n v="133"/>
    <x v="8"/>
    <n v="1331"/>
    <x v="23"/>
    <n v="133109"/>
    <x v="42"/>
    <n v="13310901"/>
    <x v="34"/>
    <n v="133109013"/>
    <x v="0"/>
    <n v="1331090130"/>
    <x v="0"/>
    <n v="1"/>
    <s v="Ingresos corrientes"/>
    <n v="0"/>
    <n v="0"/>
    <n v="0"/>
    <n v="10225918.529999999"/>
    <n v="4953031.5"/>
    <n v="35841130.450000003"/>
    <n v="8204230.7999999998"/>
    <n v="19335220.609999999"/>
    <n v="-58354563.990000002"/>
    <n v="9385892.0899999999"/>
    <n v="11405306.77"/>
    <n v="5345515.7699999996"/>
    <n v="5319201.32"/>
    <n v="9490348.1600000001"/>
    <n v="167044018.53999999"/>
    <n v="228195250.55000001"/>
    <n v="-228195250.55000001"/>
    <n v="0"/>
    <n v="100"/>
  </r>
  <r>
    <x v="78"/>
    <x v="0"/>
    <x v="72"/>
    <n v="1"/>
    <x v="0"/>
    <n v="13"/>
    <x v="2"/>
    <n v="133"/>
    <x v="8"/>
    <n v="1331"/>
    <x v="23"/>
    <n v="133109"/>
    <x v="42"/>
    <n v="13310901"/>
    <x v="35"/>
    <n v="133109014"/>
    <x v="0"/>
    <n v="1331090140"/>
    <x v="0"/>
    <n v="1"/>
    <s v="Ingresos corrientes"/>
    <n v="0"/>
    <n v="0"/>
    <n v="0"/>
    <n v="1152500"/>
    <n v="3281500"/>
    <n v="207628840"/>
    <n v="1333000"/>
    <n v="1140500"/>
    <n v="100000"/>
    <n v="2391165"/>
    <n v="889500"/>
    <n v="9519680"/>
    <n v="2983500"/>
    <n v="4974500"/>
    <n v="67656030"/>
    <n v="303050715"/>
    <n v="-303050715"/>
    <n v="0"/>
    <n v="100"/>
  </r>
  <r>
    <x v="79"/>
    <x v="0"/>
    <x v="73"/>
    <n v="1"/>
    <x v="0"/>
    <n v="13"/>
    <x v="2"/>
    <n v="133"/>
    <x v="8"/>
    <n v="1331"/>
    <x v="23"/>
    <n v="133109"/>
    <x v="42"/>
    <n v="13310901"/>
    <x v="36"/>
    <n v="133109015"/>
    <x v="0"/>
    <n v="1331090150"/>
    <x v="0"/>
    <n v="1"/>
    <s v="Ingresos corrientes"/>
    <n v="0"/>
    <n v="0"/>
    <n v="0"/>
    <n v="0"/>
    <n v="0"/>
    <n v="0"/>
    <n v="0"/>
    <n v="27320000"/>
    <n v="0"/>
    <n v="0"/>
    <n v="26826000"/>
    <n v="22050000"/>
    <n v="1000000"/>
    <n v="1000000"/>
    <n v="7560000"/>
    <n v="85756000"/>
    <n v="-85756000"/>
    <n v="0"/>
    <n v="100"/>
  </r>
  <r>
    <x v="80"/>
    <x v="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34246050.890000001"/>
    <n v="-5100"/>
    <n v="21643500.559999999"/>
    <n v="148903.82"/>
    <n v="0"/>
    <n v="17049332.559999999"/>
    <n v="61356.62"/>
    <n v="4800259.71"/>
    <n v="500000"/>
    <n v="14774493.18"/>
    <n v="9015686.5299999993"/>
    <n v="23852932.66"/>
    <n v="126087416.53"/>
    <n v="-126087416.53"/>
    <n v="0"/>
    <n v="100"/>
  </r>
  <r>
    <x v="81"/>
    <x v="0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240613590.56999999"/>
    <n v="17319846.52"/>
    <n v="113532717.16"/>
    <n v="16528498.779999999"/>
    <n v="58760484.630000003"/>
    <n v="28725727.899999999"/>
    <n v="33224143.100000001"/>
    <n v="23723036.640000001"/>
    <n v="57624429.950000003"/>
    <n v="41190893.710000001"/>
    <n v="29425580.77"/>
    <n v="1151137467.4300001"/>
    <n v="1811806417.1600001"/>
    <n v="-1811806417.1600001"/>
    <n v="0"/>
    <n v="100"/>
  </r>
  <r>
    <x v="82"/>
    <x v="0"/>
    <x v="76"/>
    <n v="1"/>
    <x v="0"/>
    <n v="13"/>
    <x v="2"/>
    <n v="139"/>
    <x v="9"/>
    <n v="1391"/>
    <x v="25"/>
    <n v="139102"/>
    <x v="44"/>
    <n v="13910200"/>
    <x v="0"/>
    <n v="139102000"/>
    <x v="0"/>
    <n v="1391020000"/>
    <x v="0"/>
    <n v="1"/>
    <s v="Ingresos corrientes"/>
    <n v="0"/>
    <n v="0"/>
    <n v="0"/>
    <n v="25435313.449999999"/>
    <n v="-6067713.8499999996"/>
    <n v="0"/>
    <n v="0"/>
    <n v="0"/>
    <n v="0"/>
    <n v="0"/>
    <n v="0"/>
    <n v="0"/>
    <n v="0"/>
    <n v="0"/>
    <n v="0"/>
    <n v="19367599.600000001"/>
    <n v="-19367599.600000001"/>
    <n v="0"/>
    <n v="100"/>
  </r>
  <r>
    <x v="83"/>
    <x v="0"/>
    <x v="77"/>
    <n v="1"/>
    <x v="0"/>
    <n v="13"/>
    <x v="2"/>
    <n v="139"/>
    <x v="9"/>
    <n v="1399"/>
    <x v="26"/>
    <n v="139901"/>
    <x v="44"/>
    <n v="13990100"/>
    <x v="0"/>
    <n v="139901000"/>
    <x v="0"/>
    <n v="1399010000"/>
    <x v="0"/>
    <n v="1"/>
    <s v="Ingresos corrientes"/>
    <n v="0"/>
    <n v="0"/>
    <n v="0"/>
    <n v="5665714.0099999998"/>
    <n v="43194012.039999999"/>
    <n v="63445088.909999996"/>
    <n v="75089758.129999995"/>
    <n v="14527254.050000001"/>
    <n v="54275297.899999999"/>
    <n v="50597587.299999997"/>
    <n v="11133761.68"/>
    <n v="39218102.920000002"/>
    <n v="22986981.739999998"/>
    <n v="31892841.030000001"/>
    <n v="-7290098.9900000002"/>
    <n v="404736300.72000003"/>
    <n v="-404736300.72000003"/>
    <n v="0"/>
    <n v="100"/>
  </r>
  <r>
    <x v="84"/>
    <x v="0"/>
    <x v="77"/>
    <n v="1"/>
    <x v="0"/>
    <n v="13"/>
    <x v="2"/>
    <n v="139"/>
    <x v="9"/>
    <n v="1399"/>
    <x v="26"/>
    <n v="139903"/>
    <x v="44"/>
    <n v="13990300"/>
    <x v="0"/>
    <n v="139903000"/>
    <x v="0"/>
    <n v="1399030000"/>
    <x v="0"/>
    <n v="1"/>
    <s v="Ingresos corrientes"/>
    <n v="0"/>
    <n v="0"/>
    <n v="0"/>
    <n v="16549725.57"/>
    <n v="6542735.7199999997"/>
    <n v="5530505.4400000004"/>
    <n v="9213520.6400000006"/>
    <n v="37870340.100000001"/>
    <n v="11460517.720000001"/>
    <n v="664326.49"/>
    <n v="18494096.530000001"/>
    <n v="5284171.93"/>
    <n v="27931973.379999999"/>
    <n v="81489906.609999999"/>
    <n v="36501926.240000002"/>
    <n v="257533746.37"/>
    <n v="-257533746.37"/>
    <n v="0"/>
    <n v="100"/>
  </r>
  <r>
    <x v="85"/>
    <x v="0"/>
    <x v="77"/>
    <n v="1"/>
    <x v="0"/>
    <n v="13"/>
    <x v="2"/>
    <n v="139"/>
    <x v="9"/>
    <n v="1399"/>
    <x v="26"/>
    <n v="139904"/>
    <x v="44"/>
    <n v="13990400"/>
    <x v="0"/>
    <n v="139904000"/>
    <x v="0"/>
    <n v="1399040000"/>
    <x v="0"/>
    <n v="1"/>
    <s v="Ingresos corrientes"/>
    <n v="0"/>
    <n v="0"/>
    <n v="0"/>
    <n v="7833080.9000000004"/>
    <n v="13789668.310000001"/>
    <n v="1200"/>
    <n v="56877.35"/>
    <n v="6343782.4800000004"/>
    <n v="37119429.200000003"/>
    <n v="1765104.91"/>
    <n v="6500729.9400000004"/>
    <n v="2001598.17"/>
    <n v="475543.85"/>
    <n v="118517"/>
    <n v="206042.9"/>
    <n v="76211575.010000005"/>
    <n v="-76211575.010000005"/>
    <n v="0"/>
    <n v="100"/>
  </r>
  <r>
    <x v="86"/>
    <x v="0"/>
    <x v="77"/>
    <n v="1"/>
    <x v="0"/>
    <n v="13"/>
    <x v="2"/>
    <n v="139"/>
    <x v="9"/>
    <n v="1399"/>
    <x v="26"/>
    <n v="139908"/>
    <x v="44"/>
    <n v="13990800"/>
    <x v="0"/>
    <n v="139908000"/>
    <x v="0"/>
    <n v="1399080000"/>
    <x v="0"/>
    <n v="1"/>
    <s v="Ingresos corrientes"/>
    <n v="0"/>
    <n v="0"/>
    <n v="0"/>
    <n v="121425"/>
    <n v="20020"/>
    <n v="83177"/>
    <n v="184825.75"/>
    <n v="17551525.219999999"/>
    <n v="0"/>
    <n v="20000"/>
    <n v="1680102.24"/>
    <n v="184600"/>
    <n v="285570.5"/>
    <n v="399904.5"/>
    <n v="113880"/>
    <n v="20645030.210000001"/>
    <n v="-20645030.210000001"/>
    <n v="0"/>
    <n v="100"/>
  </r>
  <r>
    <x v="87"/>
    <x v="0"/>
    <x v="77"/>
    <n v="1"/>
    <x v="0"/>
    <n v="13"/>
    <x v="2"/>
    <n v="139"/>
    <x v="9"/>
    <n v="1399"/>
    <x v="26"/>
    <n v="139909"/>
    <x v="44"/>
    <n v="13990900"/>
    <x v="0"/>
    <n v="139909000"/>
    <x v="0"/>
    <n v="1399090000"/>
    <x v="0"/>
    <n v="1"/>
    <s v="Ingresos corrientes"/>
    <n v="0"/>
    <n v="0"/>
    <n v="0"/>
    <n v="0"/>
    <n v="0"/>
    <n v="0"/>
    <n v="0"/>
    <n v="0"/>
    <n v="0"/>
    <n v="0"/>
    <n v="668.15"/>
    <n v="0"/>
    <n v="16.100000000000001"/>
    <n v="5.64"/>
    <n v="0"/>
    <n v="689.89"/>
    <n v="-689.89"/>
    <n v="0"/>
    <n v="100"/>
  </r>
  <r>
    <x v="88"/>
    <x v="0"/>
    <x v="77"/>
    <n v="1"/>
    <x v="0"/>
    <n v="13"/>
    <x v="2"/>
    <n v="139"/>
    <x v="9"/>
    <n v="1399"/>
    <x v="26"/>
    <n v="139910"/>
    <x v="44"/>
    <n v="13991000"/>
    <x v="0"/>
    <n v="139910000"/>
    <x v="0"/>
    <n v="1399100000"/>
    <x v="0"/>
    <n v="1"/>
    <s v="Ingresos corrientes"/>
    <n v="0"/>
    <n v="0"/>
    <n v="0"/>
    <n v="2316575"/>
    <n v="2217000"/>
    <n v="3189000"/>
    <n v="2213000"/>
    <n v="2615000"/>
    <n v="2870000"/>
    <n v="2271000"/>
    <n v="3277000"/>
    <n v="3179000"/>
    <n v="3442875.35"/>
    <n v="4417000"/>
    <n v="3436000"/>
    <n v="35443450.350000001"/>
    <n v="-35443450.350000001"/>
    <n v="0"/>
    <n v="100"/>
  </r>
  <r>
    <x v="89"/>
    <x v="0"/>
    <x v="77"/>
    <n v="1"/>
    <x v="0"/>
    <n v="13"/>
    <x v="2"/>
    <n v="139"/>
    <x v="9"/>
    <n v="1399"/>
    <x v="26"/>
    <n v="139911"/>
    <x v="44"/>
    <n v="13991100"/>
    <x v="0"/>
    <n v="139911000"/>
    <x v="0"/>
    <n v="1399110000"/>
    <x v="0"/>
    <n v="1"/>
    <s v="Ingresos corrientes"/>
    <n v="0"/>
    <n v="0"/>
    <n v="0"/>
    <n v="8039150"/>
    <n v="2564913.1"/>
    <n v="13001712.5"/>
    <n v="13111325"/>
    <n v="827400"/>
    <n v="808625"/>
    <n v="212550"/>
    <n v="10911312.5"/>
    <n v="5469900"/>
    <n v="5326300"/>
    <n v="2273575"/>
    <n v="13214625.5"/>
    <n v="75761388.599999994"/>
    <n v="-75761388.599999994"/>
    <n v="0"/>
    <n v="100"/>
  </r>
  <r>
    <x v="90"/>
    <x v="0"/>
    <x v="77"/>
    <n v="1"/>
    <x v="0"/>
    <n v="13"/>
    <x v="2"/>
    <n v="139"/>
    <x v="9"/>
    <n v="1399"/>
    <x v="26"/>
    <n v="139912"/>
    <x v="44"/>
    <n v="13991200"/>
    <x v="0"/>
    <n v="139912000"/>
    <x v="0"/>
    <n v="1399120000"/>
    <x v="0"/>
    <n v="1"/>
    <s v="Ingresos corrientes"/>
    <n v="0"/>
    <n v="0"/>
    <n v="0"/>
    <n v="16757796.26"/>
    <n v="14421500.25"/>
    <n v="17738692.640000001"/>
    <n v="17206298.16"/>
    <n v="20308740"/>
    <n v="16570338.119999999"/>
    <n v="20350487.82"/>
    <n v="20136271.02"/>
    <n v="20610223.890000001"/>
    <n v="20578521.289999999"/>
    <n v="19338027.620000001"/>
    <n v="43365819.840000004"/>
    <n v="247382716.91"/>
    <n v="-247382716.91"/>
    <n v="0"/>
    <n v="100"/>
  </r>
  <r>
    <x v="91"/>
    <x v="0"/>
    <x v="78"/>
    <n v="1"/>
    <x v="0"/>
    <n v="14"/>
    <x v="3"/>
    <n v="141"/>
    <x v="10"/>
    <n v="1412"/>
    <x v="27"/>
    <n v="141201"/>
    <x v="45"/>
    <n v="14120100"/>
    <x v="0"/>
    <n v="141201000"/>
    <x v="0"/>
    <n v="1412010000"/>
    <x v="0"/>
    <n v="1"/>
    <s v="Ingresos corrientes"/>
    <n v="0"/>
    <n v="0"/>
    <n v="0"/>
    <n v="0"/>
    <n v="0"/>
    <n v="1608573775"/>
    <n v="2455163517"/>
    <n v="1905122081.1400001"/>
    <n v="1897689417.48"/>
    <n v="1273998102.52"/>
    <n v="2767881209"/>
    <n v="664044976"/>
    <n v="163119743"/>
    <n v="196992582.77000001"/>
    <n v="-270004108"/>
    <n v="12662581295.91"/>
    <n v="-12662581295.91"/>
    <n v="0"/>
    <n v="100"/>
  </r>
  <r>
    <x v="92"/>
    <x v="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413785293.51999998"/>
    <n v="136972834.74000001"/>
    <n v="147274075.31"/>
    <n v="271730813.75999999"/>
    <n v="0"/>
    <n v="0"/>
    <n v="600741832.47000003"/>
    <n v="415435634.67000002"/>
    <n v="1985940484.47"/>
    <n v="-1985940484.47"/>
    <n v="0"/>
    <n v="100"/>
  </r>
  <r>
    <x v="93"/>
    <x v="0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0"/>
    <n v="0"/>
    <n v="0"/>
    <n v="0"/>
    <n v="0"/>
    <n v="0"/>
    <n v="0"/>
    <n v="0"/>
    <n v="0"/>
    <n v="0"/>
    <n v="0"/>
    <n v="105308751"/>
    <n v="63800000"/>
    <n v="163569678.16999999"/>
    <n v="332678429.17000002"/>
    <n v="-332678429.17000002"/>
    <n v="0"/>
    <n v="100"/>
  </r>
  <r>
    <x v="94"/>
    <x v="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4659398.43"/>
    <n v="0"/>
    <n v="4659398.43"/>
    <n v="-4659398.43"/>
    <n v="0"/>
    <n v="100"/>
  </r>
  <r>
    <x v="95"/>
    <x v="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8122412.9800000004"/>
    <n v="0"/>
    <n v="0"/>
    <n v="0"/>
    <n v="0"/>
    <n v="0"/>
    <n v="0"/>
    <n v="0"/>
    <n v="0"/>
    <n v="0"/>
    <n v="0"/>
    <n v="8122412.9800000004"/>
    <n v="-8122412.9800000004"/>
    <n v="0"/>
    <n v="100"/>
  </r>
  <r>
    <x v="96"/>
    <x v="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27160993.890000001"/>
    <n v="0"/>
    <n v="27160993.890000001"/>
    <n v="-27160993.890000001"/>
    <n v="0"/>
    <n v="100"/>
  </r>
  <r>
    <x v="97"/>
    <x v="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710473.92"/>
    <n v="473649.28"/>
    <n v="236824.64"/>
    <n v="236824.64"/>
    <n v="0"/>
    <n v="0"/>
    <n v="710473.92"/>
    <n v="0"/>
    <n v="2368246.4"/>
    <n v="-2368246.4"/>
    <n v="0"/>
    <n v="100"/>
  </r>
  <r>
    <x v="98"/>
    <x v="0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2006216.63"/>
    <n v="0"/>
    <n v="0"/>
    <n v="0"/>
    <n v="0"/>
    <n v="0"/>
    <n v="2006216.63"/>
    <n v="-2006216.63"/>
    <n v="0"/>
    <n v="100"/>
  </r>
  <r>
    <x v="99"/>
    <x v="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180104.07"/>
    <n v="0"/>
    <n v="0"/>
    <n v="0"/>
    <n v="0"/>
    <n v="0"/>
    <n v="0"/>
    <n v="0"/>
    <n v="180104.07"/>
    <n v="-180104.07"/>
    <n v="0"/>
    <n v="100"/>
  </r>
  <r>
    <x v="100"/>
    <x v="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15638763.84"/>
    <n v="0"/>
    <n v="0"/>
    <n v="0"/>
    <n v="15638763.84"/>
    <n v="-15638763.84"/>
    <n v="0"/>
    <n v="100"/>
  </r>
  <r>
    <x v="101"/>
    <x v="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7502121.7800000003"/>
    <n v="7502121.7800000003"/>
    <n v="-7502121.7800000003"/>
    <n v="0"/>
    <n v="100"/>
  </r>
  <r>
    <x v="102"/>
    <x v="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3715888.91"/>
    <n v="0"/>
    <n v="0"/>
    <n v="0"/>
    <n v="0"/>
    <n v="0"/>
    <n v="0"/>
    <n v="0"/>
    <n v="0"/>
    <n v="0"/>
    <n v="0"/>
    <n v="3715888.91"/>
    <n v="-3715888.91"/>
    <n v="0"/>
    <n v="100"/>
  </r>
  <r>
    <x v="103"/>
    <x v="0"/>
    <x v="90"/>
    <n v="1"/>
    <x v="0"/>
    <n v="14"/>
    <x v="3"/>
    <n v="141"/>
    <x v="10"/>
    <n v="1413"/>
    <x v="28"/>
    <n v="141301"/>
    <x v="48"/>
    <n v="14130114"/>
    <x v="0"/>
    <n v="141301140"/>
    <x v="0"/>
    <n v="1413011400"/>
    <x v="0"/>
    <n v="1"/>
    <s v="Ingresos corrientes"/>
    <n v="0"/>
    <n v="0"/>
    <n v="0"/>
    <n v="0"/>
    <n v="0"/>
    <n v="0"/>
    <n v="0"/>
    <n v="0"/>
    <n v="6701219"/>
    <n v="0"/>
    <n v="0"/>
    <n v="0"/>
    <n v="0"/>
    <n v="0"/>
    <n v="0"/>
    <n v="6701219"/>
    <n v="-6701219"/>
    <n v="0"/>
    <n v="100"/>
  </r>
  <r>
    <x v="104"/>
    <x v="0"/>
    <x v="91"/>
    <n v="1"/>
    <x v="0"/>
    <n v="14"/>
    <x v="3"/>
    <n v="141"/>
    <x v="10"/>
    <n v="1413"/>
    <x v="28"/>
    <n v="141301"/>
    <x v="48"/>
    <n v="14130115"/>
    <x v="0"/>
    <n v="141301150"/>
    <x v="0"/>
    <n v="1413011500"/>
    <x v="0"/>
    <n v="1"/>
    <s v="Ingresos corrientes"/>
    <n v="0"/>
    <n v="0"/>
    <n v="0"/>
    <n v="0"/>
    <n v="0"/>
    <n v="0"/>
    <n v="0"/>
    <n v="348634.84"/>
    <n v="0"/>
    <n v="0"/>
    <n v="0"/>
    <n v="0"/>
    <n v="0"/>
    <n v="0"/>
    <n v="0"/>
    <n v="348634.84"/>
    <n v="-348634.84"/>
    <n v="0"/>
    <n v="100"/>
  </r>
  <r>
    <x v="105"/>
    <x v="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1989260096.54"/>
    <n v="0"/>
    <n v="0"/>
    <n v="0"/>
    <n v="0"/>
    <n v="0"/>
    <n v="0"/>
    <n v="1989260096.54"/>
    <n v="-1989260096.54"/>
    <n v="0"/>
    <n v="100"/>
  </r>
  <r>
    <x v="106"/>
    <x v="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37404855.68"/>
    <n v="5414694.1699999999"/>
    <n v="5303450.5599999996"/>
    <n v="12394037.17"/>
    <n v="23264164.870000001"/>
    <n v="2549212.2599999998"/>
    <n v="12342858.4"/>
    <n v="8599157.3900000006"/>
    <n v="8927727.2400000002"/>
    <n v="13805371.039999999"/>
    <n v="35284774.18"/>
    <n v="11830655.460000001"/>
    <n v="177120958.41999999"/>
    <n v="-177120958.41999999"/>
    <n v="0"/>
    <n v="100"/>
  </r>
  <r>
    <x v="107"/>
    <x v="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74783662.590000004"/>
    <n v="0"/>
    <n v="0"/>
    <n v="0"/>
    <n v="0"/>
    <n v="0"/>
    <n v="0"/>
    <n v="0"/>
    <n v="0"/>
    <n v="0"/>
    <n v="74783662.590000004"/>
    <n v="-74783662.590000004"/>
    <n v="0"/>
    <n v="100"/>
  </r>
  <r>
    <x v="108"/>
    <x v="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22381000"/>
    <n v="0"/>
    <n v="0"/>
    <n v="0"/>
    <n v="0"/>
    <n v="4983980.41"/>
    <n v="0"/>
    <n v="0"/>
    <n v="0"/>
    <n v="0"/>
    <n v="0"/>
    <n v="27364980.41"/>
    <n v="-27364980.41"/>
    <n v="0"/>
    <n v="100"/>
  </r>
  <r>
    <x v="109"/>
    <x v="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17000000"/>
    <n v="0"/>
    <n v="0"/>
    <n v="0"/>
    <n v="0"/>
    <n v="0"/>
    <n v="0"/>
    <n v="0"/>
    <n v="0"/>
    <n v="0"/>
    <n v="0"/>
    <n v="17000000"/>
    <n v="-17000000"/>
    <n v="0"/>
    <n v="100"/>
  </r>
  <r>
    <x v="110"/>
    <x v="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1000000"/>
    <n v="0"/>
    <n v="0"/>
    <n v="0"/>
    <n v="0"/>
    <n v="0"/>
    <n v="0"/>
    <n v="0"/>
    <n v="21000000"/>
    <n v="-21000000"/>
    <n v="0"/>
    <n v="100"/>
  </r>
  <r>
    <x v="111"/>
    <x v="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2321333.86"/>
    <n v="0"/>
    <n v="0"/>
    <n v="0"/>
    <n v="0"/>
    <n v="0"/>
    <n v="0"/>
    <n v="0"/>
    <n v="0"/>
    <n v="0"/>
    <n v="0"/>
    <n v="2321333.86"/>
    <n v="-2321333.86"/>
    <n v="0"/>
    <n v="100"/>
  </r>
  <r>
    <x v="112"/>
    <x v="0"/>
    <x v="99"/>
    <n v="1"/>
    <x v="0"/>
    <n v="14"/>
    <x v="3"/>
    <n v="141"/>
    <x v="10"/>
    <n v="1416"/>
    <x v="31"/>
    <n v="141601"/>
    <x v="51"/>
    <n v="14160101"/>
    <x v="0"/>
    <n v="141601011"/>
    <x v="0"/>
    <n v="1416010110"/>
    <x v="0"/>
    <n v="1"/>
    <s v="Ingresos corrientes"/>
    <n v="0"/>
    <n v="0"/>
    <n v="0"/>
    <n v="5744142.2800000003"/>
    <n v="8302895.5599999996"/>
    <n v="8302895.5599999996"/>
    <n v="8302895.5599999996"/>
    <n v="6703674.7699999996"/>
    <n v="6703674.7699999996"/>
    <n v="6703674.7699999996"/>
    <n v="6703674.7699999996"/>
    <n v="6703674.7699999996"/>
    <n v="6703674.7699999996"/>
    <n v="6703674.7699999996"/>
    <n v="6703674.7699999996"/>
    <n v="84282227.120000005"/>
    <n v="-84282227.120000005"/>
    <n v="0"/>
    <n v="100"/>
  </r>
  <r>
    <x v="113"/>
    <x v="0"/>
    <x v="99"/>
    <n v="1"/>
    <x v="0"/>
    <n v="14"/>
    <x v="3"/>
    <n v="141"/>
    <x v="10"/>
    <n v="1416"/>
    <x v="31"/>
    <n v="141601"/>
    <x v="51"/>
    <n v="14160101"/>
    <x v="0"/>
    <n v="141601012"/>
    <x v="0"/>
    <n v="1416010120"/>
    <x v="0"/>
    <n v="1"/>
    <s v="Ingresos corrientes"/>
    <n v="0"/>
    <n v="0"/>
    <n v="0"/>
    <n v="0"/>
    <n v="0"/>
    <n v="123328451.47"/>
    <n v="0"/>
    <n v="0"/>
    <n v="0"/>
    <n v="0"/>
    <n v="0"/>
    <n v="0"/>
    <n v="0"/>
    <n v="0"/>
    <n v="0"/>
    <n v="123328451.47"/>
    <n v="-123328451.47"/>
    <n v="0"/>
    <n v="100"/>
  </r>
  <r>
    <x v="114"/>
    <x v="0"/>
    <x v="99"/>
    <n v="1"/>
    <x v="0"/>
    <n v="14"/>
    <x v="3"/>
    <n v="141"/>
    <x v="10"/>
    <n v="1416"/>
    <x v="31"/>
    <n v="141601"/>
    <x v="51"/>
    <n v="14160101"/>
    <x v="0"/>
    <n v="141601013"/>
    <x v="0"/>
    <n v="1416010130"/>
    <x v="0"/>
    <n v="1"/>
    <s v="Ingresos corrientes"/>
    <n v="0"/>
    <n v="0"/>
    <n v="0"/>
    <n v="0"/>
    <n v="0"/>
    <n v="0"/>
    <n v="0"/>
    <n v="86397890.319999993"/>
    <n v="35151849.420000002"/>
    <n v="0"/>
    <n v="0"/>
    <n v="0"/>
    <n v="0"/>
    <n v="0"/>
    <n v="0"/>
    <n v="121549739.73999999"/>
    <n v="-121549739.73999999"/>
    <n v="0"/>
    <n v="100"/>
  </r>
  <r>
    <x v="115"/>
    <x v="0"/>
    <x v="99"/>
    <n v="1"/>
    <x v="0"/>
    <n v="14"/>
    <x v="3"/>
    <n v="141"/>
    <x v="10"/>
    <n v="1416"/>
    <x v="31"/>
    <n v="141601"/>
    <x v="51"/>
    <n v="14160102"/>
    <x v="0"/>
    <n v="141601021"/>
    <x v="0"/>
    <n v="1416010210"/>
    <x v="0"/>
    <n v="1"/>
    <s v="Ingresos corrientes"/>
    <n v="0"/>
    <n v="0"/>
    <n v="0"/>
    <n v="0"/>
    <n v="8932453.5600000005"/>
    <n v="0"/>
    <n v="8367146.7199999997"/>
    <n v="0"/>
    <n v="0"/>
    <n v="0"/>
    <n v="0"/>
    <n v="0"/>
    <n v="2250000"/>
    <n v="0"/>
    <n v="-2250000"/>
    <n v="17299600.280000001"/>
    <n v="-17299600.280000001"/>
    <n v="0"/>
    <n v="100"/>
  </r>
  <r>
    <x v="116"/>
    <x v="0"/>
    <x v="99"/>
    <n v="1"/>
    <x v="0"/>
    <n v="14"/>
    <x v="3"/>
    <n v="141"/>
    <x v="10"/>
    <n v="1416"/>
    <x v="31"/>
    <n v="141601"/>
    <x v="51"/>
    <n v="14160102"/>
    <x v="0"/>
    <n v="141601022"/>
    <x v="0"/>
    <n v="141601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17"/>
    <x v="0"/>
    <x v="99"/>
    <n v="1"/>
    <x v="0"/>
    <n v="14"/>
    <x v="3"/>
    <n v="141"/>
    <x v="10"/>
    <n v="1416"/>
    <x v="31"/>
    <n v="141601"/>
    <x v="51"/>
    <n v="14160102"/>
    <x v="0"/>
    <n v="141601023"/>
    <x v="0"/>
    <n v="1416010230"/>
    <x v="0"/>
    <n v="1"/>
    <s v="Ingresos corrientes"/>
    <n v="0"/>
    <n v="0"/>
    <n v="0"/>
    <n v="0"/>
    <n v="87000000"/>
    <n v="0"/>
    <n v="0"/>
    <n v="15599971.75"/>
    <n v="0"/>
    <n v="0"/>
    <n v="0"/>
    <n v="0"/>
    <n v="0"/>
    <n v="0"/>
    <n v="0"/>
    <n v="102599971.75"/>
    <n v="-102599971.75"/>
    <n v="0"/>
    <n v="100"/>
  </r>
  <r>
    <x v="118"/>
    <x v="0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3000"/>
    <n v="29549431.620000001"/>
    <n v="28999015.870000001"/>
    <n v="31159079.550000001"/>
    <n v="22814220.16"/>
    <n v="35687433.899999999"/>
    <n v="31933963.809999999"/>
    <n v="33912333.229999997"/>
    <n v="37803857.340000004"/>
    <n v="30707948.879999999"/>
    <n v="40936510"/>
    <n v="38870756.729999997"/>
    <n v="362377551.08999997"/>
    <n v="-362377551.08999997"/>
    <n v="0"/>
    <n v="100"/>
  </r>
  <r>
    <x v="119"/>
    <x v="0"/>
    <x v="101"/>
    <n v="2"/>
    <x v="1"/>
    <n v="24"/>
    <x v="4"/>
    <n v="241"/>
    <x v="12"/>
    <n v="2412"/>
    <x v="33"/>
    <n v="241201"/>
    <x v="44"/>
    <n v="24120100"/>
    <x v="0"/>
    <n v="241201000"/>
    <x v="0"/>
    <n v="2412010000"/>
    <x v="0"/>
    <n v="60"/>
    <s v="Proyecto de Desarrollo Agrícola Península de Nicoya (PRODAPEN)"/>
    <n v="0"/>
    <n v="0"/>
    <n v="0"/>
    <n v="0"/>
    <n v="0"/>
    <n v="0"/>
    <n v="0"/>
    <n v="0"/>
    <n v="0"/>
    <n v="0"/>
    <n v="0"/>
    <n v="21686610.789999999"/>
    <n v="0"/>
    <n v="0"/>
    <n v="-18028688.920000002"/>
    <n v="3657921.87"/>
    <n v="-3657921.87"/>
    <n v="0"/>
    <n v="100"/>
  </r>
  <r>
    <x v="120"/>
    <x v="0"/>
    <x v="102"/>
    <n v="2"/>
    <x v="1"/>
    <n v="24"/>
    <x v="4"/>
    <n v="243"/>
    <x v="13"/>
    <n v="2432"/>
    <x v="34"/>
    <n v="243201"/>
    <x v="44"/>
    <n v="24320100"/>
    <x v="0"/>
    <n v="243201000"/>
    <x v="0"/>
    <n v="2432010000"/>
    <x v="0"/>
    <n v="66"/>
    <s v="Donaciones de Relaciones Exteriores Fi"/>
    <n v="0"/>
    <n v="0"/>
    <n v="0"/>
    <n v="0"/>
    <n v="0"/>
    <n v="0"/>
    <n v="0"/>
    <n v="0"/>
    <n v="0"/>
    <n v="0"/>
    <n v="0"/>
    <n v="0"/>
    <n v="0"/>
    <n v="0"/>
    <n v="1053499.25"/>
    <n v="1053499.25"/>
    <n v="-1053499.25"/>
    <n v="0"/>
    <n v="100"/>
  </r>
  <r>
    <x v="121"/>
    <x v="0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40000000"/>
    <n v="15000000"/>
    <n v="0"/>
    <n v="40000000"/>
    <n v="59232038"/>
    <n v="0"/>
    <n v="0"/>
    <n v="0"/>
    <n v="50000000"/>
    <n v="40956496.82"/>
    <n v="245188534.81999999"/>
    <n v="-245188534.81999999"/>
    <n v="0"/>
    <n v="100"/>
  </r>
  <r>
    <x v="122"/>
    <x v="0"/>
    <x v="104"/>
    <n v="3"/>
    <x v="2"/>
    <n v="31"/>
    <x v="6"/>
    <n v="313"/>
    <x v="15"/>
    <n v="3131"/>
    <x v="36"/>
    <n v="313101"/>
    <x v="53"/>
    <n v="31310101"/>
    <x v="0"/>
    <n v="313101010"/>
    <x v="0"/>
    <n v="3131010100"/>
    <x v="0"/>
    <n v="280"/>
    <s v="Títulos valores de deuda interna"/>
    <n v="0"/>
    <n v="0"/>
    <n v="0"/>
    <n v="0"/>
    <n v="31729699794.720001"/>
    <n v="134486882711.06"/>
    <n v="21578420387.02"/>
    <n v="10740843064.84"/>
    <n v="515825030.44999999"/>
    <n v="48224095144.720001"/>
    <n v="64328458795.230003"/>
    <n v="98707209200.580002"/>
    <n v="62395251304.169998"/>
    <n v="83144156818.25"/>
    <n v="50710719779.089996"/>
    <n v="606561562030.13"/>
    <n v="-606561562030.13"/>
    <n v="0"/>
    <n v="100"/>
  </r>
  <r>
    <x v="123"/>
    <x v="0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3152267.2"/>
    <n v="0"/>
    <n v="512138838.98000002"/>
    <n v="130186909.75"/>
    <n v="527733759.38"/>
    <n v="209067558.27000001"/>
    <n v="164544436.47"/>
    <n v="0"/>
    <n v="860153654.97000003"/>
    <n v="367392047.06"/>
    <n v="333330452.85000002"/>
    <n v="1469901819.28"/>
    <n v="4577601744.21"/>
    <n v="-4577601744.21"/>
    <n v="0"/>
    <n v="100"/>
  </r>
  <r>
    <x v="124"/>
    <x v="0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1038405192"/>
    <n v="0"/>
    <n v="0"/>
    <n v="87003282.530000001"/>
    <n v="187034400"/>
    <n v="492626756.62"/>
    <n v="619005418.61000001"/>
    <n v="0"/>
    <n v="91152970.390000001"/>
    <n v="412215508.69"/>
    <n v="-11687175"/>
    <n v="539156803.45000005"/>
    <n v="3454913157.29"/>
    <n v="-3454913157.29"/>
    <n v="0"/>
    <n v="100"/>
  </r>
  <r>
    <x v="125"/>
    <x v="0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90056164.81"/>
    <n v="166537223.06"/>
    <n v="428288965.58999997"/>
    <n v="319977044.39999998"/>
    <n v="0"/>
    <n v="0"/>
    <n v="480088078.74000001"/>
    <n v="0"/>
    <n v="91537150.609999999"/>
    <n v="638372769.23000002"/>
    <n v="2514857396.4400001"/>
    <n v="-2514857396.4400001"/>
    <n v="0"/>
    <n v="100"/>
  </r>
  <r>
    <x v="126"/>
    <x v="0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17190904.800000001"/>
    <n v="0"/>
    <n v="19519635.920000002"/>
    <n v="31486094.59"/>
    <n v="38533954.899999999"/>
    <n v="159116650.19"/>
    <n v="65871761.859999999"/>
    <n v="0"/>
    <n v="93350900.379999995"/>
    <n v="91577839.049999997"/>
    <n v="25732097.219999999"/>
    <n v="175695274.06"/>
    <n v="718075112.97000003"/>
    <n v="-718075112.97000003"/>
    <n v="0"/>
    <n v="100"/>
  </r>
  <r>
    <x v="127"/>
    <x v="0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25981500"/>
    <n v="29814193.940000001"/>
    <n v="0"/>
    <n v="0"/>
    <n v="0"/>
    <n v="0"/>
    <n v="5048662.03"/>
    <n v="91133000"/>
    <n v="90994750"/>
    <n v="124490000"/>
    <n v="367462105.97000003"/>
    <n v="-367462105.97000003"/>
    <n v="0"/>
    <n v="100"/>
  </r>
  <r>
    <x v="128"/>
    <x v="0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165106914.55000001"/>
    <n v="0"/>
    <n v="0"/>
    <n v="0"/>
    <n v="0"/>
    <n v="0"/>
    <n v="275229350.77999997"/>
    <n v="156742376.22"/>
    <n v="597078641.54999995"/>
    <n v="-597078641.54999995"/>
    <n v="0"/>
    <n v="100"/>
  </r>
  <r>
    <x v="129"/>
    <x v="0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8500000"/>
    <n v="8500000"/>
    <n v="-8500000"/>
    <n v="0"/>
    <n v="100"/>
  </r>
  <r>
    <x v="130"/>
    <x v="0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95621742.620000005"/>
    <n v="0"/>
    <n v="128890339.34"/>
    <n v="38332872.039999999"/>
    <n v="286963829.04000002"/>
    <n v="99466359.159999996"/>
    <n v="407912267.22000003"/>
    <n v="0"/>
    <n v="99108021.370000005"/>
    <n v="95108105.329999998"/>
    <n v="130861301.59999999"/>
    <n v="544038562.88"/>
    <n v="1926303400.5999999"/>
    <n v="-1926303400.5999999"/>
    <n v="0"/>
    <n v="100"/>
  </r>
  <r>
    <x v="131"/>
    <x v="0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0"/>
    <n v="0"/>
    <n v="0"/>
    <n v="0"/>
    <n v="0"/>
    <n v="0"/>
    <n v="1781792.88"/>
    <n v="436706.26"/>
    <n v="0"/>
    <n v="0"/>
    <n v="512930.72"/>
    <n v="0"/>
    <n v="1661651.3"/>
    <n v="10820155.92"/>
    <n v="15213237.08"/>
    <n v="-15213237.08"/>
    <n v="0"/>
    <n v="100"/>
  </r>
  <r>
    <x v="132"/>
    <x v="0"/>
    <x v="114"/>
    <n v="3"/>
    <x v="2"/>
    <n v="33"/>
    <x v="8"/>
    <n v="331"/>
    <x v="17"/>
    <n v="3311"/>
    <x v="35"/>
    <n v="331104"/>
    <x v="44"/>
    <n v="33110400"/>
    <x v="0"/>
    <n v="331104000"/>
    <x v="0"/>
    <n v="3311040000"/>
    <x v="0"/>
    <n v="980"/>
    <s v="Superávit Poder Judicial"/>
    <m/>
    <m/>
    <m/>
    <n v="0"/>
    <n v="0"/>
    <n v="0"/>
    <n v="0"/>
    <n v="752196486.84000003"/>
    <n v="584169625.82000005"/>
    <n v="0"/>
    <n v="0"/>
    <n v="1163942987.3499999"/>
    <n v="0"/>
    <n v="1056676157.2"/>
    <n v="1723314698.3599999"/>
    <n v="5280299955.5699997"/>
    <n v="-5280299955.5699997"/>
    <n v="0"/>
    <n v="100"/>
  </r>
  <r>
    <x v="133"/>
    <x v="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2639219142.02"/>
    <n v="1509236860.4200001"/>
    <n v="11679326020.379999"/>
    <n v="2264807598.0700002"/>
    <n v="3450938207.3800001"/>
    <n v="3374709298.3400002"/>
    <n v="4647342810.6700001"/>
    <n v="2611557158.5799999"/>
    <n v="1773828865.05"/>
    <n v="5238863363.4399996"/>
    <n v="3127173799.96"/>
    <n v="4442899417.7600002"/>
    <n v="46759902542.07"/>
    <n v="-46759902542.07"/>
    <n v="0"/>
    <n v="100"/>
  </r>
  <r>
    <x v="134"/>
    <x v="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7420737982.5200005"/>
    <n v="2454167508.96"/>
    <n v="2877041282.4299998"/>
    <n v="3030857572.3699999"/>
    <n v="4599094879.4499998"/>
    <n v="791127013.60000002"/>
    <n v="0"/>
    <n v="5828414004.9899998"/>
    <n v="1447068797.8499999"/>
    <n v="2576928850.75"/>
    <n v="31025437892.919998"/>
    <n v="-31025437892.919998"/>
    <n v="0"/>
    <n v="100"/>
  </r>
  <r>
    <x v="135"/>
    <x v="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1453183707.8"/>
    <n v="706888564.67999995"/>
    <n v="2413207626.4499998"/>
    <n v="233645288.25"/>
    <n v="1275829241.3199999"/>
    <n v="957462474.75999999"/>
    <n v="0"/>
    <n v="2210836018.2199998"/>
    <n v="10598333013.68"/>
    <n v="6901382157.4899998"/>
    <n v="26750768092.650002"/>
    <n v="-26750768092.650002"/>
    <n v="0"/>
    <n v="100"/>
  </r>
  <r>
    <x v="136"/>
    <x v="1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25065666"/>
    <n v="210345083"/>
    <n v="2653785037.48"/>
    <n v="382665116.13999999"/>
    <n v="720446916.50999999"/>
    <n v="3494462848.4299998"/>
    <n v="1310256743.05"/>
    <n v="63982247036.949997"/>
    <n v="216504211.94"/>
    <n v="4271303170.1500001"/>
    <n v="686625973.74000001"/>
    <n v="5301685546.9799995"/>
    <n v="83255393350.369995"/>
    <n v="-83255393350.369995"/>
    <n v="0"/>
    <n v="100"/>
  </r>
  <r>
    <x v="137"/>
    <x v="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33890348029.200001"/>
    <n v="25257466219"/>
    <n v="84135380001.580002"/>
    <n v="51861617109.550003"/>
    <n v="889611172.59000003"/>
    <n v="24681237865.200001"/>
    <n v="73275080369.059998"/>
    <n v="-57652750431.029999"/>
    <n v="49381513141.93"/>
    <n v="38008740188.050003"/>
    <n v="-10216048147.950001"/>
    <n v="84342621185.509995"/>
    <n v="397854816702.69"/>
    <n v="-397854816702.69"/>
    <n v="0"/>
    <n v="100"/>
  </r>
  <r>
    <x v="138"/>
    <x v="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9"/>
    <x v="1"/>
    <x v="121"/>
    <n v="1"/>
    <x v="0"/>
    <n v="11"/>
    <x v="0"/>
    <n v="111"/>
    <x v="0"/>
    <n v="1113"/>
    <x v="2"/>
    <n v="111301"/>
    <x v="5"/>
    <n v="11130102"/>
    <x v="2"/>
    <n v="111301021"/>
    <x v="0"/>
    <n v="1113010210"/>
    <x v="0"/>
    <n v="1"/>
    <s v="Ingresos corrientes"/>
    <n v="0"/>
    <n v="0"/>
    <n v="0"/>
    <n v="0"/>
    <n v="0"/>
    <n v="1618067479.99"/>
    <n v="213661645.25999999"/>
    <n v="755392831.62"/>
    <n v="158875573.99000001"/>
    <n v="684929574.57000005"/>
    <n v="224584310.66999999"/>
    <n v="0"/>
    <n v="654663721.83000004"/>
    <n v="727595689.72000003"/>
    <n v="528509945.55000001"/>
    <n v="5566280773.1999998"/>
    <n v="-5566280773.1999998"/>
    <n v="0"/>
    <n v="100"/>
  </r>
  <r>
    <x v="12"/>
    <x v="1"/>
    <x v="12"/>
    <n v="1"/>
    <x v="0"/>
    <n v="11"/>
    <x v="0"/>
    <n v="111"/>
    <x v="0"/>
    <n v="1113"/>
    <x v="2"/>
    <n v="111302"/>
    <x v="6"/>
    <n v="11130201"/>
    <x v="1"/>
    <n v="111302011"/>
    <x v="0"/>
    <n v="1113020110"/>
    <x v="0"/>
    <n v="1"/>
    <s v="Ingresos corrientes"/>
    <n v="0"/>
    <n v="0"/>
    <n v="0"/>
    <n v="-111393667.17"/>
    <n v="-157203929.03"/>
    <n v="2414884149.1700001"/>
    <n v="8209538279.46"/>
    <n v="9345125953.1499996"/>
    <n v="10876298482.76"/>
    <n v="1031745546.79"/>
    <n v="11143955598.57"/>
    <n v="-2930475791.73"/>
    <n v="11055415097"/>
    <n v="15462341021.65"/>
    <n v="12002595143.120001"/>
    <n v="78342825883.740005"/>
    <n v="-78342825883.740005"/>
    <n v="0"/>
    <n v="100"/>
  </r>
  <r>
    <x v="140"/>
    <x v="1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0"/>
    <n v="0"/>
    <n v="0"/>
    <n v="0"/>
    <n v="5474624875.5699997"/>
    <n v="859437174.60000002"/>
    <n v="2069534078.5"/>
    <n v="655627285.71000004"/>
    <n v="2003659558.27"/>
    <n v="561271979.46000004"/>
    <n v="1219596.8799999999"/>
    <n v="3012986549.3899999"/>
    <n v="1259530627.8800001"/>
    <n v="3145553218.4000001"/>
    <n v="19043444944.66"/>
    <n v="-19043444944.66"/>
    <n v="0"/>
    <n v="100"/>
  </r>
  <r>
    <x v="18"/>
    <x v="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623102500"/>
    <n v="0"/>
    <n v="8507"/>
    <n v="0"/>
    <n v="0"/>
    <n v="0"/>
    <n v="0"/>
    <n v="0"/>
    <n v="0"/>
    <n v="0"/>
    <n v="0"/>
    <n v="2655925"/>
    <n v="625766932"/>
    <n v="-625766932"/>
    <n v="0"/>
    <n v="100"/>
  </r>
  <r>
    <x v="141"/>
    <x v="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2797472755.41"/>
    <n v="7514082398.8599997"/>
    <n v="2308487146.3400002"/>
    <n v="1538672617.6300001"/>
    <n v="1754003118.9100001"/>
    <n v="1405465366.8599999"/>
    <n v="1114910277.24"/>
    <n v="964341318.32000005"/>
    <n v="773697490.27999997"/>
    <n v="663887166.53999996"/>
    <n v="560231003.77999997"/>
    <n v="36903885017.139999"/>
    <n v="68299135677.309998"/>
    <n v="-68299135677.309998"/>
    <n v="0"/>
    <n v="100"/>
  </r>
  <r>
    <x v="21"/>
    <x v="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31490987"/>
    <n v="14951654"/>
    <n v="3970677"/>
    <n v="1518284"/>
    <n v="2405107"/>
    <n v="2068174"/>
    <n v="1749649"/>
    <n v="1759304"/>
    <n v="1464985"/>
    <n v="1397454"/>
    <n v="1366836"/>
    <n v="6801608"/>
    <n v="70944719"/>
    <n v="-70944719"/>
    <n v="0"/>
    <n v="100"/>
  </r>
  <r>
    <x v="22"/>
    <x v="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7912677.8399999999"/>
    <n v="18410224.829999998"/>
    <n v="549857663.47000003"/>
    <n v="391836310.00999999"/>
    <n v="21026989.539999999"/>
    <n v="10155707.26"/>
    <n v="24292904.32"/>
    <n v="11248253.83"/>
    <n v="8627853.3499999996"/>
    <n v="15339861.970000001"/>
    <n v="9261285.3900000006"/>
    <n v="1067969731.8099999"/>
    <n v="-1067969731.8099999"/>
    <n v="0"/>
    <n v="100"/>
  </r>
  <r>
    <x v="23"/>
    <x v="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1196580298.1199999"/>
    <n v="1520103643.4100001"/>
    <n v="1441712542.75"/>
    <n v="1620470916.4100001"/>
    <n v="1684003837.8800001"/>
    <n v="1829386945.78"/>
    <n v="1665224223.5999999"/>
    <n v="1283983014.22"/>
    <n v="1228711099.1099999"/>
    <n v="1417889760.6099999"/>
    <n v="1155404248.49"/>
    <n v="1160823030.8199999"/>
    <n v="17204293561.200001"/>
    <n v="-17204293561.200001"/>
    <n v="0"/>
    <n v="100"/>
  </r>
  <r>
    <x v="24"/>
    <x v="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793133024.07000005"/>
    <n v="987007263.45000005"/>
    <n v="834888438.25"/>
    <n v="1029414123.49"/>
    <n v="1004499567.59"/>
    <n v="965182443.35000002"/>
    <n v="933345574.33000004"/>
    <n v="785273474.45000005"/>
    <n v="880465637.95000005"/>
    <n v="902102648.25"/>
    <n v="933036461.66999996"/>
    <n v="505208521"/>
    <n v="10553557177.85"/>
    <n v="-10553557177.85"/>
    <n v="0"/>
    <n v="100"/>
  </r>
  <r>
    <x v="142"/>
    <x v="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5"/>
    <x v="1"/>
    <x v="25"/>
    <n v="1"/>
    <x v="0"/>
    <n v="11"/>
    <x v="0"/>
    <n v="113"/>
    <x v="2"/>
    <n v="1131"/>
    <x v="9"/>
    <n v="113101"/>
    <x v="14"/>
    <n v="11310101"/>
    <x v="3"/>
    <n v="113101011"/>
    <x v="1"/>
    <n v="1131010110"/>
    <x v="0"/>
    <n v="1"/>
    <s v="Ingresos corrientes"/>
    <n v="0"/>
    <n v="0"/>
    <n v="0"/>
    <n v="43237883506.290001"/>
    <n v="36003082392.059998"/>
    <n v="35232102261.169998"/>
    <n v="38710770342.610001"/>
    <n v="35910984698.599998"/>
    <n v="35488220651.470001"/>
    <n v="35728545291.449997"/>
    <n v="37501443984.540001"/>
    <n v="37034960194.510002"/>
    <n v="35741578990.029999"/>
    <n v="33902936597.889999"/>
    <n v="37735576224.730003"/>
    <n v="442228085135.34998"/>
    <n v="-442228085135.34998"/>
    <n v="0"/>
    <n v="100"/>
  </r>
  <r>
    <x v="26"/>
    <x v="1"/>
    <x v="26"/>
    <n v="1"/>
    <x v="0"/>
    <n v="11"/>
    <x v="0"/>
    <n v="113"/>
    <x v="2"/>
    <n v="1131"/>
    <x v="9"/>
    <n v="113101"/>
    <x v="14"/>
    <n v="11310102"/>
    <x v="4"/>
    <n v="113101021"/>
    <x v="2"/>
    <n v="1131010210"/>
    <x v="0"/>
    <n v="1"/>
    <s v="Ingresos corrientes"/>
    <n v="0"/>
    <n v="0"/>
    <n v="0"/>
    <n v="38800467939.260002"/>
    <n v="37786000017.480003"/>
    <n v="34376163794.279999"/>
    <n v="41426548220.790001"/>
    <n v="43833571373.849998"/>
    <n v="38973734073.040001"/>
    <n v="48138902515.779999"/>
    <n v="46204317879.169998"/>
    <n v="43754107808.260002"/>
    <n v="48685412502.559998"/>
    <n v="38459192235.18"/>
    <n v="34054433500.299999"/>
    <n v="494492851859.95001"/>
    <n v="-494492851859.95001"/>
    <n v="0"/>
    <n v="100"/>
  </r>
  <r>
    <x v="27"/>
    <x v="1"/>
    <x v="27"/>
    <n v="1"/>
    <x v="0"/>
    <n v="11"/>
    <x v="0"/>
    <n v="113"/>
    <x v="2"/>
    <n v="1131"/>
    <x v="9"/>
    <n v="113102"/>
    <x v="15"/>
    <n v="11310201"/>
    <x v="5"/>
    <n v="113102011"/>
    <x v="3"/>
    <n v="1131020110"/>
    <x v="0"/>
    <n v="1"/>
    <s v="Ingresos corrientes"/>
    <n v="0"/>
    <n v="0"/>
    <n v="0"/>
    <n v="2294814081.6199999"/>
    <n v="1774757371"/>
    <n v="1724138409"/>
    <n v="2031467230"/>
    <n v="1904960116.5999999"/>
    <n v="1975420239"/>
    <n v="1618501695"/>
    <n v="1918991016.4300001"/>
    <n v="1753759915.55"/>
    <n v="1944190047"/>
    <n v="2371602212.3299999"/>
    <n v="1510161199"/>
    <n v="22822763532.529999"/>
    <n v="-22822763532.529999"/>
    <n v="0"/>
    <n v="100"/>
  </r>
  <r>
    <x v="28"/>
    <x v="1"/>
    <x v="28"/>
    <n v="1"/>
    <x v="0"/>
    <n v="11"/>
    <x v="0"/>
    <n v="113"/>
    <x v="2"/>
    <n v="1131"/>
    <x v="9"/>
    <n v="113102"/>
    <x v="15"/>
    <n v="11310202"/>
    <x v="6"/>
    <n v="113102021"/>
    <x v="4"/>
    <n v="1131020210"/>
    <x v="0"/>
    <n v="1"/>
    <s v="Ingresos corrientes"/>
    <n v="0"/>
    <n v="0"/>
    <n v="0"/>
    <n v="12558723245.99"/>
    <n v="12873521119.84"/>
    <n v="12891968562.809999"/>
    <n v="13835454814.16"/>
    <n v="12341355652.32"/>
    <n v="11755848016.15"/>
    <n v="13718612767.07"/>
    <n v="11975853583.65"/>
    <n v="10272175750.809999"/>
    <n v="11179221905.1"/>
    <n v="9085542152.9899998"/>
    <n v="8956612396.0599995"/>
    <n v="141444889966.95001"/>
    <n v="-141444889966.95001"/>
    <n v="0"/>
    <n v="100"/>
  </r>
  <r>
    <x v="143"/>
    <x v="1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4100"/>
    <n v="0"/>
    <n v="0"/>
    <n v="0"/>
    <n v="0"/>
    <n v="0"/>
    <n v="0"/>
    <n v="0"/>
    <n v="0"/>
    <n v="4200"/>
    <n v="0"/>
    <n v="8300"/>
    <n v="-8300"/>
    <n v="0"/>
    <n v="100"/>
  </r>
  <r>
    <x v="29"/>
    <x v="1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0"/>
    <n v="1500"/>
    <n v="0"/>
    <n v="0"/>
    <n v="0"/>
    <n v="0"/>
    <n v="0"/>
    <n v="0"/>
    <n v="0"/>
    <n v="0"/>
    <n v="0"/>
    <n v="1500"/>
    <n v="-1500"/>
    <n v="0"/>
    <n v="100"/>
  </r>
  <r>
    <x v="30"/>
    <x v="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5245084524"/>
    <n v="12743422473"/>
    <n v="17030900909"/>
    <n v="13470492448.68"/>
    <n v="11933146023"/>
    <n v="16403259689.110001"/>
    <n v="11303279842"/>
    <n v="19560793756"/>
    <n v="17222473317"/>
    <n v="22217600898"/>
    <n v="24109112552"/>
    <n v="9842834440"/>
    <n v="191082400871.79001"/>
    <n v="-191082400871.79001"/>
    <n v="0"/>
    <n v="100"/>
  </r>
  <r>
    <x v="31"/>
    <x v="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8231028111"/>
    <n v="10504860847"/>
    <n v="6134081972"/>
    <n v="20243612918"/>
    <n v="8150902185"/>
    <n v="1991148196"/>
    <n v="4815203996.6199999"/>
    <n v="1005202407.51"/>
    <n v="800462765.33000004"/>
    <n v="669789593.86000001"/>
    <n v="1054219673.35"/>
    <n v="13387254675.620001"/>
    <n v="76987767341.289993"/>
    <n v="-76987767341.289993"/>
    <n v="0"/>
    <n v="100"/>
  </r>
  <r>
    <x v="32"/>
    <x v="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001167107"/>
    <n v="1749645322"/>
    <n v="1977548460"/>
    <n v="2360277879"/>
    <n v="1747103993.45"/>
    <n v="2039882601"/>
    <n v="1913786296"/>
    <n v="1965852359"/>
    <n v="1671419475"/>
    <n v="2011701393"/>
    <n v="1953727328"/>
    <n v="2472827231"/>
    <n v="24864939444.450001"/>
    <n v="-24864939444.450001"/>
    <n v="0"/>
    <n v="100"/>
  </r>
  <r>
    <x v="33"/>
    <x v="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43942428"/>
    <n v="417013794"/>
    <n v="328306431"/>
    <n v="340465681"/>
    <n v="403220991"/>
    <n v="252743228"/>
    <n v="331449286"/>
    <n v="344480678.01999998"/>
    <n v="309510433.22000003"/>
    <n v="610280690.99000001"/>
    <n v="476030849.87"/>
    <n v="490801348.67000002"/>
    <n v="4548245839.7700005"/>
    <n v="-4548245839.7700005"/>
    <n v="0"/>
    <n v="100"/>
  </r>
  <r>
    <x v="34"/>
    <x v="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1993123255"/>
    <n v="1533925589"/>
    <n v="1741486249"/>
    <n v="1849737298"/>
    <n v="1802483543"/>
    <n v="1812188100"/>
    <n v="1719984508"/>
    <n v="1790942313"/>
    <n v="1823730327"/>
    <n v="1716159851"/>
    <n v="1848483323"/>
    <n v="1740534866"/>
    <n v="21372779222"/>
    <n v="-21372779222"/>
    <n v="0"/>
    <n v="100"/>
  </r>
  <r>
    <x v="35"/>
    <x v="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126078786"/>
    <n v="116757481"/>
    <n v="95575582"/>
    <n v="132125880"/>
    <n v="118809972"/>
    <n v="124894748"/>
    <n v="119775717"/>
    <n v="101551073.39"/>
    <n v="98224754.290000007"/>
    <n v="118177148.63"/>
    <n v="98630091.75"/>
    <n v="92680091.430000007"/>
    <n v="1343281325.49"/>
    <n v="-1343281325.49"/>
    <n v="0"/>
    <n v="100"/>
  </r>
  <r>
    <x v="36"/>
    <x v="1"/>
    <x v="32"/>
    <n v="1"/>
    <x v="0"/>
    <n v="11"/>
    <x v="0"/>
    <n v="113"/>
    <x v="2"/>
    <n v="1132"/>
    <x v="10"/>
    <n v="113201"/>
    <x v="16"/>
    <n v="11320104"/>
    <x v="11"/>
    <n v="113201043"/>
    <x v="8"/>
    <n v="1132010432"/>
    <x v="0"/>
    <n v="1"/>
    <s v="Ingresos corrientes"/>
    <n v="0"/>
    <n v="0"/>
    <n v="0"/>
    <n v="72305181.269999996"/>
    <n v="79428902"/>
    <n v="81084810.430000007"/>
    <n v="95845389"/>
    <n v="76991983"/>
    <n v="98740408"/>
    <n v="102513912"/>
    <n v="79550976.75"/>
    <n v="75268891.319999993"/>
    <n v="70644086.549999997"/>
    <n v="98515640.230000004"/>
    <n v="78252410.450000003"/>
    <n v="1009142591"/>
    <n v="-1009142591"/>
    <n v="0"/>
    <n v="100"/>
  </r>
  <r>
    <x v="144"/>
    <x v="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24546634.27"/>
    <n v="0"/>
    <n v="22026142.25"/>
    <n v="26374481.550000001"/>
    <n v="25349932.289999999"/>
    <n v="24281653.25"/>
    <n v="24893355.73"/>
    <n v="23654925.940000001"/>
    <n v="24543452.050000001"/>
    <n v="24269540.649999999"/>
    <n v="219940117.97999999"/>
    <n v="-219940117.97999999"/>
    <n v="0"/>
    <n v="100"/>
  </r>
  <r>
    <x v="37"/>
    <x v="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8215971.619999997"/>
    <n v="41686315.869999997"/>
    <n v="36516122.590000004"/>
    <n v="53068525.890000001"/>
    <n v="33587012.950000003"/>
    <n v="25573905.559999999"/>
    <n v="38880652.609999999"/>
    <n v="24619301.91"/>
    <n v="38997672.880000003"/>
    <n v="29909894.530000001"/>
    <n v="39379839.340000004"/>
    <n v="37765426"/>
    <n v="458200641.75"/>
    <n v="-458200641.75"/>
    <n v="0"/>
    <n v="100"/>
  </r>
  <r>
    <x v="145"/>
    <x v="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9107334870.6900005"/>
    <n v="8743688602.0799999"/>
    <n v="8098969582.8800001"/>
    <n v="9579070817.0499992"/>
    <n v="9695435264.9200001"/>
    <n v="9474255754.9899998"/>
    <n v="11399396330.75"/>
    <n v="11269724936.5"/>
    <n v="11073887949.799999"/>
    <n v="13168101165.09"/>
    <n v="11702882829.450001"/>
    <n v="11237587408.16"/>
    <n v="124550335512.36"/>
    <n v="-124550335512.36"/>
    <n v="0"/>
    <n v="100"/>
  </r>
  <r>
    <x v="40"/>
    <x v="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617346960.0599999"/>
    <n v="2438429604.8299999"/>
    <n v="2111669726.9200001"/>
    <n v="2776122133.4499998"/>
    <n v="2741874649.8699999"/>
    <n v="2374857999.27"/>
    <n v="3032856190.25"/>
    <n v="3117024056.8299999"/>
    <n v="2962025032.5799999"/>
    <n v="3199357214.52"/>
    <n v="2519150630.52"/>
    <n v="2374988340.1999998"/>
    <n v="32265702539.299999"/>
    <n v="-32265702539.299999"/>
    <n v="0"/>
    <n v="100"/>
  </r>
  <r>
    <x v="41"/>
    <x v="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25804678"/>
    <n v="233895583"/>
    <n v="682770651"/>
    <n v="960994544.57000005"/>
    <n v="396319593"/>
    <n v="562524348.80999994"/>
    <n v="322254175"/>
    <n v="184686504.72"/>
    <n v="10522254"/>
    <n v="550803238.10000002"/>
    <n v="169648616.06999999"/>
    <n v="207487998.43000001"/>
    <n v="4507712184.6999998"/>
    <n v="-4507712184.6999998"/>
    <n v="0"/>
    <n v="100"/>
  </r>
  <r>
    <x v="42"/>
    <x v="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5890131.5"/>
    <n v="12278647.5"/>
    <n v="12215212.5"/>
    <n v="13536564"/>
    <n v="12969134"/>
    <n v="14723973.359999999"/>
    <n v="13401165.76"/>
    <n v="10255049.5"/>
    <n v="12949898.130000001"/>
    <n v="15255592.23"/>
    <n v="10731001.6"/>
    <n v="15487818.960000001"/>
    <n v="159694189.03999999"/>
    <n v="-159694189.03999999"/>
    <n v="0"/>
    <n v="100"/>
  </r>
  <r>
    <x v="43"/>
    <x v="1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166"/>
    <n v="0"/>
    <n v="174"/>
    <n v="41"/>
    <n v="217"/>
    <n v="257"/>
    <n v="0"/>
    <n v="0"/>
    <n v="149.37"/>
    <n v="0"/>
    <n v="0"/>
    <n v="1004.37"/>
    <n v="-1004.37"/>
    <n v="0"/>
    <n v="100"/>
  </r>
  <r>
    <x v="44"/>
    <x v="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611743673.7600002"/>
    <n v="2188267310.5799999"/>
    <n v="2383797224.2199998"/>
    <n v="2330433538.9400001"/>
    <n v="1792712097.28"/>
    <n v="1847493587.4200001"/>
    <n v="2391379768.4400001"/>
    <n v="2356096677.1399999"/>
    <n v="1768151029.3199999"/>
    <n v="1494402476.0599999"/>
    <n v="1635620984.6400001"/>
    <n v="2139244266.6199999"/>
    <n v="24939342634.419998"/>
    <n v="-24939342634.419998"/>
    <n v="0"/>
    <n v="100"/>
  </r>
  <r>
    <x v="45"/>
    <x v="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20547396.27"/>
    <n v="590703668.94000006"/>
    <n v="502052482.61000001"/>
    <n v="845949691.08000004"/>
    <n v="370686821.81"/>
    <n v="443099123.73000002"/>
    <n v="428616968.88999999"/>
    <n v="296429952.72000003"/>
    <n v="510089954.42000002"/>
    <n v="303362442.41000003"/>
    <n v="481371237.42000002"/>
    <n v="448767175.18000001"/>
    <n v="5241676915.4799995"/>
    <n v="-5241676915.4799995"/>
    <n v="0"/>
    <n v="100"/>
  </r>
  <r>
    <x v="46"/>
    <x v="1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53098470.69999999"/>
    <n v="96401921.939999998"/>
    <n v="134939048.78999999"/>
    <n v="216687020.81999999"/>
    <n v="37974966.960000001"/>
    <n v="305891613.08999997"/>
    <n v="240379695.46000001"/>
    <n v="140640999.81"/>
    <n v="422574909.44"/>
    <n v="324229450.68000001"/>
    <n v="209237607.25999999"/>
    <n v="734807381.01999998"/>
    <n v="3016863085.9699998"/>
    <n v="-3016863085.9699998"/>
    <n v="0"/>
    <n v="100"/>
  </r>
  <r>
    <x v="146"/>
    <x v="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632949080.80999994"/>
    <n v="94145776.579999998"/>
    <n v="94531978.840000004"/>
    <n v="62101848.689999998"/>
    <n v="66597626.899999999"/>
    <n v="950326311.82000005"/>
    <n v="-950326311.82000005"/>
    <n v="0"/>
    <n v="100"/>
  </r>
  <r>
    <x v="47"/>
    <x v="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184684289.56999999"/>
    <n v="164600468.91999999"/>
    <n v="215086691.08000001"/>
    <n v="204828498.16999999"/>
    <n v="190113174.16999999"/>
    <n v="232738635.02000001"/>
    <n v="440734407.16000003"/>
    <n v="307026562.26999998"/>
    <n v="338795953.43000001"/>
    <n v="415067021.79000002"/>
    <n v="344752564.88"/>
    <n v="533315297.26999998"/>
    <n v="3571743563.73"/>
    <n v="-3571743563.73"/>
    <n v="0"/>
    <n v="100"/>
  </r>
  <r>
    <x v="147"/>
    <x v="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2798429.9"/>
    <n v="3578721"/>
    <n v="2951415.5"/>
    <n v="3324427.3"/>
    <n v="3361233.2"/>
    <n v="9721342.4000000004"/>
    <n v="1250"/>
    <n v="5075"/>
    <n v="30438413.949999999"/>
    <n v="9275929.1999999993"/>
    <n v="184300"/>
    <n v="13750967.789999999"/>
    <n v="79391505.239999995"/>
    <n v="-79391505.239999995"/>
    <n v="0"/>
    <n v="100"/>
  </r>
  <r>
    <x v="51"/>
    <x v="1"/>
    <x v="45"/>
    <n v="1"/>
    <x v="0"/>
    <n v="11"/>
    <x v="0"/>
    <n v="119"/>
    <x v="4"/>
    <n v="1199"/>
    <x v="15"/>
    <n v="119902"/>
    <x v="28"/>
    <n v="11990201"/>
    <x v="20"/>
    <n v="119902010"/>
    <x v="0"/>
    <n v="1199020100"/>
    <x v="0"/>
    <n v="1"/>
    <s v="Ingresos corrientes"/>
    <n v="0"/>
    <n v="0"/>
    <n v="0"/>
    <n v="-855157135.57000005"/>
    <n v="-518984543.88"/>
    <n v="941078760.69000006"/>
    <n v="-1166782759.3900001"/>
    <n v="4154872378.4200001"/>
    <n v="3711748576.54"/>
    <n v="-5112151938.8699999"/>
    <n v="1116524300.71"/>
    <n v="385681218.13"/>
    <n v="-595009828.28999996"/>
    <n v="1069944513.28"/>
    <n v="-3131763541.77"/>
    <n v="0"/>
    <n v="0"/>
    <n v="0"/>
    <n v="100"/>
  </r>
  <r>
    <x v="52"/>
    <x v="1"/>
    <x v="46"/>
    <n v="1"/>
    <x v="0"/>
    <n v="11"/>
    <x v="0"/>
    <n v="119"/>
    <x v="4"/>
    <n v="1199"/>
    <x v="15"/>
    <n v="119902"/>
    <x v="28"/>
    <n v="11990202"/>
    <x v="21"/>
    <n v="119902020"/>
    <x v="0"/>
    <n v="1199020200"/>
    <x v="0"/>
    <n v="1"/>
    <s v="Ingresos corrientes"/>
    <n v="0"/>
    <n v="0"/>
    <n v="0"/>
    <n v="1056619202.79"/>
    <n v="-19463400.129999999"/>
    <n v="-385182253.31999999"/>
    <n v="-655188816.99000001"/>
    <n v="-91128885.700000003"/>
    <n v="-199950972.88999999"/>
    <n v="-21340952.420000002"/>
    <n v="101092818.34999999"/>
    <n v="311737051.61000001"/>
    <n v="-141327403.86000001"/>
    <n v="105299656.64"/>
    <n v="-61166044.079999998"/>
    <n v="0"/>
    <n v="0"/>
    <n v="0"/>
    <n v="100"/>
  </r>
  <r>
    <x v="53"/>
    <x v="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158158193.25"/>
    <n v="552474985.96000004"/>
    <n v="856005191.25"/>
    <n v="1124086189.8"/>
    <n v="872610050.70000005"/>
    <n v="1023143916.61"/>
    <n v="1124585956.54"/>
    <n v="697251475.52999997"/>
    <n v="944965138.94000006"/>
    <n v="916408158.10000002"/>
    <n v="1130277413.8499999"/>
    <n v="1311114118.46"/>
    <n v="11711080788.99"/>
    <n v="-11711080788.99"/>
    <n v="0"/>
    <n v="100"/>
  </r>
  <r>
    <x v="54"/>
    <x v="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1837360871"/>
    <n v="2007065349"/>
    <n v="1923896946.5"/>
    <n v="2004169122.5"/>
    <n v="1963228467.5"/>
    <n v="1960568260.0999999"/>
    <n v="1977658310"/>
    <n v="2174092623.0999999"/>
    <n v="2239595199.6999998"/>
    <n v="2145058943.0999999"/>
    <n v="2167149099.5"/>
    <n v="2155051467.8000002"/>
    <n v="24554894659.799999"/>
    <n v="-24554894659.799999"/>
    <n v="0"/>
    <n v="100"/>
  </r>
  <r>
    <x v="55"/>
    <x v="1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32973949.33000004"/>
    <n v="635915171.57000005"/>
    <n v="597035538.95000005"/>
    <n v="606506028.38"/>
    <n v="591516307.62"/>
    <n v="599183653.32000005"/>
    <n v="598029365.01999998"/>
    <n v="667122269.92999995"/>
    <n v="626539980.98000002"/>
    <n v="640837345.84000003"/>
    <n v="628808751.38999999"/>
    <n v="640843702.33000004"/>
    <n v="7465312064.6599998"/>
    <n v="-7465312064.6599998"/>
    <n v="0"/>
    <n v="100"/>
  </r>
  <r>
    <x v="56"/>
    <x v="1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8339005"/>
    <n v="14577034.880000001"/>
    <n v="0"/>
    <n v="0"/>
    <n v="0"/>
    <n v="1562960.95"/>
    <n v="0"/>
    <n v="5051863.6100000003"/>
    <n v="53117789.939999998"/>
    <n v="9442749.8599999994"/>
    <n v="0"/>
    <n v="6645678"/>
    <n v="98737082.239999995"/>
    <n v="-98737082.239999995"/>
    <n v="0"/>
    <n v="100"/>
  </r>
  <r>
    <x v="58"/>
    <x v="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187500"/>
    <n v="598860"/>
    <n v="621774.5"/>
    <n v="405650"/>
    <n v="655737.5"/>
    <n v="550270"/>
    <n v="430000"/>
    <n v="448512.5"/>
    <n v="660000"/>
    <n v="371400"/>
    <n v="150000"/>
    <n v="100000"/>
    <n v="5179704.5"/>
    <n v="-5179704.5"/>
    <n v="0"/>
    <n v="100"/>
  </r>
  <r>
    <x v="59"/>
    <x v="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6483662.3799999999"/>
    <n v="4442521.0599999996"/>
    <n v="6076891.1399999997"/>
    <n v="5457489.5999999996"/>
    <n v="4836996.26"/>
    <n v="4451090.09"/>
    <n v="4089209.96"/>
    <n v="144261722.31"/>
    <n v="5423679.7199999997"/>
    <n v="5708856.0599999996"/>
    <n v="3689357.31"/>
    <n v="20052040.129999999"/>
    <n v="214973516.02000001"/>
    <n v="-214973516.02000001"/>
    <n v="0"/>
    <n v="100"/>
  </r>
  <r>
    <x v="60"/>
    <x v="1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126311349.61"/>
    <n v="34900937.619999997"/>
    <n v="119394025.87"/>
    <n v="214184700.81"/>
    <n v="102638700.06999999"/>
    <n v="289180617.63"/>
    <n v="208703701.91999999"/>
    <n v="122972196.58"/>
    <n v="325081984.54000002"/>
    <n v="261743480.80000001"/>
    <n v="152225139.06"/>
    <n v="595654805.63"/>
    <n v="2552991640.1399999"/>
    <n v="-2552991640.1399999"/>
    <n v="0"/>
    <n v="100"/>
  </r>
  <r>
    <x v="61"/>
    <x v="1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2537242.81"/>
    <n v="0"/>
    <n v="0"/>
    <n v="0"/>
    <n v="3643066.4"/>
    <n v="0"/>
    <n v="5516"/>
    <n v="0"/>
    <n v="0"/>
    <n v="0"/>
    <n v="0"/>
    <n v="6185825.21"/>
    <n v="-6185825.21"/>
    <n v="0"/>
    <n v="100"/>
  </r>
  <r>
    <x v="62"/>
    <x v="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58402.61"/>
    <n v="3133298.41"/>
    <n v="38970"/>
    <n v="10150"/>
    <n v="12200"/>
    <n v="2179579"/>
    <n v="23000"/>
    <n v="1091261.8999999999"/>
    <n v="46100"/>
    <n v="1193566.5"/>
    <n v="36600"/>
    <n v="333005601.45999998"/>
    <n v="341028729.88"/>
    <n v="-341028729.88"/>
    <n v="0"/>
    <n v="100"/>
  </r>
  <r>
    <x v="63"/>
    <x v="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931847205.87"/>
    <n v="229519999.99000001"/>
    <n v="50416555.869999997"/>
    <n v="38004337.170000002"/>
    <n v="23569299.98"/>
    <n v="23437539.039999999"/>
    <n v="16209220.75"/>
    <n v="15333610.65"/>
    <n v="16493711.32"/>
    <n v="10801106.279999999"/>
    <n v="9804248.8499999996"/>
    <n v="138547238.09"/>
    <n v="1503984073.8599999"/>
    <n v="-1503984073.8599999"/>
    <n v="0"/>
    <n v="100"/>
  </r>
  <r>
    <x v="64"/>
    <x v="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500386.76"/>
    <n v="4121444"/>
    <n v="3795121.84"/>
    <n v="4424921.9000000004"/>
    <n v="2467496"/>
    <n v="2285227.2599999998"/>
    <n v="3716679.78"/>
    <n v="2707282.66"/>
    <n v="2500521.6"/>
    <n v="3747376.6"/>
    <n v="3263151.4"/>
    <n v="2700056.34"/>
    <n v="40229666.140000001"/>
    <n v="-40229666.140000001"/>
    <n v="0"/>
    <n v="100"/>
  </r>
  <r>
    <x v="65"/>
    <x v="1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61070"/>
    <n v="113350"/>
    <n v="195240"/>
    <n v="720740.5"/>
    <n v="219300"/>
    <n v="83290"/>
    <n v="153410"/>
    <n v="157890"/>
    <n v="105150"/>
    <n v="1548646"/>
    <n v="142190"/>
    <n v="146200"/>
    <n v="3646476.5"/>
    <n v="-3646476.5"/>
    <n v="0"/>
    <n v="100"/>
  </r>
  <r>
    <x v="66"/>
    <x v="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380558.0299999993"/>
    <n v="9024124.5"/>
    <n v="9628567.8800000008"/>
    <n v="10073970"/>
    <n v="8405732.1999999993"/>
    <n v="7146397"/>
    <n v="8757046.5"/>
    <n v="7724302.2199999997"/>
    <n v="7344054.6600000001"/>
    <n v="8317537.0800000001"/>
    <n v="7619015.5300000003"/>
    <n v="10752165"/>
    <n v="104173470.59999999"/>
    <n v="-104173470.59999999"/>
    <n v="0"/>
    <n v="100"/>
  </r>
  <r>
    <x v="67"/>
    <x v="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374900"/>
    <n v="1890026"/>
    <n v="2727071"/>
    <n v="2125950"/>
    <n v="760970"/>
    <n v="1159866"/>
    <n v="2734660"/>
    <n v="1921842.6"/>
    <n v="523380"/>
    <n v="1139230"/>
    <n v="1616015.06"/>
    <n v="4651660"/>
    <n v="23625570.66"/>
    <n v="-23625570.66"/>
    <n v="0"/>
    <n v="100"/>
  </r>
  <r>
    <x v="148"/>
    <x v="1"/>
    <x v="130"/>
    <n v="1"/>
    <x v="0"/>
    <n v="13"/>
    <x v="2"/>
    <n v="131"/>
    <x v="6"/>
    <n v="1313"/>
    <x v="19"/>
    <n v="131302"/>
    <x v="35"/>
    <n v="13130203"/>
    <x v="54"/>
    <n v="131302031"/>
    <x v="24"/>
    <n v="1313020310"/>
    <x v="0"/>
    <n v="1"/>
    <s v="Ingresos corrientes"/>
    <n v="0"/>
    <n v="0"/>
    <n v="0"/>
    <n v="3062000"/>
    <n v="2821000"/>
    <n v="12395500"/>
    <n v="6127075"/>
    <n v="1968000"/>
    <n v="3241550"/>
    <n v="1583880"/>
    <n v="3780940"/>
    <n v="2104000"/>
    <n v="2199000"/>
    <n v="500"/>
    <n v="715850"/>
    <n v="39999295"/>
    <n v="-39999295"/>
    <n v="0"/>
    <n v="100"/>
  </r>
  <r>
    <x v="149"/>
    <x v="1"/>
    <x v="131"/>
    <n v="1"/>
    <x v="0"/>
    <n v="13"/>
    <x v="2"/>
    <n v="131"/>
    <x v="6"/>
    <n v="1313"/>
    <x v="19"/>
    <n v="131302"/>
    <x v="35"/>
    <n v="13130203"/>
    <x v="54"/>
    <n v="131302032"/>
    <x v="25"/>
    <n v="1313020320"/>
    <x v="0"/>
    <n v="1"/>
    <s v="Ingresos corrientes"/>
    <n v="0"/>
    <n v="0"/>
    <n v="0"/>
    <n v="35843472.5"/>
    <n v="3327750"/>
    <n v="4998575"/>
    <n v="4988037.5"/>
    <n v="2337715"/>
    <n v="4444615"/>
    <n v="8735625"/>
    <n v="1010000"/>
    <n v="462410.34"/>
    <n v="3600000"/>
    <n v="7041812.5"/>
    <n v="2074287.5"/>
    <n v="78864300.340000004"/>
    <n v="-78864300.340000004"/>
    <n v="0"/>
    <n v="100"/>
  </r>
  <r>
    <x v="69"/>
    <x v="1"/>
    <x v="63"/>
    <n v="1"/>
    <x v="0"/>
    <n v="13"/>
    <x v="2"/>
    <n v="132"/>
    <x v="7"/>
    <n v="1321"/>
    <x v="20"/>
    <n v="132101"/>
    <x v="36"/>
    <n v="13210100"/>
    <x v="0"/>
    <n v="132101000"/>
    <x v="0"/>
    <n v="13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31659230"/>
    <n v="0"/>
    <n v="31659230"/>
    <n v="-31659230"/>
    <n v="0"/>
    <n v="100"/>
  </r>
  <r>
    <x v="70"/>
    <x v="1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0"/>
    <n v="0"/>
    <n v="0"/>
    <n v="0"/>
    <n v="0"/>
    <n v="0"/>
    <n v="14573032"/>
    <n v="0"/>
    <n v="0"/>
    <n v="0"/>
    <n v="0"/>
    <n v="0"/>
    <n v="0"/>
    <n v="0"/>
    <n v="14573032"/>
    <n v="-14573032"/>
    <n v="0"/>
    <n v="100"/>
  </r>
  <r>
    <x v="71"/>
    <x v="1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0"/>
    <n v="0"/>
    <n v="0"/>
    <n v="0"/>
    <n v="0"/>
    <n v="0"/>
    <n v="0"/>
    <n v="11551077"/>
    <n v="0"/>
    <n v="0"/>
    <n v="3920000"/>
    <n v="0"/>
    <n v="15471077"/>
    <n v="-15471077"/>
    <n v="0"/>
    <n v="100"/>
  </r>
  <r>
    <x v="72"/>
    <x v="1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1595549.1"/>
    <n v="0"/>
    <n v="0"/>
    <n v="0"/>
    <n v="2250000"/>
    <n v="0"/>
    <n v="0"/>
    <n v="6095549.0999999996"/>
    <n v="-6095549.0999999996"/>
    <n v="0"/>
    <n v="100"/>
  </r>
  <r>
    <x v="150"/>
    <x v="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681231.5"/>
    <n v="4984257.82"/>
    <n v="16961795.41"/>
    <n v="5142841.09"/>
    <n v="6852834.1699999999"/>
    <n v="64333818.960000001"/>
    <n v="5659241.8099999996"/>
    <n v="8153713.04"/>
    <n v="10056119.380000001"/>
    <n v="4761889.12"/>
    <n v="13892910"/>
    <n v="7906566.9000000004"/>
    <n v="149387219.19999999"/>
    <n v="-149387219.19999999"/>
    <n v="0"/>
    <n v="100"/>
  </r>
  <r>
    <x v="73"/>
    <x v="1"/>
    <x v="67"/>
    <n v="1"/>
    <x v="0"/>
    <n v="13"/>
    <x v="2"/>
    <n v="133"/>
    <x v="8"/>
    <n v="1331"/>
    <x v="23"/>
    <n v="133101"/>
    <x v="40"/>
    <n v="13310101"/>
    <x v="0"/>
    <n v="133101010"/>
    <x v="0"/>
    <n v="1331010100"/>
    <x v="0"/>
    <n v="1"/>
    <s v="Ingresos corrientes"/>
    <n v="0"/>
    <n v="0"/>
    <n v="0"/>
    <n v="0"/>
    <n v="0"/>
    <n v="0"/>
    <n v="46770"/>
    <n v="0"/>
    <n v="0"/>
    <n v="406501795.82999998"/>
    <n v="0"/>
    <n v="0"/>
    <n v="0"/>
    <n v="0"/>
    <n v="85501111"/>
    <n v="492049676.82999998"/>
    <n v="-492049676.82999998"/>
    <n v="0"/>
    <n v="100"/>
  </r>
  <r>
    <x v="151"/>
    <x v="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15225170.23000002"/>
    <n v="5443166.8099999996"/>
    <n v="392779.75"/>
    <n v="1327958.8"/>
    <n v="1411240"/>
    <n v="13791820.539999999"/>
    <n v="2893912.91"/>
    <n v="3092729.29"/>
    <n v="17560986.02"/>
    <n v="2940937.17"/>
    <n v="28507074.800000001"/>
    <n v="8646873.5899999999"/>
    <n v="401234649.91000003"/>
    <n v="-401234649.91000003"/>
    <n v="0"/>
    <n v="100"/>
  </r>
  <r>
    <x v="152"/>
    <x v="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6806356.3399999999"/>
    <n v="46452333.810000002"/>
    <n v="69709009.459999993"/>
    <n v="14395545.140000001"/>
    <n v="10092732.939999999"/>
    <n v="14461408.720000001"/>
    <n v="26427104.690000001"/>
    <n v="10350771.970000001"/>
    <n v="9436463.4800000004"/>
    <n v="11166930.74"/>
    <n v="5848263.6900000004"/>
    <n v="16865471.32"/>
    <n v="242012392.30000001"/>
    <n v="-242012392.30000001"/>
    <n v="0"/>
    <n v="100"/>
  </r>
  <r>
    <x v="74"/>
    <x v="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79091612.72999999"/>
    <n v="174665534.08000001"/>
    <n v="222011860.34999999"/>
    <n v="322720534.13"/>
    <n v="259790301.49000001"/>
    <n v="461242727.75999999"/>
    <n v="236326981.87"/>
    <n v="290824596.58999997"/>
    <n v="334158039.36000001"/>
    <n v="307722917.94"/>
    <n v="206294269.03"/>
    <n v="358856754.26999998"/>
    <n v="3353706129.5999999"/>
    <n v="-3353706129.5999999"/>
    <n v="0"/>
    <n v="100"/>
  </r>
  <r>
    <x v="153"/>
    <x v="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838968"/>
    <n v="54866144.75"/>
    <n v="1008025"/>
    <n v="4226335.3"/>
    <n v="895319.05"/>
    <n v="-78183.25"/>
    <n v="2503100.8199999998"/>
    <n v="4357668.26"/>
    <n v="11603787.74"/>
    <n v="713263.75"/>
    <n v="2801465.63"/>
    <n v="2587029.15"/>
    <n v="87322924.200000003"/>
    <n v="-87322924.200000003"/>
    <n v="0"/>
    <n v="100"/>
  </r>
  <r>
    <x v="154"/>
    <x v="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2871000"/>
    <n v="2871000"/>
    <n v="2871000"/>
    <n v="29719000"/>
    <n v="6227000"/>
    <n v="2871000"/>
    <n v="2871000"/>
    <n v="2871004.5"/>
    <n v="53172004.5"/>
    <n v="-53172004.5"/>
    <n v="0"/>
    <n v="100"/>
  </r>
  <r>
    <x v="155"/>
    <x v="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28633730.109999999"/>
    <n v="2423220"/>
    <n v="2871020"/>
    <n v="0"/>
    <n v="0"/>
    <n v="2583500"/>
    <n v="3453000"/>
    <n v="5618250"/>
    <n v="11066018.91"/>
    <n v="2333000"/>
    <n v="0"/>
    <n v="4167982.5"/>
    <n v="63149721.520000003"/>
    <n v="-63149721.520000003"/>
    <n v="0"/>
    <n v="100"/>
  </r>
  <r>
    <x v="156"/>
    <x v="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369235.54"/>
    <n v="37500"/>
    <n v="0"/>
    <n v="58810.76"/>
    <n v="37443.379999999997"/>
    <n v="30915795.219999999"/>
    <n v="7607560.7800000003"/>
    <n v="-6184937.8200000003"/>
    <n v="21667309.300000001"/>
    <n v="18822237.850000001"/>
    <n v="73330955.010000005"/>
    <n v="-73330955.010000005"/>
    <n v="0"/>
    <n v="100"/>
  </r>
  <r>
    <x v="80"/>
    <x v="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20597359.899999999"/>
    <n v="7440683.2000000002"/>
    <n v="2645903.2799999998"/>
    <n v="1463234.2"/>
    <n v="123983.07"/>
    <n v="15848784.550000001"/>
    <n v="4270126.6399999997"/>
    <n v="289400"/>
    <n v="18734528.420000002"/>
    <n v="5557256.9100000001"/>
    <n v="663950.61"/>
    <n v="100000"/>
    <n v="77735210.780000001"/>
    <n v="-77735210.780000001"/>
    <n v="0"/>
    <n v="100"/>
  </r>
  <r>
    <x v="157"/>
    <x v="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0436001.82"/>
    <n v="29592171.18"/>
    <n v="42977603.159999996"/>
    <n v="42029300.030000001"/>
    <n v="-145744492.62"/>
    <n v="1562496.66"/>
    <n v="0"/>
    <n v="0"/>
    <n v="1387543.68"/>
    <n v="0"/>
    <n v="0"/>
    <n v="-2240623.91"/>
    <n v="0"/>
    <n v="0"/>
    <n v="0"/>
    <n v="100"/>
  </r>
  <r>
    <x v="81"/>
    <x v="1"/>
    <x v="75"/>
    <n v="1"/>
    <x v="0"/>
    <n v="13"/>
    <x v="2"/>
    <n v="139"/>
    <x v="9"/>
    <n v="1391"/>
    <x v="25"/>
    <n v="139101"/>
    <x v="44"/>
    <n v="13910100"/>
    <x v="0"/>
    <n v="139101000"/>
    <x v="0"/>
    <n v="1391010000"/>
    <x v="0"/>
    <n v="1"/>
    <s v="Ingresos corrientes"/>
    <n v="0"/>
    <n v="0"/>
    <n v="0"/>
    <n v="0"/>
    <n v="0"/>
    <n v="0"/>
    <n v="0"/>
    <n v="171193059.24000001"/>
    <n v="26420217.800000001"/>
    <n v="28655551.539999999"/>
    <n v="35892981.390000001"/>
    <n v="115368399.59999999"/>
    <n v="39687221.789999999"/>
    <n v="67695510.969999999"/>
    <n v="-40279281.549999997"/>
    <n v="444633660.77999997"/>
    <n v="-444633660.77999997"/>
    <n v="0"/>
    <n v="100"/>
  </r>
  <r>
    <x v="158"/>
    <x v="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7107655.27"/>
    <n v="74279205.620000005"/>
    <n v="-3673471.15"/>
    <n v="42906244.600000001"/>
    <n v="18292380.530000001"/>
    <n v="135685737.03"/>
    <n v="24209246.77"/>
    <n v="23683976.219999999"/>
    <n v="91326804.909999996"/>
    <n v="92495804.319999993"/>
    <n v="17614257.370000001"/>
    <n v="262920683.97999999"/>
    <n v="796848525.47000003"/>
    <n v="-796848525.47000003"/>
    <n v="0"/>
    <n v="100"/>
  </r>
  <r>
    <x v="159"/>
    <x v="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668870703"/>
    <n v="0"/>
    <n v="3232466106"/>
    <n v="-4901336809"/>
    <n v="0"/>
    <n v="0"/>
    <n v="0"/>
    <n v="0"/>
    <n v="0"/>
    <n v="0"/>
    <n v="0"/>
    <n v="0"/>
    <n v="0"/>
    <n v="100"/>
  </r>
  <r>
    <x v="160"/>
    <x v="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10400000"/>
    <n v="163250000"/>
    <n v="-173650000"/>
    <n v="0"/>
    <n v="0"/>
    <n v="0"/>
    <n v="0"/>
    <n v="0"/>
    <n v="0"/>
    <n v="0"/>
    <n v="0"/>
    <n v="0"/>
    <n v="100"/>
  </r>
  <r>
    <x v="161"/>
    <x v="1"/>
    <x v="14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0"/>
    <n v="0"/>
    <n v="0"/>
    <n v="0"/>
    <n v="0"/>
    <n v="0"/>
    <n v="1668870703"/>
    <n v="8007721884.1300001"/>
    <n v="1056219008.9400001"/>
    <n v="0"/>
    <n v="5588249242"/>
    <n v="808672663"/>
    <n v="0"/>
    <n v="796151717.08000004"/>
    <n v="17925885218.150002"/>
    <n v="-17925885218.150002"/>
    <n v="0"/>
    <n v="100"/>
  </r>
  <r>
    <x v="162"/>
    <x v="1"/>
    <x v="142"/>
    <n v="1"/>
    <x v="0"/>
    <n v="14"/>
    <x v="3"/>
    <n v="141"/>
    <x v="10"/>
    <n v="1412"/>
    <x v="27"/>
    <n v="141201"/>
    <x v="45"/>
    <n v="14120120"/>
    <x v="65"/>
    <n v="141201200"/>
    <x v="0"/>
    <n v="1412012000"/>
    <x v="0"/>
    <n v="1"/>
    <s v="Ingresos corrientes"/>
    <n v="0"/>
    <n v="0"/>
    <n v="0"/>
    <n v="0"/>
    <n v="0"/>
    <n v="0"/>
    <n v="0"/>
    <n v="0"/>
    <n v="0"/>
    <n v="0"/>
    <n v="30982006.16"/>
    <n v="0"/>
    <n v="0"/>
    <n v="0"/>
    <n v="0"/>
    <n v="30982006.16"/>
    <n v="-30982006.16"/>
    <n v="0"/>
    <n v="100"/>
  </r>
  <r>
    <x v="163"/>
    <x v="1"/>
    <x v="143"/>
    <n v="1"/>
    <x v="0"/>
    <n v="14"/>
    <x v="3"/>
    <n v="141"/>
    <x v="10"/>
    <n v="1412"/>
    <x v="27"/>
    <n v="141201"/>
    <x v="45"/>
    <n v="14120130"/>
    <x v="66"/>
    <n v="141201300"/>
    <x v="0"/>
    <n v="1412013000"/>
    <x v="0"/>
    <n v="1"/>
    <s v="Ingresos corrientes"/>
    <n v="0"/>
    <n v="0"/>
    <n v="0"/>
    <n v="0"/>
    <n v="0"/>
    <n v="0"/>
    <n v="0"/>
    <n v="10400000"/>
    <n v="173650000"/>
    <n v="159650000"/>
    <n v="0"/>
    <n v="479675000"/>
    <n v="0"/>
    <n v="98950000"/>
    <n v="61875000"/>
    <n v="984200000"/>
    <n v="-984200000"/>
    <n v="0"/>
    <n v="100"/>
  </r>
  <r>
    <x v="92"/>
    <x v="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427667684.18000001"/>
    <n v="166491605.19999999"/>
    <n v="169126718.69999999"/>
    <n v="164820616.52000001"/>
    <n v="0"/>
    <n v="166095064.69999999"/>
    <n v="181913881.59999999"/>
    <n v="181657543.84999999"/>
    <n v="181860579.09999999"/>
    <n v="207160370.84999999"/>
    <n v="436948980.51999998"/>
    <n v="2283743045.2199998"/>
    <n v="-2283743045.2199998"/>
    <n v="0"/>
    <n v="100"/>
  </r>
  <r>
    <x v="94"/>
    <x v="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1669936.96"/>
    <n v="0"/>
    <n v="0"/>
    <n v="0"/>
    <n v="1669936.96"/>
    <n v="-1669936.96"/>
    <n v="0"/>
    <n v="100"/>
  </r>
  <r>
    <x v="164"/>
    <x v="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7886036.4800000004"/>
    <n v="0"/>
    <n v="0"/>
    <n v="0"/>
    <n v="0"/>
    <n v="0"/>
    <n v="0"/>
    <n v="0"/>
    <n v="0"/>
    <n v="0"/>
    <n v="7886036.4800000004"/>
    <n v="-7886036.4800000004"/>
    <n v="0"/>
    <n v="100"/>
  </r>
  <r>
    <x v="97"/>
    <x v="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3942421.2"/>
    <n v="0"/>
    <n v="0"/>
    <n v="0"/>
    <n v="13221610.57"/>
    <n v="0"/>
    <n v="0"/>
    <n v="0"/>
    <n v="0"/>
    <n v="0"/>
    <n v="17164031.77"/>
    <n v="-17164031.77"/>
    <n v="0"/>
    <n v="100"/>
  </r>
  <r>
    <x v="165"/>
    <x v="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32819052.77"/>
    <n v="0"/>
    <n v="0"/>
    <n v="0"/>
    <n v="0"/>
    <n v="0"/>
    <n v="0"/>
    <n v="32819052.77"/>
    <n v="-32819052.77"/>
    <n v="0"/>
    <n v="100"/>
  </r>
  <r>
    <x v="98"/>
    <x v="1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4988692"/>
    <n v="4988692"/>
    <n v="-4988692"/>
    <n v="0"/>
    <n v="100"/>
  </r>
  <r>
    <x v="166"/>
    <x v="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3548246.97"/>
    <n v="0"/>
    <n v="0"/>
    <n v="0"/>
    <n v="0"/>
    <n v="0"/>
    <n v="0"/>
    <n v="0"/>
    <n v="0"/>
    <n v="0"/>
    <n v="0"/>
    <n v="3548246.97"/>
    <n v="-3548246.97"/>
    <n v="0"/>
    <n v="100"/>
  </r>
  <r>
    <x v="99"/>
    <x v="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1893311"/>
    <n v="0"/>
    <n v="0"/>
    <n v="1893311"/>
    <n v="-1893311"/>
    <n v="0"/>
    <n v="100"/>
  </r>
  <r>
    <x v="102"/>
    <x v="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473649.28"/>
    <n v="0"/>
    <n v="0"/>
    <n v="0"/>
    <n v="1996940.64"/>
    <n v="0"/>
    <n v="0"/>
    <n v="0"/>
    <n v="332823.44"/>
    <n v="0"/>
    <n v="998470.32"/>
    <n v="3801883.68"/>
    <n v="-3801883.68"/>
    <n v="0"/>
    <n v="100"/>
  </r>
  <r>
    <x v="105"/>
    <x v="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2336937662"/>
    <n v="0"/>
    <n v="0"/>
    <n v="0"/>
    <n v="0"/>
    <n v="0"/>
    <n v="0"/>
    <n v="2336937662"/>
    <n v="-2336937662"/>
    <n v="0"/>
    <n v="100"/>
  </r>
  <r>
    <x v="167"/>
    <x v="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75000000"/>
    <n v="844313952.40999997"/>
    <n v="0"/>
    <n v="0"/>
    <n v="919313952.40999997"/>
    <n v="-919313952.40999997"/>
    <n v="0"/>
    <n v="100"/>
  </r>
  <r>
    <x v="106"/>
    <x v="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694015.8300000001"/>
    <n v="44021069.530000001"/>
    <n v="916726.56"/>
    <n v="22003509.460000001"/>
    <n v="10809258.300000001"/>
    <n v="11395732.25"/>
    <n v="19545310.050000001"/>
    <n v="4107364.05"/>
    <n v="21255166.91"/>
    <n v="26282842.350000001"/>
    <n v="7257742.2000000002"/>
    <n v="23134132.460000001"/>
    <n v="197422869.94999999"/>
    <n v="-197422869.94999999"/>
    <n v="0"/>
    <n v="100"/>
  </r>
  <r>
    <x v="107"/>
    <x v="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26807366.300000001"/>
    <n v="0"/>
    <n v="0"/>
    <n v="0"/>
    <n v="0"/>
    <n v="8571661.7799999993"/>
    <n v="0"/>
    <n v="0"/>
    <n v="0"/>
    <n v="0"/>
    <n v="35379028.079999998"/>
    <n v="-35379028.079999998"/>
    <n v="0"/>
    <n v="100"/>
  </r>
  <r>
    <x v="109"/>
    <x v="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20000000"/>
    <n v="0"/>
    <n v="0"/>
    <n v="0"/>
    <n v="0"/>
    <n v="0"/>
    <n v="0"/>
    <n v="0"/>
    <n v="0"/>
    <n v="0"/>
    <n v="0"/>
    <n v="20000000"/>
    <n v="-20000000"/>
    <n v="0"/>
    <n v="100"/>
  </r>
  <r>
    <x v="110"/>
    <x v="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22700000"/>
    <n v="0"/>
    <n v="0"/>
    <n v="0"/>
    <n v="0"/>
    <n v="0"/>
    <n v="0"/>
    <n v="22700000"/>
    <n v="-22700000"/>
    <n v="0"/>
    <n v="100"/>
  </r>
  <r>
    <x v="111"/>
    <x v="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9550348.9399999995"/>
    <n v="0"/>
    <n v="0"/>
    <n v="0"/>
    <n v="0"/>
    <n v="0"/>
    <n v="0"/>
    <n v="0"/>
    <n v="0"/>
    <n v="0"/>
    <n v="0"/>
    <n v="0"/>
    <n v="9550348.9399999995"/>
    <n v="-9550348.9399999995"/>
    <n v="0"/>
    <n v="100"/>
  </r>
  <r>
    <x v="168"/>
    <x v="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149815379.16"/>
    <n v="0"/>
    <n v="0"/>
    <n v="0"/>
    <n v="0"/>
    <n v="0"/>
    <n v="0"/>
    <n v="149815379.16"/>
    <n v="-149815379.16"/>
    <n v="0"/>
    <n v="100"/>
  </r>
  <r>
    <x v="169"/>
    <x v="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1500000004"/>
    <n v="8750012.0600000005"/>
    <n v="105000145.70999999"/>
    <n v="-105000145.70999999"/>
    <n v="0"/>
    <n v="100"/>
  </r>
  <r>
    <x v="170"/>
    <x v="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111039660.93000001"/>
    <n v="0"/>
    <n v="0"/>
    <n v="0"/>
    <n v="0"/>
    <n v="0"/>
    <n v="0"/>
    <n v="111039660.93000001"/>
    <n v="-111039660.93000001"/>
    <n v="0"/>
    <n v="100"/>
  </r>
  <r>
    <x v="171"/>
    <x v="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14418068.359999999"/>
    <n v="0"/>
    <n v="0"/>
    <n v="0"/>
    <n v="0"/>
    <n v="0"/>
    <n v="0"/>
    <n v="0"/>
    <n v="0"/>
    <n v="0"/>
    <n v="14418068.359999999"/>
    <n v="-14418068.359999999"/>
    <n v="0"/>
    <n v="100"/>
  </r>
  <r>
    <x v="172"/>
    <x v="1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103000000"/>
    <n v="16997808.190000001"/>
    <n v="0"/>
    <n v="0"/>
    <n v="0"/>
    <n v="0"/>
    <n v="0"/>
    <n v="0"/>
    <n v="0"/>
    <n v="0"/>
    <n v="0"/>
    <n v="119997808.19"/>
    <n v="-119997808.19"/>
    <n v="0"/>
    <n v="100"/>
  </r>
  <r>
    <x v="173"/>
    <x v="1"/>
    <x v="153"/>
    <n v="1"/>
    <x v="0"/>
    <n v="14"/>
    <x v="3"/>
    <n v="142"/>
    <x v="11"/>
    <n v="1421"/>
    <x v="32"/>
    <n v="142101"/>
    <x v="52"/>
    <n v="14210100"/>
    <x v="0"/>
    <n v="142101000"/>
    <x v="0"/>
    <n v="1421010000"/>
    <x v="0"/>
    <n v="1"/>
    <s v="Ingresos corrientes"/>
    <n v="0"/>
    <n v="0"/>
    <n v="0"/>
    <n v="23654364.899999999"/>
    <n v="34819747.399999999"/>
    <n v="39421235.159999996"/>
    <n v="30912447.530000001"/>
    <n v="58017096.189999998"/>
    <n v="68108923.030000001"/>
    <n v="63056694.840000004"/>
    <n v="62416105.469999999"/>
    <n v="53205693.479999997"/>
    <n v="54136742.630000003"/>
    <n v="53464183.130000003"/>
    <n v="43906507.25"/>
    <n v="585119741.00999999"/>
    <n v="-585119741.00999999"/>
    <n v="0"/>
    <n v="100"/>
  </r>
  <r>
    <x v="121"/>
    <x v="1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40000000"/>
    <n v="0"/>
    <n v="0"/>
    <n v="6000000"/>
    <n v="139000000"/>
    <n v="0"/>
    <n v="126800000"/>
    <n v="0"/>
    <n v="0"/>
    <n v="0"/>
    <n v="0"/>
    <n v="167621732"/>
    <n v="479421732"/>
    <n v="-479421732"/>
    <n v="0"/>
    <n v="100"/>
  </r>
  <r>
    <x v="174"/>
    <x v="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61030737579.529999"/>
    <n v="35418563024.75"/>
    <n v="37504308808.349998"/>
    <n v="22695270944.939999"/>
    <n v="0"/>
    <n v="4165200000"/>
    <n v="18919777616.209999"/>
    <n v="34655941944.040001"/>
    <n v="24974145556.869999"/>
    <n v="15942400451.110001"/>
    <n v="18006564440.830002"/>
    <n v="15432385955.77"/>
    <n v="288745296322.40002"/>
    <n v="-288745296322.40002"/>
    <n v="0"/>
    <n v="100"/>
  </r>
  <r>
    <x v="175"/>
    <x v="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70544334914.16"/>
    <n v="25425545883.130001"/>
    <n v="51162075416.230003"/>
    <n v="40044889283.730003"/>
    <n v="0"/>
    <n v="36335573.75"/>
    <n v="0"/>
    <n v="88337696.569999993"/>
    <n v="2150000"/>
    <n v="3029334427.5900002"/>
    <n v="8613606414.6900005"/>
    <n v="91461318003.429993"/>
    <n v="390407927613.28003"/>
    <n v="-390407927613.28003"/>
    <n v="0"/>
    <n v="100"/>
  </r>
  <r>
    <x v="123"/>
    <x v="1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68460193.379999995"/>
    <n v="527986043.99000001"/>
    <n v="0"/>
    <n v="252490979.84999999"/>
    <n v="2522502192.79"/>
    <n v="0"/>
    <n v="824321521.82000005"/>
    <n v="0"/>
    <n v="0"/>
    <n v="0"/>
    <n v="0"/>
    <n v="3308392543.3000002"/>
    <n v="7504153475.1300001"/>
    <n v="-7504153475.1300001"/>
    <n v="0"/>
    <n v="100"/>
  </r>
  <r>
    <x v="124"/>
    <x v="1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275692959.51999998"/>
    <n v="236281652.91999999"/>
    <n v="0"/>
    <n v="366446001.13"/>
    <n v="67763526.829999998"/>
    <n v="0"/>
    <n v="481786197.23000002"/>
    <n v="0"/>
    <n v="0"/>
    <n v="0"/>
    <n v="0"/>
    <n v="2036925696.79"/>
    <n v="3464896034.4200001"/>
    <n v="-3464896034.4200001"/>
    <n v="0"/>
    <n v="100"/>
  </r>
  <r>
    <x v="125"/>
    <x v="1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176470189.22"/>
    <n v="0"/>
    <n v="0"/>
    <n v="314098333.86000001"/>
    <n v="0"/>
    <n v="146308068.47"/>
    <n v="216105034.44999999"/>
    <n v="0"/>
    <n v="190602545.30000001"/>
    <n v="0"/>
    <n v="0"/>
    <n v="1401672834.55"/>
    <n v="2445257005.8499999"/>
    <n v="-2445257005.8499999"/>
    <n v="0"/>
    <n v="100"/>
  </r>
  <r>
    <x v="126"/>
    <x v="1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74974358.329999998"/>
    <n v="0"/>
    <n v="71197015.25"/>
    <n v="112464699.69"/>
    <n v="0"/>
    <n v="72105637.099999994"/>
    <n v="0"/>
    <n v="0"/>
    <n v="0"/>
    <n v="0"/>
    <n v="687184169.23000002"/>
    <n v="1017925879.6"/>
    <n v="-1017925879.6"/>
    <n v="0"/>
    <n v="100"/>
  </r>
  <r>
    <x v="127"/>
    <x v="1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12318961.619999999"/>
    <n v="1264417569.0799999"/>
    <n v="0"/>
    <n v="32175005.379999999"/>
    <n v="0"/>
    <n v="0"/>
    <n v="769673927.58000004"/>
    <n v="2078585463.6600001"/>
    <n v="-2078585463.6600001"/>
    <n v="0"/>
    <n v="100"/>
  </r>
  <r>
    <x v="128"/>
    <x v="1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157661620.00999999"/>
    <n v="126848450.75"/>
    <n v="0"/>
    <n v="172924500"/>
    <n v="411557583.86000001"/>
    <n v="0"/>
    <n v="0"/>
    <n v="0"/>
    <n v="0"/>
    <n v="0"/>
    <n v="0"/>
    <n v="711044292.84000003"/>
    <n v="1580036447.46"/>
    <n v="-1580036447.46"/>
    <n v="0"/>
    <n v="100"/>
  </r>
  <r>
    <x v="176"/>
    <x v="1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150105000"/>
    <n v="0"/>
    <n v="0"/>
    <n v="0"/>
    <n v="77698500"/>
    <n v="77698500"/>
    <n v="0"/>
    <n v="0"/>
    <n v="0"/>
    <n v="0"/>
    <n v="-77698500"/>
    <n v="227803500"/>
    <n v="-227803500"/>
    <n v="0"/>
    <n v="100"/>
  </r>
  <r>
    <x v="129"/>
    <x v="1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2000000"/>
    <n v="0"/>
    <n v="0"/>
    <n v="0"/>
    <n v="0"/>
    <n v="0"/>
    <n v="0"/>
    <n v="0"/>
    <n v="2000000"/>
    <n v="-2000000"/>
    <n v="0"/>
    <n v="100"/>
  </r>
  <r>
    <x v="130"/>
    <x v="1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5301850.5599999996"/>
    <n v="145312575.84"/>
    <n v="0"/>
    <n v="327763555.61000001"/>
    <n v="737942414.49000001"/>
    <n v="0"/>
    <n v="367034157.00999999"/>
    <n v="0"/>
    <n v="0"/>
    <n v="0"/>
    <n v="0"/>
    <n v="1816500012.4200001"/>
    <n v="3399854565.9299998"/>
    <n v="-3399854565.9299998"/>
    <n v="0"/>
    <n v="100"/>
  </r>
  <r>
    <x v="177"/>
    <x v="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84554672.420000002"/>
    <n v="84554672.420000002"/>
    <n v="-84554672.420000002"/>
    <n v="0"/>
    <n v="100"/>
  </r>
  <r>
    <x v="178"/>
    <x v="1"/>
    <x v="158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00"/>
    <s v="-"/>
    <n v="0"/>
    <n v="0"/>
    <n v="0"/>
    <n v="0"/>
    <n v="0"/>
    <n v="0"/>
    <n v="141990"/>
    <n v="9317855.25"/>
    <n v="0"/>
    <n v="26239103.129999999"/>
    <n v="0"/>
    <n v="0"/>
    <n v="0"/>
    <n v="0"/>
    <n v="251812374.93000001"/>
    <n v="287511323.31"/>
    <n v="-287511323.31"/>
    <n v="0"/>
    <n v="100"/>
  </r>
  <r>
    <x v="179"/>
    <x v="1"/>
    <x v="159"/>
    <n v="3"/>
    <x v="2"/>
    <n v="33"/>
    <x v="8"/>
    <n v="331"/>
    <x v="17"/>
    <n v="3311"/>
    <x v="35"/>
    <n v="331100"/>
    <x v="44"/>
    <n v="33110000"/>
    <x v="0"/>
    <n v="331100000"/>
    <x v="0"/>
    <n v="3311000000"/>
    <x v="0"/>
    <n v="980"/>
    <s v="-"/>
    <m/>
    <m/>
    <m/>
    <n v="0"/>
    <n v="276167448.25"/>
    <n v="0"/>
    <n v="10414000"/>
    <n v="177800535.11000001"/>
    <n v="0"/>
    <n v="161173179.37"/>
    <n v="0"/>
    <n v="0"/>
    <n v="0"/>
    <n v="0"/>
    <n v="651960303.61000001"/>
    <n v="1277515466.3399999"/>
    <n v="-1277515466.3399999"/>
    <n v="0"/>
    <n v="100"/>
  </r>
  <r>
    <x v="133"/>
    <x v="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3599063111.1199999"/>
    <n v="5772565553.0600004"/>
    <n v="4054985353.98"/>
    <n v="9253234454.8500004"/>
    <n v="8959222798.9599991"/>
    <n v="10571548813.719999"/>
    <n v="2052626821.73"/>
    <n v="11057798105.4"/>
    <n v="7625741963.1499996"/>
    <n v="7892450746.4399996"/>
    <n v="8008724354.3199997"/>
    <n v="9752392115.7900009"/>
    <n v="88600354192.520004"/>
    <n v="-88600354192.520004"/>
    <n v="0"/>
    <n v="100"/>
  </r>
  <r>
    <x v="134"/>
    <x v="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2966660992.25"/>
    <n v="1792442164.05"/>
    <n v="2970691667.4699998"/>
    <n v="1443218988.0699999"/>
    <n v="13213995066.75"/>
    <n v="-526004135.12"/>
    <n v="1028449892.85"/>
    <n v="3844220902.6399999"/>
    <n v="4776433591.9399996"/>
    <n v="8481368933.0799999"/>
    <n v="6297862641.4099998"/>
    <n v="46289340705.389999"/>
    <n v="-46289340705.389999"/>
    <n v="0"/>
    <n v="100"/>
  </r>
  <r>
    <x v="135"/>
    <x v="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920908885.29999995"/>
    <n v="194605548.47999999"/>
    <n v="1523840805.01"/>
    <n v="1060402540.1"/>
    <n v="931429684.33000004"/>
    <n v="1434581167.45"/>
    <n v="5432111672.4499998"/>
    <n v="133346884.38"/>
    <n v="1154661091.1400001"/>
    <n v="1443893392.03"/>
    <n v="7816869602.1000004"/>
    <n v="22046651272.77"/>
    <n v="-22046651272.77"/>
    <n v="0"/>
    <n v="100"/>
  </r>
  <r>
    <x v="180"/>
    <x v="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392278164"/>
    <n v="2783248553.8400002"/>
    <n v="799334015.40999997"/>
    <n v="7374005758.4899998"/>
    <n v="1659630717.54"/>
    <n v="9106569157.1000004"/>
    <n v="2391357235.6900001"/>
    <n v="123420534.76000001"/>
    <n v="3887952674.8699999"/>
    <n v="7218466174.9499998"/>
    <n v="2146909748.45"/>
    <n v="6425467179.3699999"/>
    <n v="44308639914.470001"/>
    <n v="-44308639914.470001"/>
    <n v="0"/>
    <n v="100"/>
  </r>
  <r>
    <x v="137"/>
    <x v="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35663770950.599998"/>
    <n v="9799138145.5799999"/>
    <n v="84915924574.199997"/>
    <n v="24794910188.400002"/>
    <n v="4941529737.4700003"/>
    <n v="7831426876.0900002"/>
    <n v="70050946044.690002"/>
    <n v="3063914821.0799999"/>
    <n v="35096507635.529999"/>
    <n v="46689213178.290001"/>
    <n v="-1142122920.53"/>
    <n v="77808134299.100006"/>
    <n v="399513293530.5"/>
    <n v="-399513293530.5"/>
    <n v="0"/>
    <n v="100"/>
  </r>
  <r>
    <x v="181"/>
    <x v="2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4632311.97"/>
    <n v="5614967"/>
    <n v="1053020689.6900001"/>
    <n v="7212936"/>
    <n v="1070480904.66"/>
    <n v="-1070480904.66"/>
    <n v="0"/>
    <n v="100"/>
  </r>
  <r>
    <x v="138"/>
    <x v="2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1445545182"/>
    <n v="457667105.00999999"/>
    <n v="385861062.38"/>
    <n v="826878795.03999996"/>
    <n v="1983140038.1500001"/>
    <n v="133923253.79000001"/>
    <n v="725492940.54999995"/>
    <n v="332394205.58999997"/>
    <n v="725786841.25"/>
    <n v="458348620.64999998"/>
    <n v="909727300.29999995"/>
    <n v="8384765344.71"/>
    <n v="-8384765344.71"/>
    <n v="0"/>
    <n v="100"/>
  </r>
  <r>
    <x v="182"/>
    <x v="2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2534755979.4200001"/>
    <n v="1655487626.5899999"/>
    <n v="12500289408.24"/>
    <n v="1046838031.83"/>
    <n v="7476469600.0799999"/>
    <n v="2581021354.6599998"/>
    <n v="-884351630.49000001"/>
    <n v="3169126531.04"/>
    <n v="3012907854"/>
    <n v="2353959.79"/>
    <n v="1622389109.78"/>
    <n v="7116846527.3299999"/>
    <n v="41834134352.269997"/>
    <n v="-41834134352.269997"/>
    <n v="0"/>
    <n v="100"/>
  </r>
  <r>
    <x v="183"/>
    <x v="2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996230713.85000002"/>
    <n v="1030061579.37"/>
    <n v="1338026472.52"/>
    <n v="893640293.33000004"/>
    <n v="4257959059.0700002"/>
    <n v="-4257959059.0700002"/>
    <n v="0"/>
    <n v="100"/>
  </r>
  <r>
    <x v="184"/>
    <x v="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3718579537.3600001"/>
    <n v="587802589.21000004"/>
    <n v="3116577126.6799998"/>
    <n v="2268658810.9699998"/>
    <n v="6340881730.3299999"/>
    <n v="-339802181.16000003"/>
    <n v="3152203701.7199998"/>
    <n v="2578226896.0300002"/>
    <n v="4617753220.1400003"/>
    <n v="5112554511.9300003"/>
    <n v="-459327563.77999997"/>
    <n v="30694108379.43"/>
    <n v="-30694108379.43"/>
    <n v="0"/>
    <n v="100"/>
  </r>
  <r>
    <x v="185"/>
    <x v="2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420506737"/>
    <n v="0"/>
    <n v="0"/>
    <n v="0"/>
    <n v="0"/>
    <n v="0"/>
    <n v="0"/>
    <n v="0"/>
    <n v="0"/>
    <n v="0"/>
    <n v="0"/>
    <n v="0"/>
    <n v="420506737"/>
    <n v="-420506737"/>
    <n v="0"/>
    <n v="100"/>
  </r>
  <r>
    <x v="186"/>
    <x v="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55274959.93"/>
    <n v="55274959.93"/>
    <n v="-55274959.93"/>
    <n v="0"/>
    <n v="100"/>
  </r>
  <r>
    <x v="141"/>
    <x v="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16903520591"/>
    <n v="6903238074"/>
    <n v="1822807159"/>
    <n v="1508367101"/>
    <n v="1067021516"/>
    <n v="1001755211.6"/>
    <n v="1006247503"/>
    <n v="763734141"/>
    <n v="611628344"/>
    <n v="509125110"/>
    <n v="640056270"/>
    <n v="45186677313"/>
    <n v="77924178333.600006"/>
    <n v="-77924178333.600006"/>
    <n v="0"/>
    <n v="100"/>
  </r>
  <r>
    <x v="21"/>
    <x v="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66944345"/>
    <n v="12285779"/>
    <n v="3377475"/>
    <n v="2527646"/>
    <n v="1661957"/>
    <n v="1542410"/>
    <n v="1518587"/>
    <n v="1385027"/>
    <n v="1145962"/>
    <n v="1080628"/>
    <n v="1447547"/>
    <n v="58228087"/>
    <n v="153145450"/>
    <n v="-153145450"/>
    <n v="0"/>
    <n v="100"/>
  </r>
  <r>
    <x v="22"/>
    <x v="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11507642.359999999"/>
    <n v="7617010"/>
    <n v="13139990.189999999"/>
    <n v="229604495.78"/>
    <n v="189796920.08000001"/>
    <n v="-17194.25"/>
    <n v="16518693.18"/>
    <n v="34582523.439999998"/>
    <n v="6887448.6200000001"/>
    <n v="5825079.6200000001"/>
    <n v="8039640.3099999996"/>
    <n v="-2752572.03"/>
    <n v="520749677.30000001"/>
    <n v="-520749677.30000001"/>
    <n v="0"/>
    <n v="100"/>
  </r>
  <r>
    <x v="23"/>
    <x v="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664772889"/>
    <n v="962215937"/>
    <n v="1174246787"/>
    <n v="905901745"/>
    <n v="1199708060"/>
    <n v="1177144541.49"/>
    <n v="1100319350.6800001"/>
    <n v="1135936554"/>
    <n v="1231505112"/>
    <n v="1109725358"/>
    <n v="1008953635"/>
    <n v="1063832568"/>
    <n v="12734262537.17"/>
    <n v="-12734262537.17"/>
    <n v="0"/>
    <n v="100"/>
  </r>
  <r>
    <x v="24"/>
    <x v="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623939314"/>
    <n v="719947713"/>
    <n v="808151659"/>
    <n v="702843737"/>
    <n v="832903992.39999998"/>
    <n v="846544375.63"/>
    <n v="930150393"/>
    <n v="815508186"/>
    <n v="802777128"/>
    <n v="921542497"/>
    <n v="1003251542"/>
    <n v="604343910.07000005"/>
    <n v="9611904447.1000004"/>
    <n v="-9611904447.1000004"/>
    <n v="0"/>
    <n v="100"/>
  </r>
  <r>
    <x v="142"/>
    <x v="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45003025160.989998"/>
    <n v="38097455724.330002"/>
    <n v="35521717431.080002"/>
    <n v="38100097512.220001"/>
    <n v="36065710500.029999"/>
    <n v="34971651628.75"/>
    <n v="36691053897.150002"/>
    <n v="37388072127.360001"/>
    <n v="38155438191.809998"/>
    <n v="35432057122.330002"/>
    <n v="37145533043.959999"/>
    <n v="39031729081.129997"/>
    <n v="451603541421.14001"/>
    <n v="-451603541421.14001"/>
    <n v="0"/>
    <n v="100"/>
  </r>
  <r>
    <x v="187"/>
    <x v="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28819202290.189999"/>
    <n v="28618540477.080002"/>
    <n v="30299801104.82"/>
    <n v="28788397592.959999"/>
    <n v="28725548375.110001"/>
    <n v="29917285926.279999"/>
    <n v="32588943610.66"/>
    <n v="31907758391.68"/>
    <n v="31401899040.389999"/>
    <n v="35589140077.419998"/>
    <n v="36101855323.160004"/>
    <n v="36175991731.550003"/>
    <n v="378934363941.29999"/>
    <n v="-378934363941.29999"/>
    <n v="0"/>
    <n v="100"/>
  </r>
  <r>
    <x v="188"/>
    <x v="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2380922506"/>
    <n v="1794661035.4200001"/>
    <n v="1750048835.1500001"/>
    <n v="2437924636"/>
    <n v="2034652174"/>
    <n v="1942761832"/>
    <n v="2124370587.5799999"/>
    <n v="2048866399.25"/>
    <n v="2142225159.6099999"/>
    <n v="2025951181.53"/>
    <n v="2059923446.1300001"/>
    <n v="1952590267.54"/>
    <n v="24694898060.209999"/>
    <n v="-24694898060.209999"/>
    <n v="0"/>
    <n v="100"/>
  </r>
  <r>
    <x v="189"/>
    <x v="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6828604684.25"/>
    <n v="6291167698.0299997"/>
    <n v="8572018287.1000004"/>
    <n v="8280338126.3999996"/>
    <n v="6264530802.6700001"/>
    <n v="6952656698.2600002"/>
    <n v="7891052555.4200001"/>
    <n v="7100011334.2700005"/>
    <n v="7540343818.6899996"/>
    <n v="8429490342.3800001"/>
    <n v="9169182403.8099995"/>
    <n v="9429523463.7299995"/>
    <n v="92748920215.009995"/>
    <n v="-92748920215.009995"/>
    <n v="0"/>
    <n v="100"/>
  </r>
  <r>
    <x v="143"/>
    <x v="2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8200"/>
    <n v="0"/>
    <n v="0"/>
    <n v="0"/>
    <n v="8180"/>
    <n v="0"/>
    <n v="0"/>
    <n v="9000"/>
    <n v="0"/>
    <n v="0"/>
    <n v="0"/>
    <n v="25380"/>
    <n v="-25380"/>
    <n v="0"/>
    <n v="100"/>
  </r>
  <r>
    <x v="29"/>
    <x v="2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6600"/>
    <n v="0"/>
    <n v="9600"/>
    <n v="-9600"/>
    <n v="0"/>
    <n v="100"/>
  </r>
  <r>
    <x v="30"/>
    <x v="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26484746762"/>
    <n v="9616933458"/>
    <n v="13366493968"/>
    <n v="15433179818"/>
    <n v="14422773732"/>
    <n v="9051612915"/>
    <n v="20015808687.330002"/>
    <n v="13027069098"/>
    <n v="14034987071"/>
    <n v="15831881791"/>
    <n v="15105526043"/>
    <n v="13671804531"/>
    <n v="180062817874.32999"/>
    <n v="-180062817874.32999"/>
    <n v="0"/>
    <n v="100"/>
  </r>
  <r>
    <x v="31"/>
    <x v="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9084355413.9099998"/>
    <n v="14429861380.969999"/>
    <n v="11223835961.67"/>
    <n v="10321672006.889999"/>
    <n v="11403841062.030001"/>
    <n v="11612476685.389999"/>
    <n v="12909610439.139999"/>
    <n v="10546479982.74"/>
    <n v="7455945491.25"/>
    <n v="10408126217.959999"/>
    <n v="11297224643.280001"/>
    <n v="7517726795.5900002"/>
    <n v="128211156080.82001"/>
    <n v="-128211156080.82001"/>
    <n v="0"/>
    <n v="100"/>
  </r>
  <r>
    <x v="32"/>
    <x v="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2812316255"/>
    <n v="1445079775"/>
    <n v="1616888395"/>
    <n v="1910020837"/>
    <n v="1994811661"/>
    <n v="2324082954"/>
    <n v="2011349744.9000001"/>
    <n v="1888633344.6400001"/>
    <n v="2016939502.8499999"/>
    <n v="2388621551.52"/>
    <n v="1969130896.6500001"/>
    <n v="2533433046"/>
    <n v="24911307963.560001"/>
    <n v="-24911307963.560001"/>
    <n v="0"/>
    <n v="100"/>
  </r>
  <r>
    <x v="33"/>
    <x v="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279873674.57999998"/>
    <n v="317500696.97000003"/>
    <n v="366255423.98000002"/>
    <n v="277425695.01999998"/>
    <n v="283005490.26999998"/>
    <n v="304724831.06999999"/>
    <n v="373640691.52999997"/>
    <n v="296962581.35000002"/>
    <n v="400167551.79000002"/>
    <n v="569242650.47000003"/>
    <n v="563113819.82000005"/>
    <n v="695933038.98000002"/>
    <n v="4727846145.8299999"/>
    <n v="-4727846145.8299999"/>
    <n v="0"/>
    <n v="100"/>
  </r>
  <r>
    <x v="34"/>
    <x v="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2242649872"/>
    <n v="1763947303"/>
    <n v="1729246364"/>
    <n v="1929314130"/>
    <n v="2053474448"/>
    <n v="1918517130"/>
    <n v="1878462315"/>
    <n v="1943715684"/>
    <n v="1874142061"/>
    <n v="1711752276"/>
    <n v="2016195969.98"/>
    <n v="1864901981"/>
    <n v="22926319533.98"/>
    <n v="-22926319533.98"/>
    <n v="0"/>
    <n v="100"/>
  </r>
  <r>
    <x v="35"/>
    <x v="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89421171.739999995"/>
    <n v="110427951.98"/>
    <n v="141647892.03"/>
    <n v="122226531.45999999"/>
    <n v="108439432.95999999"/>
    <n v="123662069.89"/>
    <n v="108506924.61"/>
    <n v="104882212.81"/>
    <n v="106780015.09"/>
    <n v="123312847.48999999"/>
    <n v="212477304.38"/>
    <n v="148174228.13"/>
    <n v="1499958582.5699999"/>
    <n v="-1499958582.5699999"/>
    <n v="0"/>
    <n v="100"/>
  </r>
  <r>
    <x v="190"/>
    <x v="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74669486.25"/>
    <n v="81765053.170000002"/>
    <n v="79818124.579999998"/>
    <n v="92981668.310000002"/>
    <n v="110868009.22"/>
    <n v="88699868.379999995"/>
    <n v="110553184.16"/>
    <n v="81280937.609999999"/>
    <n v="92818462.340000004"/>
    <n v="108576013.26000001"/>
    <n v="90987267.689999998"/>
    <n v="97377422.799999997"/>
    <n v="1110395497.77"/>
    <n v="-1110395497.77"/>
    <n v="0"/>
    <n v="100"/>
  </r>
  <r>
    <x v="144"/>
    <x v="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0407546.280000001"/>
    <n v="17158755.629999999"/>
    <n v="20109865.699999999"/>
    <n v="19477782.93"/>
    <n v="22161413.09"/>
    <n v="21670805.300000001"/>
    <n v="22088370.98"/>
    <n v="24182102.949999999"/>
    <n v="23904618.640000001"/>
    <n v="20988720.82"/>
    <n v="20726089.920000002"/>
    <n v="20587784.859999999"/>
    <n v="253463857.09999999"/>
    <n v="-253463857.09999999"/>
    <n v="0"/>
    <n v="100"/>
  </r>
  <r>
    <x v="37"/>
    <x v="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53995278"/>
    <n v="27659912"/>
    <n v="83549654"/>
    <n v="48071682"/>
    <n v="22590902"/>
    <n v="22159382"/>
    <n v="33491139"/>
    <n v="26762563.960000001"/>
    <n v="15090411.65"/>
    <n v="13776146.74"/>
    <n v="35335373.280000001"/>
    <n v="28308106.620000001"/>
    <n v="410790551.25"/>
    <n v="-410790551.25"/>
    <n v="0"/>
    <n v="100"/>
  </r>
  <r>
    <x v="145"/>
    <x v="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7858932403.2200003"/>
    <n v="7453571320.1199999"/>
    <n v="7682392945.96"/>
    <n v="6609769442.0200005"/>
    <n v="6861587648.54"/>
    <n v="8089590302.9200001"/>
    <n v="8396831193.04"/>
    <n v="7771649608.3100004"/>
    <n v="8364029326.5100002"/>
    <n v="9209829246.7399998"/>
    <n v="9806221936.3899994"/>
    <n v="8896537183.5300007"/>
    <n v="97000942557.300003"/>
    <n v="-97000942557.300003"/>
    <n v="0"/>
    <n v="100"/>
  </r>
  <r>
    <x v="40"/>
    <x v="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1697216785.22"/>
    <n v="1504662853"/>
    <n v="1577516849.5899999"/>
    <n v="1403287237.6900001"/>
    <n v="1338359127.24"/>
    <n v="1685181601.0699999"/>
    <n v="1814419839.0599999"/>
    <n v="1752511579.1099999"/>
    <n v="1704762809.1800001"/>
    <n v="1927542602.6600001"/>
    <n v="1899733756.6900001"/>
    <n v="1949838849.4400001"/>
    <n v="20255033889.950001"/>
    <n v="-20255033889.950001"/>
    <n v="0"/>
    <n v="100"/>
  </r>
  <r>
    <x v="41"/>
    <x v="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91980601.239999995"/>
    <n v="74159502.219999999"/>
    <n v="38344001.18"/>
    <n v="168295927.47"/>
    <n v="85925468.950000003"/>
    <n v="456564450.62"/>
    <n v="311545029.63"/>
    <n v="404702077.38999999"/>
    <n v="344792915.52999997"/>
    <n v="332796017.01999998"/>
    <n v="421162646.66000003"/>
    <n v="1804157615.51"/>
    <n v="4534426253.4200001"/>
    <n v="-4534426253.4200001"/>
    <n v="0"/>
    <n v="100"/>
  </r>
  <r>
    <x v="42"/>
    <x v="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3117888.699999999"/>
    <n v="9564820.5"/>
    <n v="9739225.3000000007"/>
    <n v="12613570.24"/>
    <n v="11307666.5"/>
    <n v="12987630"/>
    <n v="11399092.01"/>
    <n v="10671678"/>
    <n v="10697868.1"/>
    <n v="13730102.859999999"/>
    <n v="15228780"/>
    <n v="11787871.5"/>
    <n v="142846193.71000001"/>
    <n v="-142846193.71000001"/>
    <n v="0"/>
    <n v="100"/>
  </r>
  <r>
    <x v="43"/>
    <x v="2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106.46"/>
    <n v="0.01"/>
    <n v="145.1"/>
    <n v="0"/>
    <n v="0"/>
    <n v="4140.1099999999997"/>
    <n v="1386.46"/>
    <n v="2.54"/>
    <n v="0"/>
    <n v="0"/>
    <n v="0"/>
    <n v="12073768"/>
    <n v="12079548.68"/>
    <n v="-12079548.68"/>
    <n v="0"/>
    <n v="100"/>
  </r>
  <r>
    <x v="44"/>
    <x v="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2455375520.52"/>
    <n v="2120439871.9400001"/>
    <n v="2682835005.2399998"/>
    <n v="2233157602.2600002"/>
    <n v="1655084726.3599999"/>
    <n v="2105236370.6400001"/>
    <n v="2331129676.8200002"/>
    <n v="2263385772.6999998"/>
    <n v="1811152915.52"/>
    <n v="1456182446.6900001"/>
    <n v="1650122008.8599999"/>
    <n v="2030141721.6600001"/>
    <n v="24794243639.209999"/>
    <n v="-24794243639.209999"/>
    <n v="0"/>
    <n v="100"/>
  </r>
  <r>
    <x v="45"/>
    <x v="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595652217.64999998"/>
    <n v="499335257.86000001"/>
    <n v="381545432.42000002"/>
    <n v="496362963.23000002"/>
    <n v="348969165.69999999"/>
    <n v="392611201.43000001"/>
    <n v="398552429.49000001"/>
    <n v="368905494.49000001"/>
    <n v="103761295.94"/>
    <n v="389150475.94"/>
    <n v="443943269.99000001"/>
    <n v="445270830.79000002"/>
    <n v="4864060034.9300003"/>
    <n v="-4864060034.9300003"/>
    <n v="0"/>
    <n v="100"/>
  </r>
  <r>
    <x v="46"/>
    <x v="2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0"/>
    <n v="0"/>
    <n v="10282876.960000001"/>
    <n v="404034506.56"/>
    <n v="337566148.45999998"/>
    <n v="387789700.91000003"/>
    <n v="338917964.05000001"/>
    <n v="437455613.17000002"/>
    <n v="546125980.83000004"/>
    <n v="513843585.92000002"/>
    <n v="477866674.12"/>
    <n v="546448979.48000002"/>
    <n v="579032427.88"/>
    <n v="1221572338.0799999"/>
    <n v="5800936796.4200001"/>
    <n v="-5800936796.4200001"/>
    <n v="0"/>
    <n v="100"/>
  </r>
  <r>
    <x v="146"/>
    <x v="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37950398.219999999"/>
    <n v="57235676.590000004"/>
    <n v="57855633.869999997"/>
    <n v="56376569.909999996"/>
    <n v="31173104.239999998"/>
    <n v="43206454.869999997"/>
    <n v="30097572.949999999"/>
    <n v="28252382.25"/>
    <n v="24531423.780000001"/>
    <n v="39502698.240000002"/>
    <n v="39382620.75"/>
    <n v="39832061.439999998"/>
    <n v="485396597.11000001"/>
    <n v="-485396597.11000001"/>
    <n v="0"/>
    <n v="100"/>
  </r>
  <r>
    <x v="47"/>
    <x v="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14919223.75999999"/>
    <n v="471592928.07999998"/>
    <n v="269240551.79000002"/>
    <n v="241159329.16"/>
    <n v="340128853.87"/>
    <n v="418258360.52999997"/>
    <n v="289890192.29000002"/>
    <n v="330624847.57999998"/>
    <n v="255558269.46000001"/>
    <n v="271671583.88"/>
    <n v="313470489.02999997"/>
    <n v="364414234.13999999"/>
    <n v="3780928863.5700002"/>
    <n v="-3780928863.5700002"/>
    <n v="0"/>
    <n v="100"/>
  </r>
  <r>
    <x v="147"/>
    <x v="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312.5"/>
    <n v="7005157.2000000002"/>
    <n v="0"/>
    <n v="0"/>
    <n v="2187.5"/>
    <n v="1250"/>
    <n v="299150"/>
    <n v="625"/>
    <n v="25852871.600000001"/>
    <n v="2812.5"/>
    <n v="35542646.399999999"/>
    <n v="34777334.899999999"/>
    <n v="103484347.59999999"/>
    <n v="-103484347.59999999"/>
    <n v="0"/>
    <n v="100"/>
  </r>
  <r>
    <x v="53"/>
    <x v="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1349889649.74"/>
    <n v="1015569240.89"/>
    <n v="1087151003.9400001"/>
    <n v="1384019471.0999999"/>
    <n v="1217196895.6400001"/>
    <n v="1143172679.01"/>
    <n v="1117376328.74"/>
    <n v="1187945882.02"/>
    <n v="1249132772.5999999"/>
    <n v="1314834233.1800001"/>
    <n v="1246581558.8199999"/>
    <n v="1611250599.97"/>
    <n v="14924120315.65"/>
    <n v="-14924120315.65"/>
    <n v="0"/>
    <n v="100"/>
  </r>
  <r>
    <x v="54"/>
    <x v="2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177435440.0799999"/>
    <n v="2613281772.0599999"/>
    <n v="2423734462.98"/>
    <n v="2426794885.2600002"/>
    <n v="2426619883.5799999"/>
    <n v="2467081056.0599999"/>
    <n v="2480889253.5799999"/>
    <n v="2498106394.96"/>
    <n v="2611391993.5599999"/>
    <n v="3032001752.3400002"/>
    <n v="2585636449.8000002"/>
    <n v="2912702737.4699998"/>
    <n v="30655676081.73"/>
    <n v="-30655676081.73"/>
    <n v="0"/>
    <n v="100"/>
  </r>
  <r>
    <x v="55"/>
    <x v="2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680541408.38"/>
    <n v="699077198.07000005"/>
    <n v="682252340.69000006"/>
    <n v="712605543.20000005"/>
    <n v="719396687.30999994"/>
    <n v="699563790.08000004"/>
    <n v="780824929.22000003"/>
    <n v="740498356.44000006"/>
    <n v="760175350.23000002"/>
    <n v="736711136.37"/>
    <n v="766152860.40999997"/>
    <n v="798702408.75"/>
    <n v="8776502009.1499996"/>
    <n v="-8776502009.1499996"/>
    <n v="0"/>
    <n v="100"/>
  </r>
  <r>
    <x v="56"/>
    <x v="2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24511469.859999999"/>
    <n v="7389281.1299999999"/>
    <n v="9325834"/>
    <n v="17851097.5"/>
    <n v="6485963.8399999999"/>
    <n v="5409564"/>
    <n v="4383124.26"/>
    <n v="4623663.84"/>
    <n v="5640777.1600000001"/>
    <n v="0"/>
    <n v="3424058.41"/>
    <n v="5446401.8600000003"/>
    <n v="94491235.859999999"/>
    <n v="-94491235.859999999"/>
    <n v="0"/>
    <n v="100"/>
  </r>
  <r>
    <x v="191"/>
    <x v="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01193.92"/>
    <n v="301193.92"/>
    <n v="-301193.92"/>
    <n v="0"/>
    <n v="100"/>
  </r>
  <r>
    <x v="58"/>
    <x v="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959772.09"/>
    <n v="1438018.2"/>
    <n v="336350"/>
    <n v="252050"/>
    <n v="150000"/>
    <n v="270000"/>
    <n v="143500"/>
    <n v="1690000"/>
    <n v="368000"/>
    <n v="398200"/>
    <n v="200000"/>
    <n v="200000"/>
    <n v="6405890.29"/>
    <n v="-6405890.29"/>
    <n v="0"/>
    <n v="100"/>
  </r>
  <r>
    <x v="192"/>
    <x v="2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0"/>
    <n v="0"/>
    <n v="0"/>
    <n v="0"/>
    <n v="0"/>
    <n v="0"/>
    <n v="0"/>
    <n v="0"/>
    <n v="10200000"/>
    <n v="0"/>
    <n v="0"/>
    <n v="0"/>
    <n v="0"/>
    <n v="0"/>
    <n v="10200000"/>
    <n v="-10200000"/>
    <n v="0"/>
    <n v="100"/>
  </r>
  <r>
    <x v="59"/>
    <x v="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33327355.870000001"/>
    <n v="23590996.550000001"/>
    <n v="21120298.059999999"/>
    <n v="5997418.7199999997"/>
    <n v="-18731728.82"/>
    <n v="8052124.4100000001"/>
    <n v="6865703"/>
    <n v="6914346.4299999997"/>
    <n v="6218244.3099999996"/>
    <n v="7397400.4100000001"/>
    <n v="6430099.8600000003"/>
    <n v="9428309.9299999997"/>
    <n v="116610568.73"/>
    <n v="-116610568.73"/>
    <n v="0"/>
    <n v="100"/>
  </r>
  <r>
    <x v="193"/>
    <x v="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40907341.57"/>
    <n v="34344958.049999997"/>
    <n v="18288982.27"/>
    <n v="26699178.629999999"/>
    <n v="18694805.199999999"/>
    <n v="18533678.399999999"/>
    <n v="19108988.140000001"/>
    <n v="46732493.700000003"/>
    <n v="223310425.96000001"/>
    <n v="-223310425.96000001"/>
    <n v="0"/>
    <n v="100"/>
  </r>
  <r>
    <x v="60"/>
    <x v="2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212963.24"/>
    <n v="293935411.24000001"/>
    <n v="252410069.87"/>
    <n v="275239767.58999997"/>
    <n v="214355286.22999999"/>
    <n v="225048340.43000001"/>
    <n v="234975865.80000001"/>
    <n v="209279927.52000001"/>
    <n v="176943223.43000001"/>
    <n v="218378689.66999999"/>
    <n v="212273666"/>
    <n v="444127629.94999999"/>
    <n v="2757180840.9699998"/>
    <n v="-2757180840.9699998"/>
    <n v="0"/>
    <n v="100"/>
  </r>
  <r>
    <x v="61"/>
    <x v="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4830"/>
    <n v="1460067"/>
    <n v="0"/>
    <n v="0"/>
    <n v="0"/>
    <n v="0"/>
    <n v="0"/>
    <n v="56830.080000000002"/>
    <n v="23267.599999999999"/>
    <n v="150908.37"/>
    <n v="0"/>
    <n v="1695903.05"/>
    <n v="-1695903.05"/>
    <n v="0"/>
    <n v="100"/>
  </r>
  <r>
    <x v="62"/>
    <x v="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8927774.379999999"/>
    <n v="90994444.209999993"/>
    <n v="32060352.280000001"/>
    <n v="30893178.93"/>
    <n v="169148.5"/>
    <n v="97700"/>
    <n v="107800"/>
    <n v="129116"/>
    <n v="93600"/>
    <n v="90900"/>
    <n v="89400"/>
    <n v="-27583685.48"/>
    <n v="156069728.81999999"/>
    <n v="-156069728.81999999"/>
    <n v="0"/>
    <n v="100"/>
  </r>
  <r>
    <x v="63"/>
    <x v="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1606118435.45"/>
    <n v="201924092.94"/>
    <n v="57529968.93"/>
    <n v="32893884.190000001"/>
    <n v="26539796.129999999"/>
    <n v="21051268.16"/>
    <n v="18847331.960000001"/>
    <n v="18355779.859999999"/>
    <n v="9193651.6099999994"/>
    <n v="12602114.779999999"/>
    <n v="11216390.529999999"/>
    <n v="1289536453.97"/>
    <n v="3305809168.5100002"/>
    <n v="-3305809168.5100002"/>
    <n v="0"/>
    <n v="100"/>
  </r>
  <r>
    <x v="64"/>
    <x v="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4274870.2699999996"/>
    <n v="3179538.88"/>
    <n v="2808368.63"/>
    <n v="3978308.44"/>
    <n v="3367168.58"/>
    <n v="2411942.88"/>
    <n v="3428120.52"/>
    <n v="3319626.78"/>
    <n v="3711565.11"/>
    <n v="4581192.42"/>
    <n v="4094472.98"/>
    <n v="5403440.8200000003"/>
    <n v="44558616.310000002"/>
    <n v="-44558616.310000002"/>
    <n v="0"/>
    <n v="100"/>
  </r>
  <r>
    <x v="65"/>
    <x v="2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72949.40999999997"/>
    <n v="160350"/>
    <n v="301899"/>
    <n v="116150"/>
    <n v="212414"/>
    <n v="141784"/>
    <n v="399520"/>
    <n v="88400"/>
    <n v="183315"/>
    <n v="139150"/>
    <n v="283160"/>
    <n v="184669"/>
    <n v="2483760.41"/>
    <n v="-2483760.41"/>
    <n v="0"/>
    <n v="100"/>
  </r>
  <r>
    <x v="66"/>
    <x v="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9014809.4199999999"/>
    <n v="7996818"/>
    <n v="9962114.5"/>
    <n v="9774150.5"/>
    <n v="7742610"/>
    <n v="8001747.7000000002"/>
    <n v="8375439.75"/>
    <n v="7155527.5"/>
    <n v="8579302.3800000008"/>
    <n v="8048599.5"/>
    <n v="8922350.5"/>
    <n v="10250465.4"/>
    <n v="103823935.15000001"/>
    <n v="-103823935.15000001"/>
    <n v="0"/>
    <n v="100"/>
  </r>
  <r>
    <x v="67"/>
    <x v="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2715454"/>
    <n v="1792590"/>
    <n v="3141660"/>
    <n v="1797786"/>
    <n v="923015"/>
    <n v="2302960"/>
    <n v="3302233.09"/>
    <n v="3284781.35"/>
    <n v="1108327.5"/>
    <n v="1390382"/>
    <n v="2549664"/>
    <n v="6906841"/>
    <n v="31215693.940000001"/>
    <n v="-31215693.940000001"/>
    <n v="0"/>
    <n v="100"/>
  </r>
  <r>
    <x v="148"/>
    <x v="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1669750"/>
    <n v="1692000"/>
    <n v="1455000"/>
    <n v="1262000"/>
    <n v="1578000"/>
    <n v="1224375"/>
    <n v="2093000"/>
    <n v="1830502.92"/>
    <n v="2530000"/>
    <n v="1577000"/>
    <n v="1682000"/>
    <n v="917000"/>
    <n v="19510627.920000002"/>
    <n v="-19510627.920000002"/>
    <n v="0"/>
    <n v="100"/>
  </r>
  <r>
    <x v="149"/>
    <x v="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7224366.3499999996"/>
    <n v="3994262.5"/>
    <n v="32453325"/>
    <n v="1677911.51"/>
    <n v="352281.29"/>
    <n v="2889.41"/>
    <n v="203325"/>
    <n v="43250"/>
    <n v="301477.68"/>
    <n v="160720.56"/>
    <n v="128225"/>
    <n v="39637.5"/>
    <n v="46581671.799999997"/>
    <n v="-46581671.799999997"/>
    <n v="0"/>
    <n v="100"/>
  </r>
  <r>
    <x v="72"/>
    <x v="2"/>
    <x v="66"/>
    <n v="1"/>
    <x v="0"/>
    <n v="13"/>
    <x v="2"/>
    <n v="132"/>
    <x v="7"/>
    <n v="1323"/>
    <x v="22"/>
    <n v="132301"/>
    <x v="39"/>
    <n v="13230106"/>
    <x v="30"/>
    <n v="132301061"/>
    <x v="21"/>
    <n v="1323010610"/>
    <x v="0"/>
    <n v="1"/>
    <s v="Ingresos corrientes"/>
    <n v="0"/>
    <n v="0"/>
    <n v="0"/>
    <n v="0"/>
    <n v="0"/>
    <n v="0"/>
    <n v="2250000"/>
    <n v="0"/>
    <n v="0"/>
    <n v="2250000"/>
    <n v="0"/>
    <n v="0"/>
    <n v="0"/>
    <n v="0"/>
    <n v="4216437.63"/>
    <n v="8716437.6300000008"/>
    <n v="-8716437.6300000008"/>
    <n v="0"/>
    <n v="100"/>
  </r>
  <r>
    <x v="150"/>
    <x v="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8012572.210000001"/>
    <n v="30402184.460000001"/>
    <n v="4691977.91"/>
    <n v="13648613.43"/>
    <n v="11866329.800000001"/>
    <n v="24892220.670000002"/>
    <n v="9312157.6999999993"/>
    <n v="10959091.949999999"/>
    <n v="6427800.0199999996"/>
    <n v="7820040.2599999998"/>
    <n v="283477692.14999998"/>
    <n v="27344130.93"/>
    <n v="448854811.49000001"/>
    <n v="-448854811.49000001"/>
    <n v="0"/>
    <n v="100"/>
  </r>
  <r>
    <x v="194"/>
    <x v="2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2000"/>
    <n v="2000"/>
    <n v="282475327.26999998"/>
    <n v="0"/>
    <n v="0"/>
    <n v="0"/>
    <n v="0"/>
    <n v="96686789.75"/>
    <n v="379166117.01999998"/>
    <n v="-379166117.01999998"/>
    <n v="0"/>
    <n v="100"/>
  </r>
  <r>
    <x v="151"/>
    <x v="2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5050189"/>
    <n v="1010397.48"/>
    <n v="300590.34000000003"/>
    <n v="11091054"/>
    <n v="120823"/>
    <n v="0"/>
    <n v="0"/>
    <n v="73900"/>
    <n v="0"/>
    <n v="0"/>
    <n v="0"/>
    <n v="2662"/>
    <n v="17649615.82"/>
    <n v="-17649615.82"/>
    <n v="0"/>
    <n v="100"/>
  </r>
  <r>
    <x v="152"/>
    <x v="2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081797.3200000003"/>
    <n v="20482167.120000001"/>
    <n v="8355242.9299999997"/>
    <n v="61328230.210000001"/>
    <n v="12471742.75"/>
    <n v="16186653.92"/>
    <n v="14273428.33"/>
    <n v="15274937.23"/>
    <n v="8822849.3900000006"/>
    <n v="14200305.52"/>
    <n v="13446741.41"/>
    <n v="32563517.030000001"/>
    <n v="226487613.16"/>
    <n v="-226487613.16"/>
    <n v="0"/>
    <n v="100"/>
  </r>
  <r>
    <x v="74"/>
    <x v="2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157344397"/>
    <n v="195431407.56"/>
    <n v="389345626"/>
    <n v="314038332"/>
    <n v="551819472.22000003"/>
    <n v="353817945.39999998"/>
    <n v="361556503"/>
    <n v="258157379"/>
    <n v="347223440"/>
    <n v="237709198.25"/>
    <n v="323365485"/>
    <n v="35664767.729999997"/>
    <n v="3525473953.1599998"/>
    <n v="-3525473953.1599998"/>
    <n v="0"/>
    <n v="100"/>
  </r>
  <r>
    <x v="153"/>
    <x v="2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150000"/>
    <n v="9136595.8800000008"/>
    <n v="2695917.71"/>
    <n v="1618134.82"/>
    <n v="3954493.96"/>
    <n v="11429911.609999999"/>
    <n v="3223666.43"/>
    <n v="582792.88"/>
    <n v="39488.5"/>
    <n v="574369.34"/>
    <n v="14805118.609999999"/>
    <n v="9561774.4299999997"/>
    <n v="57772264.170000002"/>
    <n v="-57772264.170000002"/>
    <n v="0"/>
    <n v="100"/>
  </r>
  <r>
    <x v="154"/>
    <x v="2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2884004.5"/>
    <n v="2871000"/>
    <n v="2871000"/>
    <n v="2871000"/>
    <n v="2871000"/>
    <n v="2871000"/>
    <n v="2871000"/>
    <n v="0"/>
    <n v="2871000"/>
    <n v="2871000"/>
    <n v="2871000"/>
    <n v="2871000"/>
    <n v="31594004.5"/>
    <n v="-31594004.5"/>
    <n v="0"/>
    <n v="100"/>
  </r>
  <r>
    <x v="155"/>
    <x v="2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7078000"/>
    <n v="9122000"/>
    <n v="6411000"/>
    <n v="7904500"/>
    <n v="4837500"/>
    <n v="6657500"/>
    <n v="1905000"/>
    <n v="1292500"/>
    <n v="1344500"/>
    <n v="3684500"/>
    <n v="-2517500"/>
    <n v="0"/>
    <n v="47719500"/>
    <n v="-47719500"/>
    <n v="0"/>
    <n v="100"/>
  </r>
  <r>
    <x v="156"/>
    <x v="2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167716.51999999999"/>
    <n v="985989.84"/>
    <n v="21101512.670000002"/>
    <n v="2734379.4"/>
    <n v="-9639515.5800000001"/>
    <n v="585033.96"/>
    <n v="13858403.93"/>
    <n v="1194893.48"/>
    <n v="317179.34999999998"/>
    <n v="4014104.46"/>
    <n v="2420430.3199999998"/>
    <n v="29388780.469999999"/>
    <n v="67128908.819999993"/>
    <n v="-67128908.819999993"/>
    <n v="0"/>
    <n v="100"/>
  </r>
  <r>
    <x v="195"/>
    <x v="2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885501.52"/>
    <n v="0"/>
    <n v="0"/>
    <n v="0"/>
    <n v="13891962.5"/>
    <n v="6102546.5599999996"/>
    <n v="6509465.9400000004"/>
    <n v="47451108.149999999"/>
    <n v="865457.5"/>
    <n v="392000"/>
    <n v="5029181"/>
    <n v="1680224.2"/>
    <n v="84807447.370000005"/>
    <n v="-84807447.370000005"/>
    <n v="0"/>
    <n v="100"/>
  </r>
  <r>
    <x v="80"/>
    <x v="2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752514.91"/>
    <n v="1741363.21"/>
    <n v="0"/>
    <n v="6105337.0300000003"/>
    <n v="5604897.4400000004"/>
    <n v="1721145.84"/>
    <n v="48532"/>
    <n v="1648456.65"/>
    <n v="486253.85"/>
    <n v="15359318.17"/>
    <n v="25126343.989999998"/>
    <n v="2089681.74"/>
    <n v="60683844.829999998"/>
    <n v="-60683844.829999998"/>
    <n v="0"/>
    <n v="100"/>
  </r>
  <r>
    <x v="157"/>
    <x v="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37257041.530000001"/>
    <n v="93253434.459999993"/>
    <n v="73745609.810000002"/>
    <n v="54815035.030000001"/>
    <n v="30483857.27"/>
    <n v="62096865"/>
    <n v="58338299.119999997"/>
    <n v="33347469.699999999"/>
    <n v="35843426.049999997"/>
    <n v="46410283.100000001"/>
    <n v="58976591.420000002"/>
    <n v="128193133.45999999"/>
    <n v="712761045.95000005"/>
    <n v="-712761045.95000005"/>
    <n v="0"/>
    <n v="100"/>
  </r>
  <r>
    <x v="158"/>
    <x v="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53791486.079999998"/>
    <n v="63611731.530000001"/>
    <n v="85622410.489999995"/>
    <n v="81220297.489999995"/>
    <n v="31093567.289999999"/>
    <n v="67965906.920000002"/>
    <n v="67475629.140000001"/>
    <n v="41173801.990000002"/>
    <n v="38232971.649999999"/>
    <n v="26009757.239999998"/>
    <n v="66510887.039999999"/>
    <n v="7958946.2800000003"/>
    <n v="630667393.13999999"/>
    <n v="-630667393.13999999"/>
    <n v="0"/>
    <n v="100"/>
  </r>
  <r>
    <x v="159"/>
    <x v="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1592729556"/>
    <n v="3349914015"/>
    <n v="2528064089"/>
    <n v="3109340560"/>
    <n v="0"/>
    <n v="0"/>
    <n v="3407815389.0799999"/>
    <n v="0"/>
    <n v="1883086157"/>
    <n v="3123543239.6799998"/>
    <n v="18994493005.759998"/>
    <n v="-18994493005.759998"/>
    <n v="0"/>
    <n v="100"/>
  </r>
  <r>
    <x v="160"/>
    <x v="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228215000"/>
    <n v="0"/>
    <n v="0"/>
    <n v="0"/>
    <n v="545746000"/>
    <n v="0"/>
    <n v="300000000"/>
    <n v="1073961000"/>
    <n v="-1073961000"/>
    <n v="0"/>
    <n v="100"/>
  </r>
  <r>
    <x v="196"/>
    <x v="2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646672907.30999994"/>
    <n v="0"/>
    <n v="0"/>
    <n v="0"/>
    <n v="478327092.69"/>
    <n v="0"/>
    <n v="591484000"/>
    <n v="1716484000"/>
    <n v="-1716484000"/>
    <n v="0"/>
    <n v="100"/>
  </r>
  <r>
    <x v="92"/>
    <x v="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93771067.599999994"/>
    <n v="370835377.61000001"/>
    <n v="215705716.87"/>
    <n v="210972744.58000001"/>
    <n v="210720923.63"/>
    <n v="212181422"/>
    <n v="208924839.36000001"/>
    <n v="0"/>
    <n v="240959292.06999999"/>
    <n v="241925429.80000001"/>
    <n v="237400556.09999999"/>
    <n v="432000997.37"/>
    <n v="2675398366.9899998"/>
    <n v="-2675398366.9899998"/>
    <n v="0"/>
    <n v="100"/>
  </r>
  <r>
    <x v="94"/>
    <x v="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1219303.27"/>
    <n v="0"/>
    <n v="0"/>
    <n v="0"/>
    <n v="0"/>
    <n v="0"/>
    <n v="0"/>
    <n v="0"/>
    <n v="0"/>
    <n v="0"/>
    <n v="0"/>
    <n v="1219303.27"/>
    <n v="-1219303.27"/>
    <n v="0"/>
    <n v="100"/>
  </r>
  <r>
    <x v="164"/>
    <x v="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160192.19"/>
    <n v="0"/>
    <n v="0"/>
    <n v="0"/>
    <n v="0"/>
    <n v="0"/>
    <n v="0"/>
    <n v="0"/>
    <n v="0"/>
    <n v="0"/>
    <n v="0"/>
    <n v="160192.19"/>
    <n v="-160192.19"/>
    <n v="0"/>
    <n v="100"/>
  </r>
  <r>
    <x v="95"/>
    <x v="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6117228.6100000003"/>
    <n v="0"/>
    <n v="0"/>
    <n v="0"/>
    <n v="0"/>
    <n v="0"/>
    <n v="0"/>
    <n v="0"/>
    <n v="0"/>
    <n v="0"/>
    <n v="6117228.6100000003"/>
    <n v="-6117228.6100000003"/>
    <n v="0"/>
    <n v="100"/>
  </r>
  <r>
    <x v="96"/>
    <x v="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3389074.3"/>
    <n v="0"/>
    <n v="5258684.3899999997"/>
    <n v="0"/>
    <n v="0"/>
    <n v="0"/>
    <n v="0"/>
    <n v="0"/>
    <n v="0"/>
    <n v="0"/>
    <n v="0"/>
    <n v="0"/>
    <n v="8647758.6899999995"/>
    <n v="-8647758.6899999995"/>
    <n v="0"/>
    <n v="100"/>
  </r>
  <r>
    <x v="97"/>
    <x v="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8859738"/>
    <n v="0"/>
    <n v="0"/>
    <n v="0"/>
    <n v="0"/>
    <n v="0"/>
    <n v="0"/>
    <n v="0"/>
    <n v="0"/>
    <n v="0"/>
    <n v="0"/>
    <n v="8859738"/>
    <n v="-8859738"/>
    <n v="0"/>
    <n v="100"/>
  </r>
  <r>
    <x v="165"/>
    <x v="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23984173.600000001"/>
    <n v="0"/>
    <n v="0"/>
    <n v="0"/>
    <n v="0"/>
    <n v="0"/>
    <n v="0"/>
    <n v="0"/>
    <n v="0"/>
    <n v="0"/>
    <n v="0"/>
    <n v="0"/>
    <n v="23984173.600000001"/>
    <n v="-23984173.600000001"/>
    <n v="0"/>
    <n v="100"/>
  </r>
  <r>
    <x v="197"/>
    <x v="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2366"/>
    <n v="0"/>
    <n v="0"/>
    <n v="0"/>
    <n v="0"/>
    <n v="0"/>
    <n v="0"/>
    <n v="0"/>
    <n v="0"/>
    <n v="0"/>
    <n v="0"/>
    <n v="42366"/>
    <n v="-42366"/>
    <n v="0"/>
    <n v="100"/>
  </r>
  <r>
    <x v="166"/>
    <x v="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3322693.42"/>
    <n v="0"/>
    <n v="0"/>
    <n v="0"/>
    <n v="3322693.42"/>
    <n v="-3322693.42"/>
    <n v="0"/>
    <n v="100"/>
  </r>
  <r>
    <x v="99"/>
    <x v="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5608934.6100000003"/>
    <n v="0"/>
    <n v="0"/>
    <n v="0"/>
    <n v="0"/>
    <n v="0"/>
    <n v="0"/>
    <n v="0"/>
    <n v="0"/>
    <n v="0"/>
    <n v="0"/>
    <n v="5608934.6100000003"/>
    <n v="-5608934.6100000003"/>
    <n v="0"/>
    <n v="100"/>
  </r>
  <r>
    <x v="101"/>
    <x v="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35581911.289999999"/>
    <n v="0"/>
    <n v="0"/>
    <n v="0"/>
    <n v="0"/>
    <n v="0"/>
    <n v="0"/>
    <n v="35581911.289999999"/>
    <n v="-35581911.289999999"/>
    <n v="0"/>
    <n v="100"/>
  </r>
  <r>
    <x v="102"/>
    <x v="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1168037.6599999999"/>
    <n v="0"/>
    <n v="0"/>
    <n v="0"/>
    <n v="0"/>
    <n v="0"/>
    <n v="1168037.6599999999"/>
    <n v="-1168037.6599999999"/>
    <n v="0"/>
    <n v="100"/>
  </r>
  <r>
    <x v="105"/>
    <x v="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80000000"/>
    <n v="0"/>
    <n v="0"/>
    <n v="0"/>
    <n v="0"/>
    <n v="0"/>
    <n v="0"/>
    <n v="2881400000"/>
    <n v="0"/>
    <n v="0"/>
    <n v="0"/>
    <n v="2961400000"/>
    <n v="-2961400000"/>
    <n v="0"/>
    <n v="100"/>
  </r>
  <r>
    <x v="167"/>
    <x v="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14511588.4"/>
    <n v="0"/>
    <n v="0"/>
    <n v="0"/>
    <n v="80000000"/>
    <n v="0"/>
    <n v="126407560.42"/>
    <n v="0"/>
    <n v="220919148.81999999"/>
    <n v="-220919148.81999999"/>
    <n v="0"/>
    <n v="100"/>
  </r>
  <r>
    <x v="106"/>
    <x v="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28322142.039999999"/>
    <n v="39206059.479999997"/>
    <n v="10187379.67"/>
    <n v="13272939.460000001"/>
    <n v="23396811.68"/>
    <n v="19202036.5"/>
    <n v="26006710.73"/>
    <n v="8777074.6600000001"/>
    <n v="11495713.210000001"/>
    <n v="17021486.079999998"/>
    <n v="20666758.390000001"/>
    <n v="56469938.380000003"/>
    <n v="274025050.27999997"/>
    <n v="-274025050.27999997"/>
    <n v="0"/>
    <n v="100"/>
  </r>
  <r>
    <x v="107"/>
    <x v="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24074506.27"/>
    <n v="0"/>
    <n v="0"/>
    <n v="0"/>
    <n v="0"/>
    <n v="0"/>
    <n v="0"/>
    <n v="0"/>
    <n v="0"/>
    <n v="0"/>
    <n v="0"/>
    <n v="0"/>
    <n v="24074506.27"/>
    <n v="-24074506.27"/>
    <n v="0"/>
    <n v="100"/>
  </r>
  <r>
    <x v="108"/>
    <x v="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76401750.010000005"/>
    <n v="0"/>
    <n v="0"/>
    <n v="0"/>
    <n v="0"/>
    <n v="0"/>
    <n v="0"/>
    <n v="0"/>
    <n v="0"/>
    <n v="0"/>
    <n v="76401750.010000005"/>
    <n v="-76401750.010000005"/>
    <n v="0"/>
    <n v="100"/>
  </r>
  <r>
    <x v="110"/>
    <x v="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23187894.809999999"/>
    <n v="0"/>
    <n v="0"/>
    <n v="0"/>
    <n v="0"/>
    <n v="0"/>
    <n v="0"/>
    <n v="0"/>
    <n v="23187894.809999999"/>
    <n v="-23187894.809999999"/>
    <n v="0"/>
    <n v="100"/>
  </r>
  <r>
    <x v="111"/>
    <x v="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12332337.189999999"/>
    <n v="0"/>
    <n v="0"/>
    <n v="0"/>
    <n v="0"/>
    <n v="0"/>
    <n v="0"/>
    <n v="0"/>
    <n v="0"/>
    <n v="0"/>
    <n v="0"/>
    <n v="0"/>
    <n v="12332337.189999999"/>
    <n v="-12332337.189999999"/>
    <n v="0"/>
    <n v="100"/>
  </r>
  <r>
    <x v="168"/>
    <x v="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250953833.21000001"/>
    <n v="0"/>
    <n v="250953833.21000001"/>
    <n v="-250953833.21000001"/>
    <n v="0"/>
    <n v="100"/>
  </r>
  <r>
    <x v="169"/>
    <x v="2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4624766.37"/>
    <n v="4624766.37"/>
    <n v="4624766.37"/>
    <n v="4624766.37"/>
    <n v="4624766.37"/>
    <n v="4624766.37"/>
    <n v="4624766.37"/>
    <n v="4624766.37"/>
    <n v="4624766.37"/>
    <n v="4624766.37"/>
    <n v="4624766.37"/>
    <n v="4624766.37"/>
    <n v="55497196.439999998"/>
    <n v="-55497196.439999998"/>
    <n v="0"/>
    <n v="100"/>
  </r>
  <r>
    <x v="170"/>
    <x v="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154898066.08000001"/>
    <n v="0"/>
    <n v="0"/>
    <n v="0"/>
    <n v="154898066.08000001"/>
    <n v="-154898066.08000001"/>
    <n v="0"/>
    <n v="100"/>
  </r>
  <r>
    <x v="198"/>
    <x v="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5399259.5"/>
    <n v="0"/>
    <n v="0"/>
    <n v="0"/>
    <n v="0"/>
    <n v="0"/>
    <n v="0"/>
    <n v="0"/>
    <n v="0"/>
    <n v="0"/>
    <n v="0"/>
    <n v="5399259.5"/>
    <n v="-5399259.5"/>
    <n v="0"/>
    <n v="100"/>
  </r>
  <r>
    <x v="118"/>
    <x v="2"/>
    <x v="100"/>
    <n v="1"/>
    <x v="0"/>
    <n v="14"/>
    <x v="3"/>
    <n v="142"/>
    <x v="11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9845026.66"/>
    <n v="39548401.770000003"/>
    <n v="41324095.439999998"/>
    <n v="44303815.810000002"/>
    <n v="35791427.030000001"/>
    <n v="43723395.18"/>
    <n v="49745858.560000002"/>
    <n v="51471683.07"/>
    <n v="44912956.93"/>
    <n v="47683271.159999996"/>
    <n v="43385876.600000001"/>
    <n v="186320037.56"/>
    <n v="658055845.76999998"/>
    <n v="-658055845.76999998"/>
    <n v="0"/>
    <n v="100"/>
  </r>
  <r>
    <x v="199"/>
    <x v="2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0"/>
    <n v="0"/>
    <n v="0"/>
    <n v="0"/>
    <n v="0"/>
    <n v="0"/>
    <n v="0"/>
    <n v="0"/>
    <n v="0"/>
    <n v="0"/>
    <n v="0"/>
    <n v="0"/>
    <n v="1436740000"/>
    <n v="2645795000"/>
    <n v="4082535000"/>
    <n v="-4082535000"/>
    <n v="0"/>
    <n v="100"/>
  </r>
  <r>
    <x v="121"/>
    <x v="2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0"/>
    <n v="0"/>
    <n v="0"/>
    <n v="0"/>
    <n v="0"/>
    <n v="0"/>
    <n v="0"/>
    <n v="0"/>
    <n v="0"/>
    <n v="0"/>
    <n v="0"/>
    <n v="0"/>
    <n v="45000000"/>
    <n v="0"/>
    <n v="45000000"/>
    <n v="-45000000"/>
    <n v="0"/>
    <n v="100"/>
  </r>
  <r>
    <x v="174"/>
    <x v="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24072010650.470001"/>
    <n v="41255875689.360001"/>
    <n v="45142649480.480003"/>
    <n v="26816221518.66"/>
    <n v="0"/>
    <n v="645439018.38999999"/>
    <n v="13000519077.93"/>
    <n v="28486038814.029999"/>
    <n v="7373998961.5600004"/>
    <n v="28860427992.419998"/>
    <n v="56320083913.089996"/>
    <n v="155355038317.03"/>
    <n v="427328303433.41998"/>
    <n v="-427328303433.41998"/>
    <n v="0"/>
    <n v="100"/>
  </r>
  <r>
    <x v="200"/>
    <x v="2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17174926340"/>
    <n v="4684070820"/>
    <n v="21858997160"/>
    <n v="-21858997160"/>
    <n v="0"/>
    <n v="100"/>
  </r>
  <r>
    <x v="175"/>
    <x v="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5044800000"/>
    <n v="109466873660"/>
    <n v="99789285620"/>
    <n v="73474091960"/>
    <n v="146215576190"/>
    <n v="86035070000"/>
    <n v="86723043032.369995"/>
    <n v="121122768340.94"/>
    <n v="142782089680"/>
    <n v="27543850000"/>
    <n v="128635242632"/>
    <n v="18775287807.91"/>
    <n v="1055607978923.22"/>
    <n v="-1055607978923.22"/>
    <n v="0"/>
    <n v="100"/>
  </r>
  <r>
    <x v="123"/>
    <x v="2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191948813.53999999"/>
    <n v="1821546279.47"/>
    <n v="0"/>
    <n v="1068967937.27"/>
    <n v="564215488.5"/>
    <n v="0"/>
    <n v="1599394828.97"/>
    <n v="0"/>
    <n v="0"/>
    <n v="1920984939.72"/>
    <n v="536137077.17000002"/>
    <n v="7703195364.6400003"/>
    <n v="-7703195364.6400003"/>
    <n v="0"/>
    <n v="100"/>
  </r>
  <r>
    <x v="201"/>
    <x v="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49203445.979999997"/>
    <n v="49203445.979999997"/>
    <n v="-49203445.979999997"/>
    <n v="0"/>
    <n v="100"/>
  </r>
  <r>
    <x v="124"/>
    <x v="2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774727632.51999998"/>
    <n v="304907693.99000001"/>
    <n v="0"/>
    <n v="841314885.58000004"/>
    <n v="535191869.97000003"/>
    <n v="0"/>
    <n v="1390107988.4100001"/>
    <n v="0"/>
    <n v="0"/>
    <n v="2240807544.77"/>
    <n v="833037375.28999996"/>
    <n v="6920094990.5299997"/>
    <n v="-6920094990.5299997"/>
    <n v="0"/>
    <n v="100"/>
  </r>
  <r>
    <x v="125"/>
    <x v="2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0"/>
    <n v="0"/>
    <n v="0"/>
    <n v="0"/>
    <n v="32935939.219999999"/>
    <n v="0"/>
    <n v="189400131.62"/>
    <n v="155873700"/>
    <n v="0"/>
    <n v="384679799.25"/>
    <n v="0"/>
    <n v="0"/>
    <n v="645447850.66999996"/>
    <n v="265989778.43000001"/>
    <n v="1674327199.1900001"/>
    <n v="-1674327199.1900001"/>
    <n v="0"/>
    <n v="100"/>
  </r>
  <r>
    <x v="127"/>
    <x v="2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196334869"/>
    <n v="139783234.34999999"/>
    <n v="0"/>
    <n v="397139424.23000002"/>
    <n v="93994623"/>
    <n v="0"/>
    <n v="423557649.10000002"/>
    <n v="0"/>
    <n v="0"/>
    <n v="552456224.30999994"/>
    <n v="376132555.64999998"/>
    <n v="2179398579.6399999"/>
    <n v="-2179398579.6399999"/>
    <n v="0"/>
    <n v="100"/>
  </r>
  <r>
    <x v="202"/>
    <x v="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943182.4"/>
    <n v="0"/>
    <n v="0"/>
    <n v="2033431.54"/>
    <n v="330738.56"/>
    <n v="3307352.5"/>
    <n v="-3307352.5"/>
    <n v="0"/>
    <n v="100"/>
  </r>
  <r>
    <x v="128"/>
    <x v="2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608274390.38"/>
    <n v="0"/>
    <n v="0"/>
    <n v="411018048.75999999"/>
    <n v="239618206"/>
    <n v="0"/>
    <n v="513690834.17000002"/>
    <n v="0"/>
    <n v="0"/>
    <n v="1019790164.0599999"/>
    <n v="-63015010.509999998"/>
    <n v="2729376632.8600001"/>
    <n v="-2729376632.8600001"/>
    <n v="0"/>
    <n v="100"/>
  </r>
  <r>
    <x v="176"/>
    <x v="2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247572288.28"/>
    <n v="0"/>
    <n v="0"/>
    <n v="0"/>
    <n v="333750405.62"/>
    <n v="0"/>
    <n v="624671324.40999997"/>
    <n v="0"/>
    <n v="0"/>
    <n v="4255358.2"/>
    <n v="0"/>
    <n v="1210249376.51"/>
    <n v="-1210249376.51"/>
    <n v="0"/>
    <n v="100"/>
  </r>
  <r>
    <x v="203"/>
    <x v="2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1772220000"/>
    <n v="0"/>
    <n v="0"/>
    <n v="0"/>
    <n v="0"/>
    <n v="1772220000"/>
    <n v="-1772220000"/>
    <n v="0"/>
    <n v="100"/>
  </r>
  <r>
    <x v="204"/>
    <x v="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n v="0"/>
    <n v="0"/>
    <n v="0"/>
    <n v="0"/>
    <n v="0"/>
    <n v="0"/>
    <n v="6600000000"/>
    <n v="0"/>
    <n v="0"/>
    <n v="0"/>
    <n v="0"/>
    <n v="0"/>
    <n v="1803224000"/>
    <n v="8403224000"/>
    <n v="-8403224000"/>
    <n v="0"/>
    <n v="100"/>
  </r>
  <r>
    <x v="130"/>
    <x v="2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315079652.95999998"/>
    <n v="202655871.16"/>
    <n v="0"/>
    <n v="538036308.59000003"/>
    <n v="737631598.62"/>
    <n v="0"/>
    <n v="673122883.58000004"/>
    <n v="0"/>
    <n v="0"/>
    <n v="1248277888.8399999"/>
    <n v="813551818.60000002"/>
    <n v="4528356022.3500004"/>
    <n v="-4528356022.3500004"/>
    <n v="0"/>
    <n v="100"/>
  </r>
  <r>
    <x v="177"/>
    <x v="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29179560.960000001"/>
    <n v="0"/>
    <n v="58271832"/>
    <n v="0"/>
    <n v="0"/>
    <n v="107271699.39"/>
    <n v="1204976099.5"/>
    <n v="1399699191.8499999"/>
    <n v="-1399699191.8499999"/>
    <n v="0"/>
    <n v="100"/>
  </r>
  <r>
    <x v="205"/>
    <x v="2"/>
    <x v="180"/>
    <n v="3"/>
    <x v="2"/>
    <n v="33"/>
    <x v="8"/>
    <n v="331"/>
    <x v="17"/>
    <n v="3311"/>
    <x v="35"/>
    <n v="331105"/>
    <x v="44"/>
    <n v="33110500"/>
    <x v="0"/>
    <n v="331105000"/>
    <x v="0"/>
    <n v="3311050000"/>
    <x v="0"/>
    <n v="980"/>
    <s v="Supervávit Asamblea Legislativa (2009)"/>
    <n v="0"/>
    <n v="0"/>
    <n v="0"/>
    <n v="0"/>
    <n v="0"/>
    <n v="187765281"/>
    <n v="785741125"/>
    <n v="0"/>
    <n v="0"/>
    <n v="0"/>
    <n v="0"/>
    <n v="0"/>
    <n v="0"/>
    <n v="0"/>
    <n v="-730530776.79999995"/>
    <n v="242975629.19999999"/>
    <n v="-242975629.19999999"/>
    <n v="0"/>
    <n v="100"/>
  </r>
  <r>
    <x v="133"/>
    <x v="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16000000000"/>
    <n v="116000000000"/>
    <n v="7387889385.2399998"/>
    <n v="10263433698.77"/>
    <n v="7828177485.5699997"/>
    <n v="9393159913.2900009"/>
    <n v="8448214980.1899996"/>
    <n v="10659086028.049999"/>
    <n v="8835581312.3899994"/>
    <n v="10202266093.889999"/>
    <n v="10405981846.639999"/>
    <n v="9799304824.5300007"/>
    <n v="9715365020.8099995"/>
    <n v="7369766556.9499998"/>
    <n v="110308227146.32001"/>
    <n v="5691772853.6800003"/>
    <n v="95.09"/>
    <n v="4.91"/>
  </r>
  <r>
    <x v="134"/>
    <x v="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72000000000"/>
    <n v="72000000000"/>
    <n v="5014331231.25"/>
    <n v="7737596737.6199999"/>
    <n v="4654464137.5200005"/>
    <n v="6964825507.1499996"/>
    <n v="4589507022.8000002"/>
    <n v="10819937067.33"/>
    <n v="3986058083.9400001"/>
    <n v="4460157075.8999996"/>
    <n v="4885794215.3999996"/>
    <n v="7685628236.4300003"/>
    <n v="4881700140.7700005"/>
    <n v="9930833148.8799992"/>
    <n v="75610832604.990005"/>
    <n v="-3610832604.9899998"/>
    <n v="105.02"/>
    <n v="-5.0199999999999996"/>
  </r>
  <r>
    <x v="135"/>
    <x v="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11000000000"/>
    <n v="11000000000"/>
    <n v="0"/>
    <n v="508145552.30000001"/>
    <n v="17802160.079999998"/>
    <n v="1965232703.05"/>
    <n v="732468820.62"/>
    <n v="306826464.52999997"/>
    <n v="136540"/>
    <n v="2414209455.3200002"/>
    <n v="271725771.77999997"/>
    <n v="3574968462.0500002"/>
    <n v="-1031108519.09"/>
    <n v="8169140035.6599998"/>
    <n v="16929547446.299999"/>
    <n v="-5929547446.3000002"/>
    <n v="153.9"/>
    <n v="-53.9"/>
  </r>
  <r>
    <x v="180"/>
    <x v="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25000000000"/>
    <n v="25000000000"/>
    <n v="5087925084"/>
    <n v="1185759646.1900001"/>
    <n v="5611244492.7700005"/>
    <n v="2597744271.27"/>
    <n v="1848923494.9200001"/>
    <n v="4795736697.5100002"/>
    <n v="5586909602.6800003"/>
    <n v="2154357723.2600002"/>
    <n v="6776943939.9200001"/>
    <n v="4521475877.7700005"/>
    <n v="28972570868.119999"/>
    <n v="10929518018.35"/>
    <n v="80069109716.759995"/>
    <n v="-55069109716.760002"/>
    <n v="320.27999999999997"/>
    <n v="-220.28"/>
  </r>
  <r>
    <x v="137"/>
    <x v="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375000000000"/>
    <n v="375000000000"/>
    <n v="14751141772.01"/>
    <n v="2048440074.0599999"/>
    <n v="82507002304.350006"/>
    <n v="19715296841"/>
    <n v="3110466770.0500002"/>
    <n v="39202937633.669998"/>
    <n v="38361357325.449997"/>
    <n v="-1030134488.0700001"/>
    <n v="64065940726.580002"/>
    <n v="37373862547.029999"/>
    <n v="-24018836536.43"/>
    <n v="93797952248"/>
    <n v="369885427217.70001"/>
    <n v="5114572782.3000002"/>
    <n v="98.64"/>
    <n v="1.36"/>
  </r>
  <r>
    <x v="181"/>
    <x v="3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4583696"/>
    <n v="194472989.58000001"/>
    <n v="1681332.52"/>
    <n v="2274852"/>
    <n v="2735468"/>
    <n v="2307283.91"/>
    <n v="2639993"/>
    <n v="4858846.3099999996"/>
    <n v="3116658"/>
    <n v="5159888.04"/>
    <n v="3911192"/>
    <n v="9674624"/>
    <n v="237416823.36000001"/>
    <n v="0"/>
    <n v="0"/>
    <n v="0"/>
  </r>
  <r>
    <x v="138"/>
    <x v="3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2000000000"/>
    <n v="12000000000"/>
    <n v="624334200.59000003"/>
    <n v="170785889.31999999"/>
    <n v="630418706.27999997"/>
    <n v="829452353.96000004"/>
    <n v="1531743506.0899999"/>
    <n v="1582757423.5599999"/>
    <n v="457049731.38"/>
    <n v="875906097.20000005"/>
    <n v="1079028739.02"/>
    <n v="862903741.67999995"/>
    <n v="471598344.25999999"/>
    <n v="2763639645.8699999"/>
    <n v="11879618379.209999"/>
    <n v="120381620.79000001"/>
    <n v="99"/>
    <n v="1"/>
  </r>
  <r>
    <x v="182"/>
    <x v="3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6000000000"/>
    <n v="46000000000"/>
    <n v="721556681.78999996"/>
    <n v="207344007.08000001"/>
    <n v="4048144373.4699998"/>
    <n v="1001290831.25"/>
    <n v="1171011522.6700001"/>
    <n v="3531739946.27"/>
    <n v="562345373.45000005"/>
    <n v="5911908684.2600002"/>
    <n v="3617347302.98"/>
    <n v="-645985591.80999994"/>
    <n v="8254644863.2600002"/>
    <n v="1125937859.1500001"/>
    <n v="29507285853.82"/>
    <n v="16492714146.18"/>
    <n v="64.150000000000006"/>
    <n v="35.85"/>
  </r>
  <r>
    <x v="183"/>
    <x v="3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000000000"/>
    <n v="8000000000"/>
    <n v="1153268478.8499999"/>
    <n v="1085461037.55"/>
    <n v="731185704.5"/>
    <n v="635930837.96000004"/>
    <n v="520621116.51999998"/>
    <n v="550612594.30999994"/>
    <n v="600704826.89999998"/>
    <n v="609634248.53999996"/>
    <n v="639425558.65999997"/>
    <n v="729057078.52999997"/>
    <n v="689166037.37"/>
    <n v="616805981.51999998"/>
    <n v="8561873501.21"/>
    <n v="-561873501.21000004"/>
    <n v="107.02"/>
    <n v="-7.02"/>
  </r>
  <r>
    <x v="140"/>
    <x v="3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35000000000"/>
    <n v="35000000000"/>
    <n v="4591003567.1000004"/>
    <n v="2288381999.9299998"/>
    <n v="3744891211.4400001"/>
    <n v="4200157963.0799999"/>
    <n v="4225849369.1799998"/>
    <n v="2571487551.3699999"/>
    <n v="3597232224.77"/>
    <n v="2868816217.79"/>
    <n v="3583231221.8400002"/>
    <n v="4326587899.2299995"/>
    <n v="3418028299.5900002"/>
    <n v="5330670598.1000004"/>
    <n v="44746338123.419998"/>
    <n v="-9746338123.4200001"/>
    <n v="127.85"/>
    <n v="-27.85"/>
  </r>
  <r>
    <x v="185"/>
    <x v="3"/>
    <x v="18"/>
    <n v="1"/>
    <x v="0"/>
    <n v="11"/>
    <x v="0"/>
    <n v="111"/>
    <x v="0"/>
    <n v="1115"/>
    <x v="4"/>
    <n v="111501"/>
    <x v="8"/>
    <n v="11150100"/>
    <x v="0"/>
    <n v="111501000"/>
    <x v="0"/>
    <n v="1115010000"/>
    <x v="0"/>
    <n v="1"/>
    <s v="Ingresos corrientes"/>
    <n v="0"/>
    <n v="0"/>
    <n v="0"/>
    <n v="357885135"/>
    <n v="0"/>
    <n v="9000"/>
    <n v="0"/>
    <n v="0"/>
    <n v="0"/>
    <n v="5320"/>
    <n v="0"/>
    <n v="6500"/>
    <n v="0"/>
    <n v="0"/>
    <n v="0"/>
    <n v="357905955"/>
    <n v="0"/>
    <n v="0"/>
    <n v="0"/>
  </r>
  <r>
    <x v="186"/>
    <x v="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10000000000"/>
    <n v="10000000000"/>
    <n v="3095396080.5100002"/>
    <n v="64439272.740000002"/>
    <n v="30218807.73"/>
    <n v="18213407.300000001"/>
    <n v="11590100.52"/>
    <n v="6020118"/>
    <n v="18520576"/>
    <n v="3185636.5"/>
    <n v="3154096"/>
    <n v="2195555.7799999998"/>
    <n v="20150581.760000002"/>
    <n v="253575823.08000001"/>
    <n v="3526660055.9200001"/>
    <n v="6473339944.0799999"/>
    <n v="35.270000000000003"/>
    <n v="64.73"/>
  </r>
  <r>
    <x v="141"/>
    <x v="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84000000000"/>
    <n v="84000000000"/>
    <n v="18027005730"/>
    <n v="2738233835"/>
    <n v="1758951328"/>
    <n v="1463063274"/>
    <n v="1407711928.02"/>
    <n v="1087176628.1600001"/>
    <n v="983417869"/>
    <n v="825198430"/>
    <n v="844289381.42999995"/>
    <n v="661402130"/>
    <n v="480111196"/>
    <n v="63824912253"/>
    <n v="94101473982.610001"/>
    <n v="-10101473982.610001"/>
    <n v="112.03"/>
    <n v="-12.03"/>
  </r>
  <r>
    <x v="21"/>
    <x v="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1000000"/>
    <n v="121000000"/>
    <n v="28568183"/>
    <n v="5088294"/>
    <n v="2821794"/>
    <n v="2187039"/>
    <n v="1805031"/>
    <n v="1568584"/>
    <n v="1370068"/>
    <n v="1214522"/>
    <n v="1243890"/>
    <n v="1126978"/>
    <n v="951949"/>
    <n v="87611246"/>
    <n v="135557578"/>
    <n v="-14557578"/>
    <n v="112.03"/>
    <n v="-12.03"/>
  </r>
  <r>
    <x v="22"/>
    <x v="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1750000000"/>
    <n v="1750000000"/>
    <n v="21831164.510000002"/>
    <n v="21169206.16"/>
    <n v="25538480.699999999"/>
    <n v="235992527.97999999"/>
    <n v="66826338.450000003"/>
    <n v="8367192.8600000003"/>
    <n v="9403741.8900000006"/>
    <n v="11295111.939999999"/>
    <n v="9104965.2899999991"/>
    <n v="17477831.760000002"/>
    <n v="12419813.15"/>
    <n v="19798217.260000002"/>
    <n v="459224591.94999999"/>
    <n v="1290775408.05"/>
    <n v="26.24"/>
    <n v="73.760000000000005"/>
  </r>
  <r>
    <x v="23"/>
    <x v="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3000000000"/>
    <n v="13000000000"/>
    <n v="931369841"/>
    <n v="872709998"/>
    <n v="1206712249"/>
    <n v="1140872940"/>
    <n v="1499976031"/>
    <n v="1209097471"/>
    <n v="1270189178"/>
    <n v="1230046365"/>
    <n v="1298791153"/>
    <n v="1213640938"/>
    <n v="1410933265"/>
    <n v="1459097898"/>
    <n v="14743437327"/>
    <n v="-1743437327"/>
    <n v="113.41"/>
    <n v="-13.41"/>
  </r>
  <r>
    <x v="24"/>
    <x v="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1500000000"/>
    <n v="11500000000"/>
    <n v="897653600"/>
    <n v="1007266820"/>
    <n v="1064392520"/>
    <n v="962046245"/>
    <n v="1090634881"/>
    <n v="1078822202"/>
    <n v="1058415911"/>
    <n v="1021545276"/>
    <n v="1000902705"/>
    <n v="976356537"/>
    <n v="1082585093"/>
    <n v="1070218127"/>
    <n v="12310839917"/>
    <n v="-810839917"/>
    <n v="107.05"/>
    <n v="-7.05"/>
  </r>
  <r>
    <x v="142"/>
    <x v="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21000000000"/>
    <n v="521000000000"/>
    <n v="50677882317.82"/>
    <n v="40454030992.279999"/>
    <n v="38871999593.57"/>
    <n v="41431500522.360001"/>
    <n v="37540370044.870003"/>
    <n v="37860877115.690002"/>
    <n v="38485272679.550003"/>
    <n v="40123264906.68"/>
    <n v="39683632609.559998"/>
    <n v="38009493835.889999"/>
    <n v="40347638503.550003"/>
    <n v="43114209834.07"/>
    <n v="486600172955.89001"/>
    <n v="34399827044.110001"/>
    <n v="93.4"/>
    <n v="6.6"/>
  </r>
  <r>
    <x v="187"/>
    <x v="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67000000000"/>
    <n v="467000000000"/>
    <n v="31656192461.75"/>
    <n v="33135171162.900002"/>
    <n v="39404382089.889999"/>
    <n v="33405636332.959999"/>
    <n v="37066663385.970001"/>
    <n v="35501581783.610001"/>
    <n v="37046049324.440002"/>
    <n v="36738462877.650002"/>
    <n v="33694043938.119999"/>
    <n v="34465800983"/>
    <n v="42299868586.440002"/>
    <n v="39283708682.040001"/>
    <n v="433697561608.77002"/>
    <n v="33302438391.23"/>
    <n v="92.87"/>
    <n v="7.13"/>
  </r>
  <r>
    <x v="188"/>
    <x v="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30000000000"/>
    <n v="30000000000"/>
    <n v="2770529617.27"/>
    <n v="1660881095.5699999"/>
    <n v="1945756939.4400001"/>
    <n v="2505478411.4200001"/>
    <n v="1817423936.0799999"/>
    <n v="1934444208.4200001"/>
    <n v="1985719053.8199999"/>
    <n v="1968926384.5999999"/>
    <n v="1950016725.27"/>
    <n v="2362223282.5900002"/>
    <n v="2024657334.3099999"/>
    <n v="1797563559.0999999"/>
    <n v="24723620547.889999"/>
    <n v="5276379452.1099997"/>
    <n v="82.41"/>
    <n v="17.59"/>
  </r>
  <r>
    <x v="189"/>
    <x v="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15000000000"/>
    <n v="115000000000"/>
    <n v="7810545610.5200005"/>
    <n v="8435829143.9799995"/>
    <n v="11442415415.16"/>
    <n v="9671821108.0200005"/>
    <n v="9638357577.2800007"/>
    <n v="9375212562.9200001"/>
    <n v="11305786172.26"/>
    <n v="9971321001.7999992"/>
    <n v="9407459452.2900009"/>
    <n v="10261130402.52"/>
    <n v="12564312053.200001"/>
    <n v="12226442785.15"/>
    <n v="122110633285.10001"/>
    <n v="-7110633285.1000004"/>
    <n v="106.18"/>
    <n v="-6.18"/>
  </r>
  <r>
    <x v="143"/>
    <x v="3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29"/>
    <x v="3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0"/>
    <n v="0"/>
    <n v="0"/>
    <n v="3000"/>
    <n v="0"/>
    <n v="0"/>
    <n v="0"/>
    <n v="0"/>
    <n v="0"/>
    <n v="0"/>
    <n v="0"/>
    <n v="0"/>
    <n v="0"/>
    <n v="0"/>
    <n v="3000"/>
    <n v="0"/>
    <n v="0"/>
    <n v="0"/>
  </r>
  <r>
    <x v="30"/>
    <x v="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06600000000"/>
    <n v="206600000000"/>
    <n v="15406618462"/>
    <n v="14119408761"/>
    <n v="18560869637"/>
    <n v="13454658108"/>
    <n v="17481712316"/>
    <n v="16881966551"/>
    <n v="10218154794"/>
    <n v="24334246363"/>
    <n v="21048574407"/>
    <n v="8697752163"/>
    <n v="22553260718"/>
    <n v="1985146056"/>
    <n v="184742368336"/>
    <n v="21857631664"/>
    <n v="89.42"/>
    <n v="10.58"/>
  </r>
  <r>
    <x v="31"/>
    <x v="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34400000000"/>
    <n v="134400000000"/>
    <n v="11248071559.959999"/>
    <n v="11535338572.530001"/>
    <n v="17188632488.860001"/>
    <n v="7688564015.8900003"/>
    <n v="12899954134.860001"/>
    <n v="7771698837.1899996"/>
    <n v="11235161398.719999"/>
    <n v="8113022417.6899996"/>
    <n v="8346755793.8900003"/>
    <n v="12596376542.870001"/>
    <n v="9922824855.4899998"/>
    <n v="17349002025.84"/>
    <n v="135895402643.78999"/>
    <n v="-1495402643.79"/>
    <n v="101.11"/>
    <n v="-1.1100000000000001"/>
  </r>
  <r>
    <x v="32"/>
    <x v="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3542532550"/>
    <n v="1582452292.3499999"/>
    <n v="1624068970.4300001"/>
    <n v="2024263542"/>
    <n v="1747642148.1500001"/>
    <n v="1718973461.3800001"/>
    <n v="1626489160"/>
    <n v="1610339402"/>
    <n v="1493670464.0799999"/>
    <n v="1989654107.1099999"/>
    <n v="1714799902.8299999"/>
    <n v="2090798831"/>
    <n v="22765684831.330002"/>
    <n v="6234315168.6700001"/>
    <n v="78.5"/>
    <n v="21.5"/>
  </r>
  <r>
    <x v="33"/>
    <x v="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4000000000"/>
    <n v="4000000000"/>
    <n v="309445840.17000002"/>
    <n v="360061305.69999999"/>
    <n v="411457201.16000003"/>
    <n v="341134759.82999998"/>
    <n v="462862728.12"/>
    <n v="306869304.31999999"/>
    <n v="355552622.94"/>
    <n v="420597569.05000001"/>
    <n v="355226798.30000001"/>
    <n v="537651155.23000002"/>
    <n v="739777980.20000005"/>
    <n v="668573750.54999995"/>
    <n v="5269211015.5699997"/>
    <n v="-1269211015.5699999"/>
    <n v="131.72999999999999"/>
    <n v="-31.73"/>
  </r>
  <r>
    <x v="34"/>
    <x v="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6400000000"/>
    <n v="26400000000"/>
    <n v="2548355066"/>
    <n v="1862844853"/>
    <n v="1955043757"/>
    <n v="2208127635"/>
    <n v="2129099605.54"/>
    <n v="2015568692.29"/>
    <n v="2056875090"/>
    <n v="2009985743.4100001"/>
    <n v="1998462814.5"/>
    <n v="1988715657.5"/>
    <n v="1979978763.97"/>
    <n v="2166368681.8800001"/>
    <n v="24919426360.09"/>
    <n v="1480573639.9100001"/>
    <n v="94.39"/>
    <n v="5.61"/>
  </r>
  <r>
    <x v="35"/>
    <x v="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1325000000"/>
    <n v="1325000000"/>
    <n v="97282064.939999998"/>
    <n v="123250378.91"/>
    <n v="156975047.38999999"/>
    <n v="145361369.55000001"/>
    <n v="168866029.06999999"/>
    <n v="131411733.56999999"/>
    <n v="152625090.37"/>
    <n v="147549502.86000001"/>
    <n v="134457108.08000001"/>
    <n v="109707457.31"/>
    <n v="122166167.86"/>
    <n v="156565409.68000001"/>
    <n v="1646217359.5899999"/>
    <n v="-321217359.58999997"/>
    <n v="124.24"/>
    <n v="-24.24"/>
  </r>
  <r>
    <x v="190"/>
    <x v="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215000000"/>
    <n v="1215000000"/>
    <n v="78823960.140000001"/>
    <n v="108330813.23"/>
    <n v="104080315.65000001"/>
    <n v="106217324.43000001"/>
    <n v="108149607.67"/>
    <n v="108800406.95"/>
    <n v="108827351.8"/>
    <n v="115999744.25"/>
    <n v="125551458.79000001"/>
    <n v="113701257.83"/>
    <n v="120153786.06"/>
    <n v="118495959.67"/>
    <n v="1317131986.47"/>
    <n v="-102131986.47"/>
    <n v="108.41"/>
    <n v="-8.41"/>
  </r>
  <r>
    <x v="144"/>
    <x v="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18252598.559999999"/>
    <n v="16069453.060000001"/>
    <n v="17465775.899999999"/>
    <n v="18341960.260000002"/>
    <n v="19828759.43"/>
    <n v="18677949.449999999"/>
    <n v="19553534.010000002"/>
    <n v="20159683.460000001"/>
    <n v="21249350.32"/>
    <n v="19950183.059999999"/>
    <n v="18644981.66"/>
    <n v="18937026.140000001"/>
    <n v="227131255.31"/>
    <n v="42868744.689999998"/>
    <n v="84.12"/>
    <n v="15.88"/>
  </r>
  <r>
    <x v="37"/>
    <x v="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675000000"/>
    <n v="675000000"/>
    <n v="24445448.170000002"/>
    <n v="27042666.140000001"/>
    <n v="103027999.31999999"/>
    <n v="62192230.899999999"/>
    <n v="21647713.469999999"/>
    <n v="35691601.659999996"/>
    <n v="47935341.810000002"/>
    <n v="40722191.450000003"/>
    <n v="10034327.73"/>
    <n v="20063955.890000001"/>
    <n v="13684095.9"/>
    <n v="38247565.619999997"/>
    <n v="444735138.06"/>
    <n v="230264861.94"/>
    <n v="65.89"/>
    <n v="34.11"/>
  </r>
  <r>
    <x v="145"/>
    <x v="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20000000000"/>
    <n v="120000000000"/>
    <n v="6983396021.4499998"/>
    <n v="7019817761.7600002"/>
    <n v="8647242184.5100002"/>
    <n v="7120257763.4300003"/>
    <n v="7656688724.0799999"/>
    <n v="8299002360.1599998"/>
    <n v="8264546171.7299995"/>
    <n v="8929912847.3999996"/>
    <n v="8831136131.7099991"/>
    <n v="9927674610.1599998"/>
    <n v="11277630084.4"/>
    <n v="10893206792.18"/>
    <n v="103850511452.97"/>
    <n v="16149488547.030001"/>
    <n v="86.54"/>
    <n v="13.46"/>
  </r>
  <r>
    <x v="40"/>
    <x v="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9000000000"/>
    <n v="29000000000"/>
    <n v="1611924215.28"/>
    <n v="1804714951.29"/>
    <n v="2046002842.04"/>
    <n v="1766538356.8099999"/>
    <n v="1841519810.8199999"/>
    <n v="1880228749.3599999"/>
    <n v="1891302243.1700001"/>
    <n v="2036626619.3599999"/>
    <n v="1667559763.6500001"/>
    <n v="1898849957.0699999"/>
    <n v="1951531085.73"/>
    <n v="1887113992.45"/>
    <n v="22283912587.029999"/>
    <n v="6716087412.9700003"/>
    <n v="76.84"/>
    <n v="23.16"/>
  </r>
  <r>
    <x v="41"/>
    <x v="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500000000"/>
    <n v="4500000000"/>
    <n v="355269389.58999997"/>
    <n v="323734458.68000001"/>
    <n v="337500174.04000002"/>
    <n v="267862747.72999999"/>
    <n v="331550252.99000001"/>
    <n v="291924627.10000002"/>
    <n v="303054614.13999999"/>
    <n v="344207140.06999999"/>
    <n v="328188604.69"/>
    <n v="333950367.38999999"/>
    <n v="333049916.47000003"/>
    <n v="265298647.71000001"/>
    <n v="3815590940.5999999"/>
    <n v="684409059.39999998"/>
    <n v="84.79"/>
    <n v="15.21"/>
  </r>
  <r>
    <x v="42"/>
    <x v="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7500000"/>
    <n v="157500000"/>
    <n v="13769534.699999999"/>
    <n v="12539877"/>
    <n v="13522360.5"/>
    <n v="11370837"/>
    <n v="13520284.57"/>
    <n v="11764713"/>
    <n v="12537735"/>
    <n v="14567478"/>
    <n v="13975340"/>
    <n v="14420880"/>
    <n v="13988068.5"/>
    <n v="11276697"/>
    <n v="157253805.27000001"/>
    <n v="246194.73"/>
    <n v="99.84"/>
    <n v="0.16"/>
  </r>
  <r>
    <x v="43"/>
    <x v="3"/>
    <x v="38"/>
    <n v="1"/>
    <x v="0"/>
    <n v="11"/>
    <x v="0"/>
    <n v="114"/>
    <x v="3"/>
    <n v="1143"/>
    <x v="13"/>
    <n v="114301"/>
    <x v="22"/>
    <n v="11430101"/>
    <x v="0"/>
    <n v="114301010"/>
    <x v="0"/>
    <n v="1143010100"/>
    <x v="0"/>
    <n v="1"/>
    <s v="Ingresos corrientes"/>
    <n v="0"/>
    <n v="0"/>
    <n v="0"/>
    <n v="0"/>
    <n v="0"/>
    <n v="0"/>
    <n v="0"/>
    <n v="-454432.86"/>
    <n v="454748"/>
    <n v="0"/>
    <n v="0"/>
    <n v="0"/>
    <n v="526.39"/>
    <n v="0"/>
    <n v="0"/>
    <n v="841.53"/>
    <n v="0"/>
    <n v="0"/>
    <n v="0"/>
  </r>
  <r>
    <x v="44"/>
    <x v="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8000000000"/>
    <n v="28000000000"/>
    <n v="2563655405.23"/>
    <n v="2200077277.8400002"/>
    <n v="2863677973.8200002"/>
    <n v="2164456092.77"/>
    <n v="1662684223.75"/>
    <n v="2067749731.0599999"/>
    <n v="2144596225.46"/>
    <n v="2276926420.3600001"/>
    <n v="1412493355.55"/>
    <n v="1264786730.48"/>
    <n v="1767344459.1500001"/>
    <n v="1933498693.1500001"/>
    <n v="24321946588.619999"/>
    <n v="3678053411.3800001"/>
    <n v="86.86"/>
    <n v="13.14"/>
  </r>
  <r>
    <x v="45"/>
    <x v="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7000000000"/>
    <n v="7000000000"/>
    <n v="458134459.79000002"/>
    <n v="542590335.08000004"/>
    <n v="374191508.79000002"/>
    <n v="801490415.09000003"/>
    <n v="443234486.44"/>
    <n v="459501998.30000001"/>
    <n v="613464617.07000005"/>
    <n v="266026812.19999999"/>
    <n v="835757071.25999999"/>
    <n v="476500355.60000002"/>
    <n v="29623592.609999999"/>
    <n v="578076448.59000003"/>
    <n v="5878592100.8199997"/>
    <n v="1121407899.1800001"/>
    <n v="83.98"/>
    <n v="16.02"/>
  </r>
  <r>
    <x v="46"/>
    <x v="3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5000000000"/>
    <n v="5000000000"/>
    <n v="90027529.040000007"/>
    <n v="183730757.13999999"/>
    <n v="994668270.28999996"/>
    <n v="122571446.93000001"/>
    <n v="1103330338.04"/>
    <n v="742105893.35000002"/>
    <n v="787276284.99000001"/>
    <n v="880887228.92999995"/>
    <n v="945787054.60000002"/>
    <n v="845841261.62"/>
    <n v="836545673.80999994"/>
    <n v="1617550678.22"/>
    <n v="9150322416.9599991"/>
    <n v="-4150322416.96"/>
    <n v="183.01"/>
    <n v="-83.01"/>
  </r>
  <r>
    <x v="146"/>
    <x v="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50000000"/>
    <n v="950000000"/>
    <n v="40893562.719999999"/>
    <n v="51007940.670000002"/>
    <n v="48037380.719999999"/>
    <n v="35794179.259999998"/>
    <n v="58869170.490000002"/>
    <n v="70585307.299999997"/>
    <n v="68550890.439999998"/>
    <n v="66472762.200000003"/>
    <n v="66154565.479999997"/>
    <n v="55736466.539999999"/>
    <n v="54901279.640000001"/>
    <n v="50622820.229999997"/>
    <n v="667626325.69000006"/>
    <n v="282373674.31"/>
    <n v="70.28"/>
    <n v="29.72"/>
  </r>
  <r>
    <x v="47"/>
    <x v="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4500000000"/>
    <n v="4500000000"/>
    <n v="169650519.91999999"/>
    <n v="297235518.01999998"/>
    <n v="322272619.25"/>
    <n v="221752934.69999999"/>
    <n v="234920578.16999999"/>
    <n v="217494192.31"/>
    <n v="309769916.64999998"/>
    <n v="356029642.12"/>
    <n v="397608785"/>
    <n v="324764871.17000002"/>
    <n v="358920623.37"/>
    <n v="491762555.75"/>
    <n v="3702182756.4299998"/>
    <n v="797817243.57000005"/>
    <n v="82.27"/>
    <n v="17.73"/>
  </r>
  <r>
    <x v="147"/>
    <x v="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60000000"/>
    <n v="60000000"/>
    <n v="10800336.800000001"/>
    <n v="4446423.7"/>
    <n v="7114236.7000000002"/>
    <n v="8196500.5999999996"/>
    <n v="8488580.5999999996"/>
    <n v="9977174"/>
    <n v="9097622.9000000004"/>
    <n v="8717500.9000000004"/>
    <n v="8952866.1999999993"/>
    <n v="8580738.0999999996"/>
    <n v="9648277.1999999993"/>
    <n v="28929"/>
    <n v="94049186.700000003"/>
    <n v="-34049186.700000003"/>
    <n v="156.75"/>
    <n v="-56.75"/>
  </r>
  <r>
    <x v="51"/>
    <x v="3"/>
    <x v="45"/>
    <n v="1"/>
    <x v="0"/>
    <n v="11"/>
    <x v="0"/>
    <n v="119"/>
    <x v="4"/>
    <n v="1199"/>
    <x v="15"/>
    <n v="119902"/>
    <x v="28"/>
    <n v="11990201"/>
    <x v="20"/>
    <n v="119902010"/>
    <x v="29"/>
    <n v="1199020100"/>
    <x v="1"/>
    <n v="1"/>
    <s v="Ingresos corrientes"/>
    <n v="0"/>
    <n v="0"/>
    <n v="0"/>
    <n v="0"/>
    <n v="-15857989.710000001"/>
    <n v="15857989.710000001"/>
    <n v="0"/>
    <n v="0"/>
    <n v="0"/>
    <n v="0"/>
    <n v="0"/>
    <n v="0"/>
    <n v="0"/>
    <n v="0"/>
    <n v="0"/>
    <n v="0"/>
    <n v="0"/>
    <n v="0"/>
    <n v="0"/>
  </r>
  <r>
    <x v="52"/>
    <x v="3"/>
    <x v="46"/>
    <n v="1"/>
    <x v="0"/>
    <n v="11"/>
    <x v="0"/>
    <n v="119"/>
    <x v="4"/>
    <n v="1199"/>
    <x v="15"/>
    <n v="119902"/>
    <x v="28"/>
    <n v="11990202"/>
    <x v="21"/>
    <n v="119902020"/>
    <x v="29"/>
    <n v="11990202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15500000000"/>
    <n v="15500000000"/>
    <n v="1814822512.74"/>
    <n v="1048860836.58"/>
    <n v="2131607168.51"/>
    <n v="1026638577.9299999"/>
    <n v="1348768456.1600001"/>
    <n v="1360597345.1900001"/>
    <n v="1374619895.3399999"/>
    <n v="1360133253.0999999"/>
    <n v="1447648205.72"/>
    <n v="1390859189.3099999"/>
    <n v="1499248120.71"/>
    <n v="1962374455.5999999"/>
    <n v="17766178016.889999"/>
    <n v="-2266178016.8899999"/>
    <n v="114.62"/>
    <n v="-14.62"/>
  </r>
  <r>
    <x v="54"/>
    <x v="3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4000000000"/>
    <n v="34000000000"/>
    <n v="2569499712.3000002"/>
    <n v="2569214694.6999998"/>
    <n v="2767832061.9499998"/>
    <n v="2617696955.8000002"/>
    <n v="2610056710.8000002"/>
    <n v="2664816598.4000001"/>
    <n v="2773226502.3099999"/>
    <n v="2706112950.75"/>
    <n v="3638891287.0999999"/>
    <n v="2852804118.0999999"/>
    <n v="3055160973.6500001"/>
    <n v="2952579874.9499998"/>
    <n v="33777892440.810001"/>
    <n v="222107559.19"/>
    <n v="99.35"/>
    <n v="0.65"/>
  </r>
  <r>
    <x v="55"/>
    <x v="3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0000000000"/>
    <n v="10000000000"/>
    <n v="896497782.37"/>
    <n v="766644642.26999998"/>
    <n v="768877888.79999995"/>
    <n v="752051089.62"/>
    <n v="779081462.00999999"/>
    <n v="773234425.14999998"/>
    <n v="781450475.15999997"/>
    <n v="781280167.59000003"/>
    <n v="861236427.28999996"/>
    <n v="849632882.84000003"/>
    <n v="836430675.63999999"/>
    <n v="802235688.96000004"/>
    <n v="9648653607.7000008"/>
    <n v="351346392.30000001"/>
    <n v="96.49"/>
    <n v="3.51"/>
  </r>
  <r>
    <x v="56"/>
    <x v="3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60000000"/>
    <n v="160000000"/>
    <n v="0"/>
    <n v="0"/>
    <n v="5571454"/>
    <n v="0"/>
    <n v="4927477"/>
    <n v="1835742.63"/>
    <n v="2387240"/>
    <n v="2091070"/>
    <n v="4223033.75"/>
    <n v="1566077.2"/>
    <n v="1862244.02"/>
    <n v="-6861557.5"/>
    <n v="17602781.100000001"/>
    <n v="142397218.90000001"/>
    <n v="11"/>
    <n v="89"/>
  </r>
  <r>
    <x v="191"/>
    <x v="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11511.37"/>
    <n v="16277.22"/>
    <n v="43372.02"/>
    <n v="22369.03"/>
    <n v="-477924.57"/>
    <n v="590837.39"/>
    <n v="103362.59"/>
    <n v="7298475.5300000003"/>
    <n v="0"/>
    <n v="7987404.2699999996"/>
    <n v="119139.88"/>
    <n v="3312.86"/>
    <n v="15718137.59"/>
    <n v="0"/>
    <n v="0"/>
    <n v="0"/>
  </r>
  <r>
    <x v="58"/>
    <x v="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7800000"/>
    <n v="17800000"/>
    <n v="505000"/>
    <n v="355000"/>
    <n v="250000"/>
    <n v="250000"/>
    <n v="250000"/>
    <n v="1015000"/>
    <n v="585000"/>
    <n v="280000"/>
    <n v="280000"/>
    <n v="348340"/>
    <n v="280000"/>
    <n v="1280000"/>
    <n v="5678340"/>
    <n v="12121660"/>
    <n v="31.9"/>
    <n v="68.099999999999994"/>
  </r>
  <r>
    <x v="192"/>
    <x v="3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15800000"/>
    <n v="15800000"/>
    <n v="0"/>
    <n v="0"/>
    <n v="0"/>
    <n v="0"/>
    <n v="0"/>
    <n v="0"/>
    <n v="0"/>
    <n v="0"/>
    <n v="0"/>
    <n v="0"/>
    <n v="0"/>
    <n v="0"/>
    <n v="0"/>
    <n v="15800000"/>
    <n v="0"/>
    <n v="100"/>
  </r>
  <r>
    <x v="59"/>
    <x v="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79500000"/>
    <n v="179500000"/>
    <n v="6691315.6299999999"/>
    <n v="6584496.5199999996"/>
    <n v="3013625.84"/>
    <n v="6387916.1900000004"/>
    <n v="4968305.26"/>
    <n v="4128656.22"/>
    <n v="8457390.7599999998"/>
    <n v="4795613.3899999997"/>
    <n v="6582176.8600000003"/>
    <n v="4628211.5599999996"/>
    <n v="3595775.7"/>
    <n v="2320798.19"/>
    <n v="62154282.119999997"/>
    <n v="117345717.88"/>
    <n v="34.630000000000003"/>
    <n v="65.37"/>
  </r>
  <r>
    <x v="193"/>
    <x v="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15000000"/>
    <n v="115000000"/>
    <n v="6162450.4900000002"/>
    <n v="6504723.1900000004"/>
    <n v="21806830.969999999"/>
    <n v="21112955.030000001"/>
    <n v="34344713.18"/>
    <n v="19019482.68"/>
    <n v="24759553.59"/>
    <n v="23743690.879999999"/>
    <n v="20028860.949999999"/>
    <n v="29668286.34"/>
    <n v="206040148.13999999"/>
    <n v="32003065.030000001"/>
    <n v="445194760.47000003"/>
    <n v="-330194760.47000003"/>
    <n v="387.13"/>
    <n v="-287.13"/>
  </r>
  <r>
    <x v="60"/>
    <x v="3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75334325.599999994"/>
    <n v="162288003.69"/>
    <n v="225355757.83000001"/>
    <n v="155179420.69999999"/>
    <n v="308115868.24000001"/>
    <n v="240855738.34"/>
    <n v="265871333.66"/>
    <n v="238766822.88"/>
    <n v="238229147.08000001"/>
    <n v="295108517.94999999"/>
    <n v="242618554.34999999"/>
    <n v="389561590.07999998"/>
    <n v="2837285080.4000001"/>
    <n v="362714919.60000002"/>
    <n v="88.67"/>
    <n v="11.33"/>
  </r>
  <r>
    <x v="61"/>
    <x v="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8000000"/>
    <n v="8000000"/>
    <n v="0"/>
    <n v="0"/>
    <n v="0"/>
    <n v="97386.12"/>
    <n v="0"/>
    <n v="0"/>
    <n v="0"/>
    <n v="0"/>
    <n v="0"/>
    <n v="0"/>
    <n v="0"/>
    <n v="14525492.5"/>
    <n v="14622878.619999999"/>
    <n v="-6622878.6200000001"/>
    <n v="182.79"/>
    <n v="-82.79"/>
  </r>
  <r>
    <x v="62"/>
    <x v="3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535000000"/>
    <n v="535000000"/>
    <n v="80775"/>
    <n v="69050"/>
    <n v="58583"/>
    <n v="60600"/>
    <n v="20200"/>
    <n v="13950"/>
    <n v="19000"/>
    <n v="4900"/>
    <n v="14600"/>
    <n v="16650"/>
    <n v="19150"/>
    <n v="2999489882.6900001"/>
    <n v="2999867340.6900001"/>
    <n v="-2464867340.6900001"/>
    <n v="560.72"/>
    <n v="-460.72"/>
  </r>
  <r>
    <x v="63"/>
    <x v="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2673000000"/>
    <n v="2673000000"/>
    <n v="793613584.08000004"/>
    <n v="76358751.890000001"/>
    <n v="50465076.829999998"/>
    <n v="36658662.270000003"/>
    <n v="24639019.41"/>
    <n v="20680599.489999998"/>
    <n v="23619773.739999998"/>
    <n v="16238136.51"/>
    <n v="15573083.359999999"/>
    <n v="8422373.9800000004"/>
    <n v="19749482.73"/>
    <n v="2425306837.8200002"/>
    <n v="3511325382.1100001"/>
    <n v="-838325382.11000001"/>
    <n v="131.36000000000001"/>
    <n v="-31.36"/>
  </r>
  <r>
    <x v="64"/>
    <x v="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0000000"/>
    <n v="40000000"/>
    <n v="5452229.9400000004"/>
    <n v="3310590.4"/>
    <n v="4007585.96"/>
    <n v="2836659.84"/>
    <n v="5315931.5999999996"/>
    <n v="4312483.74"/>
    <n v="3734207.22"/>
    <n v="2641242.2000000002"/>
    <n v="4580636.41"/>
    <n v="3851673.48"/>
    <n v="4164354.18"/>
    <n v="3440560.98"/>
    <n v="47648155.950000003"/>
    <n v="-7648155.9500000002"/>
    <n v="119.12"/>
    <n v="-19.12"/>
  </r>
  <r>
    <x v="65"/>
    <x v="3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104940"/>
    <n v="216110"/>
    <n v="243320"/>
    <n v="263549"/>
    <n v="122710"/>
    <n v="148340"/>
    <n v="229110"/>
    <n v="214451"/>
    <n v="185573"/>
    <n v="419085"/>
    <n v="257870"/>
    <n v="52890"/>
    <n v="2457948"/>
    <n v="2542052"/>
    <n v="49.16"/>
    <n v="50.84"/>
  </r>
  <r>
    <x v="66"/>
    <x v="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10621974.77"/>
    <n v="13112120.800000001"/>
    <n v="11144248.5"/>
    <n v="9077200.1999999993"/>
    <n v="8632124.5"/>
    <n v="7828101.5"/>
    <n v="8015531"/>
    <n v="7767572"/>
    <n v="6990927.1799999997"/>
    <n v="7181221.5"/>
    <n v="8030401.3499999996"/>
    <n v="9817930.9100000001"/>
    <n v="108219354.20999999"/>
    <n v="11780645.789999999"/>
    <n v="90.18"/>
    <n v="9.82"/>
  </r>
  <r>
    <x v="67"/>
    <x v="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3000000"/>
    <n v="33000000"/>
    <n v="3192016"/>
    <n v="1288837"/>
    <n v="4993329"/>
    <n v="2226039"/>
    <n v="1287276"/>
    <n v="3074316"/>
    <n v="3885009"/>
    <n v="3031552"/>
    <n v="2848850"/>
    <n v="2122258"/>
    <n v="3112878"/>
    <n v="7927898"/>
    <n v="38990258"/>
    <n v="-5990258"/>
    <n v="118.15"/>
    <n v="-18.149999999999999"/>
  </r>
  <r>
    <x v="148"/>
    <x v="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70000000"/>
    <n v="70000000"/>
    <n v="981000"/>
    <n v="1226000"/>
    <n v="1881000"/>
    <n v="1171000"/>
    <n v="1927000"/>
    <n v="1883000"/>
    <n v="1241836"/>
    <n v="1080000"/>
    <n v="1888000"/>
    <n v="1586000"/>
    <n v="1387000"/>
    <n v="1433000"/>
    <n v="17684836"/>
    <n v="52315164"/>
    <n v="25.26"/>
    <n v="74.739999999999995"/>
  </r>
  <r>
    <x v="149"/>
    <x v="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100000000"/>
    <n v="100000000"/>
    <n v="12555054.220000001"/>
    <n v="12061562.35"/>
    <n v="7211499.2999999998"/>
    <n v="240125"/>
    <n v="280747.93"/>
    <n v="600426.96"/>
    <n v="501582"/>
    <n v="2080000"/>
    <n v="1061488.67"/>
    <n v="86768.51"/>
    <n v="2114537.04"/>
    <n v="620000"/>
    <n v="39413791.979999997"/>
    <n v="60586208.020000003"/>
    <n v="39.409999999999997"/>
    <n v="60.59"/>
  </r>
  <r>
    <x v="206"/>
    <x v="3"/>
    <x v="181"/>
    <n v="1"/>
    <x v="0"/>
    <n v="13"/>
    <x v="2"/>
    <n v="132"/>
    <x v="7"/>
    <n v="1322"/>
    <x v="21"/>
    <n v="132202"/>
    <x v="38"/>
    <n v="13220200"/>
    <x v="0"/>
    <n v="132202000"/>
    <x v="0"/>
    <n v="1322020000"/>
    <x v="0"/>
    <n v="1"/>
    <s v="Ingresos corrientes"/>
    <n v="0"/>
    <n v="16400000"/>
    <n v="16400000"/>
    <n v="0"/>
    <n v="0"/>
    <n v="0"/>
    <n v="0"/>
    <n v="0"/>
    <n v="0"/>
    <n v="0"/>
    <n v="0"/>
    <n v="0"/>
    <n v="0"/>
    <n v="0"/>
    <n v="0"/>
    <n v="0"/>
    <n v="16400000"/>
    <n v="0"/>
    <n v="100"/>
  </r>
  <r>
    <x v="72"/>
    <x v="3"/>
    <x v="181"/>
    <n v="1"/>
    <x v="0"/>
    <n v="13"/>
    <x v="2"/>
    <n v="132"/>
    <x v="7"/>
    <n v="1323"/>
    <x v="22"/>
    <n v="132301"/>
    <x v="39"/>
    <n v="13230106"/>
    <x v="30"/>
    <n v="132301061"/>
    <x v="21"/>
    <n v="1323010610"/>
    <x v="1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0"/>
    <n v="0"/>
    <n v="12200000"/>
    <n v="0"/>
    <n v="100"/>
  </r>
  <r>
    <x v="150"/>
    <x v="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60000000"/>
    <n v="260000000"/>
    <n v="36546225.259999998"/>
    <n v="9689384.6999999993"/>
    <n v="30674624.739999998"/>
    <n v="13958421.75"/>
    <n v="16220282.59"/>
    <n v="10043947.140000001"/>
    <n v="1744375.76"/>
    <n v="8492588.6799999997"/>
    <n v="16856131.43"/>
    <n v="6886360.8499999996"/>
    <n v="6853931.2800000003"/>
    <n v="90765276.349999994"/>
    <n v="248731550.53"/>
    <n v="11268449.470000001"/>
    <n v="95.67"/>
    <n v="4.33"/>
  </r>
  <r>
    <x v="194"/>
    <x v="3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500000000"/>
    <n v="500000000"/>
    <n v="54319586.409999996"/>
    <n v="0"/>
    <n v="294000"/>
    <n v="55970"/>
    <n v="49670"/>
    <n v="7500"/>
    <n v="329413020.35000002"/>
    <n v="0"/>
    <n v="0"/>
    <n v="41600"/>
    <n v="0"/>
    <n v="916607090.38"/>
    <n v="1300788437.1400001"/>
    <n v="-800788437.13999999"/>
    <n v="260.16000000000003"/>
    <n v="-160.16"/>
  </r>
  <r>
    <x v="151"/>
    <x v="3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45000000"/>
    <n v="45000000"/>
    <n v="0"/>
    <n v="0"/>
    <n v="1215928"/>
    <n v="0"/>
    <n v="25000"/>
    <n v="98962195"/>
    <n v="92412.93"/>
    <n v="8402"/>
    <n v="1026665"/>
    <n v="0"/>
    <n v="0"/>
    <n v="27700"/>
    <n v="101358302.93000001"/>
    <n v="-56358302.93"/>
    <n v="225.24"/>
    <n v="-125.24"/>
  </r>
  <r>
    <x v="152"/>
    <x v="3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05000000"/>
    <n v="905000000"/>
    <n v="7519556.2999999998"/>
    <n v="8800230.2100000009"/>
    <n v="17795093.559999999"/>
    <n v="16143169.02"/>
    <n v="12991356.07"/>
    <n v="16953134.199999999"/>
    <n v="36035394.549999997"/>
    <n v="17646722.739999998"/>
    <n v="11106173.25"/>
    <n v="32021460.23"/>
    <n v="11103758.65"/>
    <n v="16556098.470000001"/>
    <n v="204672147.25"/>
    <n v="700327852.75"/>
    <n v="22.62"/>
    <n v="77.38"/>
  </r>
  <r>
    <x v="74"/>
    <x v="3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456000000"/>
    <n v="4456000000"/>
    <n v="171689786"/>
    <n v="246298179"/>
    <n v="347858175"/>
    <n v="258259630"/>
    <n v="255430341"/>
    <n v="241456095.40000001"/>
    <n v="2411542610"/>
    <n v="358302107"/>
    <n v="432415063.5"/>
    <n v="297573705.68000001"/>
    <n v="415747708"/>
    <n v="52199181.450000003"/>
    <n v="5488772582.0299997"/>
    <n v="-1032772582.03"/>
    <n v="123.18"/>
    <n v="-23.18"/>
  </r>
  <r>
    <x v="153"/>
    <x v="3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91000000"/>
    <n v="91000000"/>
    <n v="7736276"/>
    <n v="3446987.69"/>
    <n v="1987163.85"/>
    <n v="2291299.9500000002"/>
    <n v="5693015.4000000004"/>
    <n v="549650.55000000005"/>
    <n v="3642599.8"/>
    <n v="1083422.76"/>
    <n v="3913502.85"/>
    <n v="4116940.4"/>
    <n v="15770672.48"/>
    <n v="136512.5"/>
    <n v="50368044.229999997"/>
    <n v="40631955.770000003"/>
    <n v="55.35"/>
    <n v="44.65"/>
  </r>
  <r>
    <x v="154"/>
    <x v="3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0000000"/>
    <n v="40000000"/>
    <n v="2871000"/>
    <n v="2871000"/>
    <n v="2871000"/>
    <n v="2871000"/>
    <n v="2871000"/>
    <n v="2871000"/>
    <n v="2871000"/>
    <n v="2871000"/>
    <n v="2871000"/>
    <n v="2871000"/>
    <n v="2871000"/>
    <n v="2871000"/>
    <n v="34452000"/>
    <n v="5548000"/>
    <n v="86.13"/>
    <n v="13.87"/>
  </r>
  <r>
    <x v="155"/>
    <x v="3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95000000"/>
    <n v="95000000"/>
    <n v="0"/>
    <n v="2293000"/>
    <n v="9655500"/>
    <n v="12995503"/>
    <n v="1808657.87"/>
    <n v="952500"/>
    <n v="11807000"/>
    <n v="7026000"/>
    <n v="7281000"/>
    <n v="7860500"/>
    <n v="6501000"/>
    <n v="1751500"/>
    <n v="69932160.870000005"/>
    <n v="25067839.129999999"/>
    <n v="73.61"/>
    <n v="26.39"/>
  </r>
  <r>
    <x v="156"/>
    <x v="3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33479.35"/>
    <n v="1502298.97"/>
    <n v="383035.33"/>
    <n v="1088112.75"/>
    <n v="122321"/>
    <n v="2291899.4700000002"/>
    <n v="4684400.8099999996"/>
    <n v="578760.54"/>
    <n v="32553.55"/>
    <n v="2100753.92"/>
    <n v="585821.28"/>
    <n v="16728588.98"/>
    <n v="30132025.949999999"/>
    <n v="0"/>
    <n v="0"/>
    <n v="0"/>
  </r>
  <r>
    <x v="207"/>
    <x v="3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41700000"/>
    <n v="141700000"/>
    <n v="0"/>
    <n v="0"/>
    <n v="0"/>
    <n v="0"/>
    <n v="0"/>
    <n v="141653818.27000001"/>
    <n v="0"/>
    <n v="0"/>
    <n v="0"/>
    <n v="0"/>
    <n v="0"/>
    <n v="0"/>
    <n v="141653818.27000001"/>
    <n v="46181.73"/>
    <n v="99.97"/>
    <n v="0.03"/>
  </r>
  <r>
    <x v="195"/>
    <x v="3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572300000"/>
    <n v="572300000"/>
    <n v="58015"/>
    <n v="404280.55"/>
    <n v="3319692.59"/>
    <n v="10040253.24"/>
    <n v="949490499.55999994"/>
    <n v="8664314.4700000007"/>
    <n v="7823390.5800000001"/>
    <n v="1379420"/>
    <n v="2310474.35"/>
    <n v="11379547"/>
    <n v="175500"/>
    <n v="2063014.3"/>
    <n v="997108401.63999999"/>
    <n v="-424808401.63999999"/>
    <n v="174.23"/>
    <n v="-74.23"/>
  </r>
  <r>
    <x v="80"/>
    <x v="3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35000000"/>
    <n v="35000000"/>
    <n v="4898004.0599999996"/>
    <n v="0"/>
    <n v="4713274.91"/>
    <n v="1170725.96"/>
    <n v="2029447.53"/>
    <n v="6731012.7199999997"/>
    <n v="966518.8"/>
    <n v="1098400.5900000001"/>
    <n v="225875.24"/>
    <n v="1651250.19"/>
    <n v="0"/>
    <n v="0"/>
    <n v="23484510"/>
    <n v="11515490"/>
    <n v="67.099999999999994"/>
    <n v="32.9"/>
  </r>
  <r>
    <x v="157"/>
    <x v="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850000000"/>
    <n v="850000000"/>
    <n v="106213587.78"/>
    <n v="46381879.159999996"/>
    <n v="135822661.74000001"/>
    <n v="44876045.659999996"/>
    <n v="38295614.850000001"/>
    <n v="55511620.670000002"/>
    <n v="60397508.770000003"/>
    <n v="59727817.579999998"/>
    <n v="44300754.039999999"/>
    <n v="623476137.48000002"/>
    <n v="78296403.629999995"/>
    <n v="92885936.170000002"/>
    <n v="1386185967.53"/>
    <n v="-536185967.52999997"/>
    <n v="163.08000000000001"/>
    <n v="-63.08"/>
  </r>
  <r>
    <x v="158"/>
    <x v="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6932778096"/>
    <n v="6932778096"/>
    <n v="29324710.5"/>
    <n v="55159564.740000002"/>
    <n v="842515028.94000006"/>
    <n v="17490982.27"/>
    <n v="52611516.890000001"/>
    <n v="29587146.760000002"/>
    <n v="32997427.449999999"/>
    <n v="27727279.309999999"/>
    <n v="68951067.299999997"/>
    <n v="5715427526.1599998"/>
    <n v="175643808.93000001"/>
    <n v="138896012.53"/>
    <n v="7186332071.7799997"/>
    <n v="-253553975.78"/>
    <n v="103.66"/>
    <n v="-3.66"/>
  </r>
  <r>
    <x v="159"/>
    <x v="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3200000000"/>
    <n v="23200000000"/>
    <n v="0"/>
    <n v="0"/>
    <n v="0"/>
    <n v="0"/>
    <n v="0"/>
    <n v="0"/>
    <n v="0"/>
    <n v="0"/>
    <n v="0"/>
    <n v="4318642908"/>
    <n v="15898731567"/>
    <n v="2927387175"/>
    <n v="23144761650"/>
    <n v="55238350"/>
    <n v="99.76"/>
    <n v="0.24"/>
  </r>
  <r>
    <x v="160"/>
    <x v="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060000000"/>
    <n v="1060000000"/>
    <n v="0"/>
    <n v="0"/>
    <n v="0"/>
    <n v="23220000"/>
    <n v="105063750"/>
    <n v="0"/>
    <n v="446647500"/>
    <n v="289372500"/>
    <n v="0"/>
    <n v="551036250"/>
    <n v="84660000"/>
    <n v="0"/>
    <n v="1500000000"/>
    <n v="-440000000"/>
    <n v="141.51"/>
    <n v="-41.51"/>
  </r>
  <r>
    <x v="196"/>
    <x v="3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90000000"/>
    <n v="1590000000"/>
    <n v="0"/>
    <n v="0"/>
    <n v="0"/>
    <n v="0"/>
    <n v="447066444.39999998"/>
    <n v="52933555.560000002"/>
    <n v="0"/>
    <n v="450000000"/>
    <n v="0"/>
    <n v="0"/>
    <n v="50000000"/>
    <n v="0"/>
    <n v="999999999.96000004"/>
    <n v="590000000.03999996"/>
    <n v="62.89"/>
    <n v="37.11"/>
  </r>
  <r>
    <x v="208"/>
    <x v="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0296800000"/>
    <n v="50296800000"/>
    <n v="0"/>
    <n v="0"/>
    <n v="0"/>
    <n v="5000000000"/>
    <n v="10000000000"/>
    <n v="10000000000"/>
    <n v="0"/>
    <n v="10000000000"/>
    <n v="0"/>
    <n v="5000000000"/>
    <n v="5000000000"/>
    <n v="5296800000"/>
    <n v="50296800000"/>
    <n v="0"/>
    <n v="100"/>
    <n v="0"/>
  </r>
  <r>
    <x v="209"/>
    <x v="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197753"/>
    <n v="18550197753"/>
    <n v="0"/>
    <n v="0"/>
    <n v="0"/>
    <n v="9298675501"/>
    <n v="0"/>
    <n v="0"/>
    <n v="10192369090"/>
    <n v="7002730542"/>
    <n v="4030320845"/>
    <n v="0"/>
    <n v="-18805842234"/>
    <n v="6831276825"/>
    <n v="18549530569"/>
    <n v="667184"/>
    <n v="100"/>
    <n v="0"/>
  </r>
  <r>
    <x v="210"/>
    <x v="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51000000000"/>
    <n v="51000000000"/>
    <n v="0"/>
    <n v="0"/>
    <n v="0"/>
    <n v="19456058593"/>
    <n v="0"/>
    <n v="0"/>
    <n v="3775863499"/>
    <n v="5096184545"/>
    <n v="5096184545"/>
    <n v="5096184545"/>
    <n v="11287155183"/>
    <n v="1192369090"/>
    <n v="51000000000"/>
    <n v="0"/>
    <n v="100"/>
    <n v="0"/>
  </r>
  <r>
    <x v="211"/>
    <x v="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133200000"/>
    <n v="1066600000"/>
    <n v="0"/>
    <n v="533300000"/>
    <n v="0"/>
    <n v="0"/>
    <n v="1599900000"/>
    <n v="1067000000"/>
    <n v="6400000000"/>
    <n v="0"/>
    <n v="100"/>
    <n v="0"/>
  </r>
  <r>
    <x v="212"/>
    <x v="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35467650"/>
    <n v="1835467650"/>
    <n v="0"/>
    <n v="0"/>
    <n v="0"/>
    <n v="0"/>
    <n v="0"/>
    <n v="0"/>
    <n v="0"/>
    <n v="0"/>
    <n v="0"/>
    <n v="0"/>
    <n v="0"/>
    <n v="0"/>
    <n v="0"/>
    <n v="1835467650"/>
    <n v="0"/>
    <n v="100"/>
  </r>
  <r>
    <x v="161"/>
    <x v="3"/>
    <x v="181"/>
    <n v="1"/>
    <x v="0"/>
    <n v="14"/>
    <x v="3"/>
    <n v="141"/>
    <x v="10"/>
    <n v="1412"/>
    <x v="27"/>
    <n v="141201"/>
    <x v="45"/>
    <n v="14120110"/>
    <x v="64"/>
    <n v="141201100"/>
    <x v="0"/>
    <n v="1412011000"/>
    <x v="0"/>
    <n v="1"/>
    <s v="Ingresos corrientes"/>
    <n v="0"/>
    <n v="1752000000"/>
    <n v="1752000000"/>
    <n v="0"/>
    <n v="0"/>
    <n v="0"/>
    <n v="0"/>
    <n v="0"/>
    <n v="0"/>
    <n v="0"/>
    <n v="0"/>
    <n v="0"/>
    <n v="0"/>
    <n v="0"/>
    <n v="0"/>
    <n v="0"/>
    <n v="1752000000"/>
    <n v="0"/>
    <n v="100"/>
  </r>
  <r>
    <x v="213"/>
    <x v="3"/>
    <x v="181"/>
    <n v="1"/>
    <x v="0"/>
    <n v="14"/>
    <x v="3"/>
    <n v="141"/>
    <x v="10"/>
    <n v="1412"/>
    <x v="27"/>
    <n v="141201"/>
    <x v="45"/>
    <n v="14120111"/>
    <x v="87"/>
    <n v="141201110"/>
    <x v="0"/>
    <n v="1412011100"/>
    <x v="0"/>
    <n v="1"/>
    <s v="Ingresos corrientes"/>
    <n v="0"/>
    <n v="60000000"/>
    <n v="60000000"/>
    <n v="0"/>
    <n v="0"/>
    <n v="0"/>
    <n v="0"/>
    <n v="0"/>
    <n v="0"/>
    <n v="0"/>
    <n v="0"/>
    <n v="0"/>
    <n v="0"/>
    <n v="0"/>
    <n v="0"/>
    <n v="0"/>
    <n v="60000000"/>
    <n v="0"/>
    <n v="100"/>
  </r>
  <r>
    <x v="214"/>
    <x v="3"/>
    <x v="181"/>
    <n v="1"/>
    <x v="0"/>
    <n v="14"/>
    <x v="3"/>
    <n v="141"/>
    <x v="10"/>
    <n v="1412"/>
    <x v="27"/>
    <n v="141201"/>
    <x v="45"/>
    <n v="14120112"/>
    <x v="88"/>
    <n v="141201120"/>
    <x v="0"/>
    <n v="1412011200"/>
    <x v="0"/>
    <n v="1"/>
    <s v="Ingresos corrientes"/>
    <n v="0"/>
    <n v="2488000000"/>
    <n v="2488000000"/>
    <n v="0"/>
    <n v="0"/>
    <n v="0"/>
    <n v="0"/>
    <n v="0"/>
    <n v="0"/>
    <n v="0"/>
    <n v="0"/>
    <n v="0"/>
    <n v="0"/>
    <n v="0"/>
    <n v="0"/>
    <n v="0"/>
    <n v="2488000000"/>
    <n v="0"/>
    <n v="100"/>
  </r>
  <r>
    <x v="215"/>
    <x v="3"/>
    <x v="181"/>
    <n v="1"/>
    <x v="0"/>
    <n v="14"/>
    <x v="3"/>
    <n v="141"/>
    <x v="10"/>
    <n v="1412"/>
    <x v="27"/>
    <n v="141201"/>
    <x v="45"/>
    <n v="14120113"/>
    <x v="89"/>
    <n v="141201130"/>
    <x v="0"/>
    <n v="1412011300"/>
    <x v="0"/>
    <n v="1"/>
    <s v="Ingresos corrientes"/>
    <n v="0"/>
    <n v="4000000000"/>
    <n v="4000000000"/>
    <n v="0"/>
    <n v="0"/>
    <n v="0"/>
    <n v="0"/>
    <n v="0"/>
    <n v="0"/>
    <n v="0"/>
    <n v="0"/>
    <n v="0"/>
    <n v="0"/>
    <n v="0"/>
    <n v="0"/>
    <n v="0"/>
    <n v="4000000000"/>
    <n v="0"/>
    <n v="100"/>
  </r>
  <r>
    <x v="216"/>
    <x v="3"/>
    <x v="181"/>
    <n v="1"/>
    <x v="0"/>
    <n v="14"/>
    <x v="3"/>
    <n v="141"/>
    <x v="10"/>
    <n v="1412"/>
    <x v="27"/>
    <n v="141201"/>
    <x v="45"/>
    <n v="14120114"/>
    <x v="89"/>
    <n v="141201140"/>
    <x v="0"/>
    <n v="1412011400"/>
    <x v="0"/>
    <n v="1"/>
    <s v="Ingresos corrientes"/>
    <n v="0"/>
    <n v="700000000"/>
    <n v="700000000"/>
    <n v="0"/>
    <n v="0"/>
    <n v="0"/>
    <n v="0"/>
    <n v="0"/>
    <n v="0"/>
    <n v="0"/>
    <n v="0"/>
    <n v="0"/>
    <n v="0"/>
    <n v="0"/>
    <n v="0"/>
    <n v="0"/>
    <n v="700000000"/>
    <n v="0"/>
    <n v="100"/>
  </r>
  <r>
    <x v="92"/>
    <x v="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183700000"/>
    <n v="3183700000"/>
    <n v="242809435.84999999"/>
    <n v="470841210.62"/>
    <n v="292927114.64999998"/>
    <n v="273177353.80000001"/>
    <n v="271698385.94999999"/>
    <n v="268881087.30000001"/>
    <n v="271024168.25999999"/>
    <n v="271339414.83999997"/>
    <n v="0"/>
    <n v="570580406.17999995"/>
    <n v="278090213.45999998"/>
    <n v="584471519.22000003"/>
    <n v="3795840310.1300001"/>
    <n v="-612140310.13"/>
    <n v="119.23"/>
    <n v="-19.23"/>
  </r>
  <r>
    <x v="217"/>
    <x v="3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447300000"/>
    <n v="447300000"/>
    <n v="0"/>
    <n v="447301201"/>
    <n v="0"/>
    <n v="0"/>
    <n v="0"/>
    <n v="0"/>
    <n v="0"/>
    <n v="0"/>
    <n v="0"/>
    <n v="0"/>
    <n v="0"/>
    <n v="0"/>
    <n v="447301201"/>
    <n v="-1201"/>
    <n v="100"/>
    <n v="0"/>
  </r>
  <r>
    <x v="94"/>
    <x v="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1800000"/>
    <n v="1800000"/>
    <n v="0"/>
    <n v="0"/>
    <n v="1846681.44"/>
    <n v="0"/>
    <n v="0"/>
    <n v="0"/>
    <n v="0"/>
    <n v="0"/>
    <n v="0"/>
    <n v="0"/>
    <n v="0"/>
    <n v="0"/>
    <n v="1846681.44"/>
    <n v="-46681.440000000002"/>
    <n v="102.59"/>
    <n v="-2.59"/>
  </r>
  <r>
    <x v="164"/>
    <x v="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242617.2"/>
    <n v="0"/>
    <n v="0"/>
    <n v="0"/>
    <n v="0"/>
    <n v="0"/>
    <n v="0"/>
    <n v="0"/>
    <n v="0"/>
    <n v="0"/>
    <n v="242617.2"/>
    <n v="-42617.2"/>
    <n v="121.31"/>
    <n v="-21.31"/>
  </r>
  <r>
    <x v="95"/>
    <x v="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9300000"/>
    <n v="9300000"/>
    <n v="0"/>
    <n v="0"/>
    <n v="0"/>
    <n v="0"/>
    <n v="0"/>
    <n v="0"/>
    <n v="0"/>
    <n v="0"/>
    <n v="0"/>
    <n v="0"/>
    <n v="0"/>
    <n v="0"/>
    <n v="0"/>
    <n v="9300000"/>
    <n v="0"/>
    <n v="100"/>
  </r>
  <r>
    <x v="96"/>
    <x v="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8000000"/>
    <n v="8000000"/>
    <n v="0"/>
    <n v="0"/>
    <n v="0"/>
    <n v="7964478.6600000001"/>
    <n v="0"/>
    <n v="0"/>
    <n v="0"/>
    <n v="0"/>
    <n v="0"/>
    <n v="0"/>
    <n v="0"/>
    <n v="0"/>
    <n v="7964478.6600000001"/>
    <n v="35521.339999999997"/>
    <n v="99.56"/>
    <n v="0.44"/>
  </r>
  <r>
    <x v="97"/>
    <x v="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5100000"/>
    <n v="5100000"/>
    <n v="0"/>
    <n v="5132882.66"/>
    <n v="0"/>
    <n v="0"/>
    <n v="0"/>
    <n v="0"/>
    <n v="0"/>
    <n v="0"/>
    <n v="0"/>
    <n v="0"/>
    <n v="0"/>
    <n v="0"/>
    <n v="5132882.66"/>
    <n v="-32882.660000000003"/>
    <n v="100.64"/>
    <n v="-0.64"/>
  </r>
  <r>
    <x v="165"/>
    <x v="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3400000"/>
    <n v="13400000"/>
    <n v="0"/>
    <n v="13418412.1"/>
    <n v="0"/>
    <n v="0"/>
    <n v="0"/>
    <n v="0"/>
    <n v="0"/>
    <n v="0"/>
    <n v="0"/>
    <n v="0"/>
    <n v="0"/>
    <n v="0"/>
    <n v="13418412.1"/>
    <n v="-18412.099999999999"/>
    <n v="100.14"/>
    <n v="-0.14000000000000001"/>
  </r>
  <r>
    <x v="197"/>
    <x v="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6300000"/>
    <n v="36300000"/>
    <n v="0"/>
    <n v="36324948.340000004"/>
    <n v="0"/>
    <n v="0"/>
    <n v="0"/>
    <n v="0"/>
    <n v="0"/>
    <n v="0"/>
    <n v="0"/>
    <n v="0"/>
    <n v="0"/>
    <n v="0"/>
    <n v="36324948.340000004"/>
    <n v="-24948.34"/>
    <n v="100.07"/>
    <n v="-7.0000000000000007E-2"/>
  </r>
  <r>
    <x v="166"/>
    <x v="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000000"/>
    <n v="5000000"/>
    <n v="0"/>
    <n v="0"/>
    <n v="0"/>
    <n v="0"/>
    <n v="0"/>
    <n v="0"/>
    <n v="0"/>
    <n v="0"/>
    <n v="0"/>
    <n v="0"/>
    <n v="0"/>
    <n v="5332346.28"/>
    <n v="5332346.28"/>
    <n v="-332346.28000000003"/>
    <n v="106.65"/>
    <n v="-6.65"/>
  </r>
  <r>
    <x v="99"/>
    <x v="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8500000"/>
    <n v="8500000"/>
    <n v="0"/>
    <n v="0"/>
    <n v="0"/>
    <n v="0"/>
    <n v="0"/>
    <n v="8494946.0199999996"/>
    <n v="0"/>
    <n v="0"/>
    <n v="0"/>
    <n v="0"/>
    <n v="0"/>
    <n v="0"/>
    <n v="8494946.0199999996"/>
    <n v="5053.9799999999996"/>
    <n v="99.94"/>
    <n v="0.06"/>
  </r>
  <r>
    <x v="100"/>
    <x v="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2600000"/>
    <n v="2600000"/>
    <n v="0"/>
    <n v="0"/>
    <n v="2630110.87"/>
    <n v="0"/>
    <n v="0"/>
    <n v="0"/>
    <n v="0"/>
    <n v="0"/>
    <n v="0"/>
    <n v="0"/>
    <n v="0"/>
    <n v="13660706.369999999"/>
    <n v="16290817.24"/>
    <n v="-13690817.24"/>
    <n v="626.57000000000005"/>
    <n v="-526.57000000000005"/>
  </r>
  <r>
    <x v="101"/>
    <x v="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3900000"/>
    <n v="53900000"/>
    <n v="0"/>
    <n v="0"/>
    <n v="0"/>
    <n v="0"/>
    <n v="0"/>
    <n v="0"/>
    <n v="0"/>
    <n v="0"/>
    <n v="0"/>
    <n v="0"/>
    <n v="0"/>
    <n v="0"/>
    <n v="0"/>
    <n v="53900000"/>
    <n v="0"/>
    <n v="100"/>
  </r>
  <r>
    <x v="102"/>
    <x v="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800000"/>
    <n v="4800000"/>
    <n v="0"/>
    <n v="0"/>
    <n v="0"/>
    <n v="0"/>
    <n v="1199831.6499999999"/>
    <n v="0"/>
    <n v="1199831.6499999999"/>
    <n v="0"/>
    <n v="1199831.6499999999"/>
    <n v="0"/>
    <n v="0"/>
    <n v="0"/>
    <n v="3599494.95"/>
    <n v="1200505.05"/>
    <n v="74.989999999999995"/>
    <n v="25.01"/>
  </r>
  <r>
    <x v="105"/>
    <x v="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089400000"/>
    <n v="3089400000"/>
    <n v="0"/>
    <n v="0"/>
    <n v="3089431438"/>
    <n v="0"/>
    <n v="0"/>
    <n v="0"/>
    <n v="0"/>
    <n v="0"/>
    <n v="0"/>
    <n v="0"/>
    <n v="0"/>
    <n v="0"/>
    <n v="3089431438"/>
    <n v="-31438"/>
    <n v="100"/>
    <n v="0"/>
  </r>
  <r>
    <x v="167"/>
    <x v="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0500000"/>
    <n v="300500000"/>
    <n v="0"/>
    <n v="0"/>
    <n v="90291114.599999994"/>
    <n v="0"/>
    <n v="0"/>
    <n v="32791939.039999999"/>
    <n v="0"/>
    <n v="0"/>
    <n v="77800099.680000007"/>
    <n v="0"/>
    <n v="34143822.82"/>
    <n v="0"/>
    <n v="235026976.13999999"/>
    <n v="65473023.859999999"/>
    <n v="78.209999999999994"/>
    <n v="21.79"/>
  </r>
  <r>
    <x v="106"/>
    <x v="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90000000"/>
    <n v="290000000"/>
    <n v="32114386.149999999"/>
    <n v="4376456.33"/>
    <n v="42033976.060000002"/>
    <n v="17930528.109999999"/>
    <n v="33290578.390000001"/>
    <n v="29835154.59"/>
    <n v="26745888.890000001"/>
    <n v="15489877.9"/>
    <n v="42846841.759999998"/>
    <n v="20468591.329999998"/>
    <n v="43230943.359999999"/>
    <n v="40762008.200000003"/>
    <n v="349125231.06999999"/>
    <n v="-59125231.07"/>
    <n v="120.39"/>
    <n v="-20.39"/>
  </r>
  <r>
    <x v="107"/>
    <x v="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400000"/>
    <n v="36400000"/>
    <n v="0"/>
    <n v="0"/>
    <n v="35284530"/>
    <n v="0"/>
    <n v="0"/>
    <n v="0"/>
    <n v="1177230.6200000001"/>
    <n v="0"/>
    <n v="0"/>
    <n v="0"/>
    <n v="0"/>
    <n v="0"/>
    <n v="36461760.619999997"/>
    <n v="-61760.62"/>
    <n v="100.17"/>
    <n v="-0.17"/>
  </r>
  <r>
    <x v="108"/>
    <x v="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15600000"/>
    <n v="115600000"/>
    <n v="0"/>
    <n v="0"/>
    <n v="0"/>
    <n v="0"/>
    <n v="115713372.83"/>
    <n v="0"/>
    <n v="0"/>
    <n v="0"/>
    <n v="0"/>
    <n v="0"/>
    <n v="0"/>
    <n v="0"/>
    <n v="115713372.83"/>
    <n v="-113372.83"/>
    <n v="100.1"/>
    <n v="-0.1"/>
  </r>
  <r>
    <x v="109"/>
    <x v="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3700000"/>
    <n v="13700000"/>
    <n v="0"/>
    <n v="0"/>
    <n v="0"/>
    <n v="0"/>
    <n v="0"/>
    <n v="0"/>
    <n v="0"/>
    <n v="0"/>
    <n v="0"/>
    <n v="0"/>
    <n v="0"/>
    <n v="0"/>
    <n v="0"/>
    <n v="13700000"/>
    <n v="0"/>
    <n v="100"/>
  </r>
  <r>
    <x v="110"/>
    <x v="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35100000"/>
    <n v="35100000"/>
    <n v="0"/>
    <n v="0"/>
    <n v="35118953.649999999"/>
    <n v="0"/>
    <n v="0"/>
    <n v="0"/>
    <n v="0"/>
    <n v="0"/>
    <n v="0"/>
    <n v="0"/>
    <n v="0"/>
    <n v="0"/>
    <n v="35118953.649999999"/>
    <n v="-18953.650000000001"/>
    <n v="100.05"/>
    <n v="-0.05"/>
  </r>
  <r>
    <x v="111"/>
    <x v="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300000"/>
    <n v="15300000"/>
    <n v="10128732.560000001"/>
    <n v="0"/>
    <n v="0"/>
    <n v="0"/>
    <n v="0"/>
    <n v="0"/>
    <n v="0"/>
    <n v="0"/>
    <n v="0"/>
    <n v="0"/>
    <n v="0"/>
    <n v="0"/>
    <n v="10128732.560000001"/>
    <n v="5171267.4400000004"/>
    <n v="66.2"/>
    <n v="33.799999999999997"/>
  </r>
  <r>
    <x v="218"/>
    <x v="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0"/>
    <n v="0"/>
    <n v="3600000"/>
    <n v="0"/>
    <n v="100"/>
  </r>
  <r>
    <x v="219"/>
    <x v="3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124500000"/>
    <n v="124500000"/>
    <n v="0"/>
    <n v="0"/>
    <n v="0"/>
    <n v="0"/>
    <n v="0"/>
    <n v="0"/>
    <n v="0"/>
    <n v="0"/>
    <n v="0"/>
    <n v="0"/>
    <n v="0"/>
    <n v="0"/>
    <n v="0"/>
    <n v="124500000"/>
    <n v="0"/>
    <n v="100"/>
  </r>
  <r>
    <x v="168"/>
    <x v="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03500000"/>
    <n v="503500000"/>
    <n v="0"/>
    <n v="0"/>
    <n v="332666231.13"/>
    <n v="0"/>
    <n v="0"/>
    <n v="0"/>
    <n v="0"/>
    <n v="0"/>
    <n v="0"/>
    <n v="0"/>
    <n v="0"/>
    <n v="0"/>
    <n v="332666231.13"/>
    <n v="170833768.87"/>
    <n v="66.069999999999993"/>
    <n v="33.93"/>
  </r>
  <r>
    <x v="169"/>
    <x v="3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84000000"/>
    <n v="84000000"/>
    <n v="7409541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599999998"/>
    <n v="6967553.2300000004"/>
    <n v="84052626.829999998"/>
    <n v="-52626.83"/>
    <n v="100.06"/>
    <n v="-0.06"/>
  </r>
  <r>
    <x v="170"/>
    <x v="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184900000"/>
    <n v="184900000"/>
    <n v="0"/>
    <n v="0"/>
    <n v="0"/>
    <n v="122177212.17"/>
    <n v="0"/>
    <n v="0"/>
    <n v="0"/>
    <n v="0"/>
    <n v="0"/>
    <n v="0"/>
    <n v="0"/>
    <n v="0"/>
    <n v="122177212.17"/>
    <n v="62722787.829999998"/>
    <n v="66.08"/>
    <n v="33.92"/>
  </r>
  <r>
    <x v="171"/>
    <x v="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100000"/>
    <n v="8100000"/>
    <n v="0"/>
    <n v="0"/>
    <n v="0"/>
    <n v="0"/>
    <n v="8111228.8600000003"/>
    <n v="0"/>
    <n v="0"/>
    <n v="0"/>
    <n v="0"/>
    <n v="0"/>
    <n v="0"/>
    <n v="0"/>
    <n v="8111228.8600000003"/>
    <n v="-11228.86"/>
    <n v="100.14"/>
    <n v="-0.14000000000000001"/>
  </r>
  <r>
    <x v="198"/>
    <x v="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8200000"/>
    <n v="8200000"/>
    <n v="0"/>
    <n v="0"/>
    <n v="0"/>
    <n v="0"/>
    <n v="8177385.0499999998"/>
    <n v="0"/>
    <n v="0"/>
    <n v="0"/>
    <n v="0"/>
    <n v="0"/>
    <n v="0"/>
    <n v="0"/>
    <n v="8177385.0499999998"/>
    <n v="22614.95"/>
    <n v="99.72"/>
    <n v="0.28000000000000003"/>
  </r>
  <r>
    <x v="118"/>
    <x v="3"/>
    <x v="100"/>
    <n v="1"/>
    <x v="0"/>
    <n v="14"/>
    <x v="3"/>
    <n v="142"/>
    <x v="10"/>
    <n v="1421"/>
    <x v="32"/>
    <n v="142100"/>
    <x v="52"/>
    <n v="14210000"/>
    <x v="0"/>
    <n v="142100000"/>
    <x v="0"/>
    <n v="1421000000"/>
    <x v="0"/>
    <n v="1"/>
    <s v="Ingresos corrientes"/>
    <n v="0"/>
    <n v="0"/>
    <n v="0"/>
    <n v="250"/>
    <n v="0"/>
    <n v="0"/>
    <n v="0"/>
    <n v="0"/>
    <n v="0"/>
    <n v="0"/>
    <n v="0"/>
    <n v="0"/>
    <n v="0"/>
    <n v="0"/>
    <n v="0"/>
    <n v="250"/>
    <n v="0"/>
    <n v="0"/>
    <n v="0"/>
  </r>
  <r>
    <x v="220"/>
    <x v="3"/>
    <x v="174"/>
    <n v="1"/>
    <x v="0"/>
    <n v="14"/>
    <x v="3"/>
    <n v="143"/>
    <x v="18"/>
    <n v="1432"/>
    <x v="40"/>
    <n v="143202"/>
    <x v="67"/>
    <n v="14320200"/>
    <x v="0"/>
    <n v="143202000"/>
    <x v="0"/>
    <n v="1432020000"/>
    <x v="0"/>
    <n v="1"/>
    <s v="Ingresos corrientes"/>
    <n v="0"/>
    <n v="693764800"/>
    <n v="693764800"/>
    <n v="0"/>
    <n v="0"/>
    <n v="693764800"/>
    <n v="0"/>
    <n v="0"/>
    <n v="0"/>
    <n v="0"/>
    <n v="0"/>
    <n v="0"/>
    <n v="0"/>
    <n v="0"/>
    <n v="0"/>
    <n v="693764800"/>
    <n v="0"/>
    <n v="100"/>
    <n v="0"/>
  </r>
  <r>
    <x v="199"/>
    <x v="3"/>
    <x v="174"/>
    <n v="2"/>
    <x v="1"/>
    <n v="24"/>
    <x v="4"/>
    <n v="243"/>
    <x v="13"/>
    <n v="2432"/>
    <x v="34"/>
    <n v="243204"/>
    <x v="64"/>
    <n v="24320400"/>
    <x v="0"/>
    <n v="243204000"/>
    <x v="0"/>
    <n v="2432040000"/>
    <x v="0"/>
    <n v="70"/>
    <s v="Donación República de China"/>
    <n v="0"/>
    <n v="805499168.46000004"/>
    <n v="805499168.46000004"/>
    <n v="0"/>
    <n v="0"/>
    <n v="0"/>
    <n v="0"/>
    <n v="0"/>
    <n v="0"/>
    <n v="0"/>
    <n v="0"/>
    <n v="113421168"/>
    <n v="692078000.46000004"/>
    <n v="318937418"/>
    <n v="213250000"/>
    <n v="1337686586.46"/>
    <n v="-532187418"/>
    <n v="166.07"/>
    <n v="-66.069999999999993"/>
  </r>
  <r>
    <x v="121"/>
    <x v="3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16994882.63"/>
    <n v="216994882.63"/>
    <n v="0"/>
    <n v="0"/>
    <n v="22044882.629999999"/>
    <n v="81000000"/>
    <n v="0"/>
    <n v="0"/>
    <n v="45950000"/>
    <n v="16000000"/>
    <n v="0"/>
    <n v="0"/>
    <n v="0"/>
    <n v="52000000"/>
    <n v="216994882.63"/>
    <n v="0"/>
    <n v="100"/>
    <n v="0"/>
  </r>
  <r>
    <x v="174"/>
    <x v="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459439690150"/>
    <n v="459439690150"/>
    <n v="29785286077.209999"/>
    <n v="10479175062.690001"/>
    <n v="7155174606.3100004"/>
    <n v="34063102945.459999"/>
    <n v="1818071067.4000001"/>
    <n v="5732393327.8599997"/>
    <n v="74492037056.270004"/>
    <n v="34507433316.519997"/>
    <n v="28350367281.32"/>
    <n v="44287398896.779999"/>
    <n v="59218112707.370003"/>
    <n v="71143849095.029999"/>
    <n v="401032401440.21997"/>
    <n v="58407288709.779999"/>
    <n v="87.29"/>
    <n v="12.71"/>
  </r>
  <r>
    <x v="175"/>
    <x v="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553225964076"/>
    <n v="1553225964076"/>
    <n v="154400262098.98001"/>
    <n v="73926271160.429993"/>
    <n v="107517179391.05"/>
    <n v="91640572953.110001"/>
    <n v="49525295820.989998"/>
    <n v="73371769597.039993"/>
    <n v="113666222883.55"/>
    <n v="80266515011.759995"/>
    <n v="172190044886.98999"/>
    <n v="200773680947.31"/>
    <n v="14283395778.43"/>
    <n v="74706901773.940002"/>
    <n v="1206268112303.5801"/>
    <n v="346957851772.41998"/>
    <n v="77.66"/>
    <n v="22.34"/>
  </r>
  <r>
    <x v="123"/>
    <x v="3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8789423791.6700001"/>
    <n v="6528377648.1899996"/>
    <n v="0"/>
    <n v="0"/>
    <n v="1098330154.8599999"/>
    <n v="1170123054.6099999"/>
    <n v="632065540.75999999"/>
    <n v="260881311.19999999"/>
    <n v="10680000"/>
    <n v="973897257.77999997"/>
    <n v="1783167576.46"/>
    <n v="270133754.98000002"/>
    <n v="112531225.41"/>
    <n v="216567772.13"/>
    <n v="6528377648.1899996"/>
    <n v="0"/>
    <n v="100"/>
    <n v="0"/>
  </r>
  <r>
    <x v="201"/>
    <x v="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695900753.700001"/>
    <n v="116594100"/>
    <n v="0"/>
    <n v="0"/>
    <n v="116594100"/>
    <n v="0"/>
    <n v="0"/>
    <n v="0"/>
    <n v="0"/>
    <n v="0"/>
    <n v="0"/>
    <n v="0"/>
    <n v="0"/>
    <n v="0"/>
    <n v="116594100"/>
    <n v="0"/>
    <n v="100"/>
    <n v="0"/>
  </r>
  <r>
    <x v="124"/>
    <x v="3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9368661138.41"/>
    <n v="6258644785.9399996"/>
    <n v="0"/>
    <n v="0"/>
    <n v="1046742320.16"/>
    <n v="358033228.51999998"/>
    <n v="734193760.42999995"/>
    <n v="514707734.69999999"/>
    <n v="1060902611.51"/>
    <n v="524325822.07999998"/>
    <n v="0"/>
    <n v="1420611392.3199999"/>
    <n v="330796941.43000001"/>
    <n v="268330974.78999999"/>
    <n v="6258644785.9399996"/>
    <n v="0"/>
    <n v="100"/>
    <n v="0"/>
  </r>
  <r>
    <x v="125"/>
    <x v="3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2518477169.9900002"/>
    <n v="1015034287.49"/>
    <n v="0"/>
    <n v="0"/>
    <n v="420031287.49000001"/>
    <n v="259250000"/>
    <n v="0"/>
    <n v="0"/>
    <n v="157284000"/>
    <n v="0"/>
    <n v="0"/>
    <n v="178469000"/>
    <n v="0"/>
    <n v="0"/>
    <n v="1015034287.49"/>
    <n v="0"/>
    <n v="100"/>
    <n v="0"/>
  </r>
  <r>
    <x v="126"/>
    <x v="3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8251564.77"/>
    <n v="541845.81999999995"/>
    <n v="0"/>
    <n v="0"/>
    <n v="0"/>
    <n v="541845.81999999995"/>
    <n v="0"/>
    <n v="0"/>
    <n v="0"/>
    <n v="0"/>
    <n v="0"/>
    <n v="0"/>
    <n v="0"/>
    <n v="0"/>
    <n v="541845.81999999995"/>
    <n v="0"/>
    <n v="100"/>
    <n v="0"/>
  </r>
  <r>
    <x v="127"/>
    <x v="3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3891884396.25"/>
    <n v="1899321378.8800001"/>
    <n v="0"/>
    <n v="0"/>
    <n v="1097594173.5"/>
    <n v="613730466.75"/>
    <n v="116717386"/>
    <n v="0"/>
    <n v="40029767"/>
    <n v="-5536200"/>
    <n v="0"/>
    <n v="0"/>
    <n v="0"/>
    <n v="36785785.630000003"/>
    <n v="1899321378.8800001"/>
    <n v="0"/>
    <n v="100"/>
    <n v="0"/>
  </r>
  <r>
    <x v="202"/>
    <x v="3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139055447.5"/>
    <n v="80038797.909999996"/>
    <n v="0"/>
    <n v="0"/>
    <n v="5669920.3399999999"/>
    <n v="414000"/>
    <n v="50451003.5"/>
    <n v="3202267.33"/>
    <n v="1376135.12"/>
    <n v="3476505.62"/>
    <n v="1615805"/>
    <n v="3428752"/>
    <n v="2484360"/>
    <n v="7920049"/>
    <n v="80038797.909999996"/>
    <n v="0"/>
    <n v="100"/>
    <n v="0"/>
  </r>
  <r>
    <x v="221"/>
    <x v="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3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1314168613.4000001"/>
    <n v="1043848036.41"/>
    <n v="0"/>
    <n v="0"/>
    <n v="0"/>
    <n v="3477792"/>
    <n v="-3477792"/>
    <n v="0"/>
    <n v="0"/>
    <n v="0"/>
    <n v="1210042952.77"/>
    <n v="-12180089.310000001"/>
    <n v="0"/>
    <n v="-154014827.05000001"/>
    <n v="1043848036.41"/>
    <n v="0"/>
    <n v="100"/>
    <n v="0"/>
  </r>
  <r>
    <x v="176"/>
    <x v="3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4110347123.49"/>
    <n v="1098769255.8"/>
    <n v="0"/>
    <n v="0"/>
    <n v="296212874.06999999"/>
    <n v="0"/>
    <n v="148947016.33000001"/>
    <n v="0"/>
    <n v="0"/>
    <n v="0"/>
    <n v="0"/>
    <n v="0"/>
    <n v="653609365.39999998"/>
    <n v="0"/>
    <n v="1098769255.8"/>
    <n v="0"/>
    <n v="100"/>
    <n v="0"/>
  </r>
  <r>
    <x v="203"/>
    <x v="3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4988480000"/>
    <n v="2229824296.0700002"/>
    <n v="0"/>
    <n v="0"/>
    <n v="0"/>
    <n v="0"/>
    <n v="0"/>
    <n v="1078034463.9400001"/>
    <n v="0"/>
    <n v="22229163.800000001"/>
    <n v="0"/>
    <n v="0"/>
    <n v="1129560668.3299999"/>
    <n v="0"/>
    <n v="2229824296.0700002"/>
    <n v="0"/>
    <n v="100"/>
    <n v="0"/>
  </r>
  <r>
    <x v="204"/>
    <x v="3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27432936000"/>
    <n v="16438555288.59"/>
    <n v="0"/>
    <n v="0"/>
    <n v="0"/>
    <n v="4861555288.5900002"/>
    <n v="0"/>
    <n v="0"/>
    <n v="0"/>
    <n v="0"/>
    <n v="0"/>
    <n v="0"/>
    <n v="6000000000"/>
    <n v="5577000000"/>
    <n v="16438555288.59"/>
    <n v="0"/>
    <n v="100"/>
    <n v="0"/>
  </r>
  <r>
    <x v="222"/>
    <x v="3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1736075000"/>
    <n v="1348800000"/>
    <n v="0"/>
    <n v="0"/>
    <n v="1348800000"/>
    <n v="0"/>
    <n v="0"/>
    <n v="0"/>
    <n v="0"/>
    <n v="0"/>
    <n v="0"/>
    <n v="0"/>
    <n v="0"/>
    <n v="0"/>
    <n v="1348800000"/>
    <n v="0"/>
    <n v="100"/>
    <n v="0"/>
  </r>
  <r>
    <x v="223"/>
    <x v="3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257379937500"/>
    <n v="61448812020"/>
    <n v="0"/>
    <n v="0"/>
    <n v="0"/>
    <n v="0"/>
    <n v="0"/>
    <n v="0"/>
    <n v="0"/>
    <n v="0"/>
    <n v="0"/>
    <n v="0"/>
    <n v="0"/>
    <n v="61448812020"/>
    <n v="61448812020"/>
    <n v="0"/>
    <n v="100"/>
    <n v="0"/>
  </r>
  <r>
    <x v="224"/>
    <x v="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397400274.860001"/>
    <n v="378174547.35000002"/>
    <n v="0"/>
    <n v="0"/>
    <n v="0"/>
    <n v="0"/>
    <n v="0"/>
    <n v="0"/>
    <n v="0"/>
    <n v="0"/>
    <n v="0"/>
    <n v="0"/>
    <n v="222180531.03"/>
    <n v="155994016.31999999"/>
    <n v="378174547.35000002"/>
    <n v="0"/>
    <n v="100"/>
    <n v="0"/>
  </r>
  <r>
    <x v="225"/>
    <x v="3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3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3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3052721639.3600001"/>
    <n v="1742672746.45"/>
    <n v="0"/>
    <n v="0"/>
    <n v="453441455.04000002"/>
    <n v="24369110.260000002"/>
    <n v="379129374.31999999"/>
    <n v="127700959.09999999"/>
    <n v="28128251.050000001"/>
    <n v="83937424.420000002"/>
    <n v="74413948"/>
    <n v="63943101.130000003"/>
    <n v="344304250.01999998"/>
    <n v="163304873.11000001"/>
    <n v="1742672746.45"/>
    <n v="0"/>
    <n v="100"/>
    <n v="0"/>
  </r>
  <r>
    <x v="177"/>
    <x v="3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4848014277.3999996"/>
    <n v="869987875.60000002"/>
    <n v="0"/>
    <n v="0"/>
    <n v="0"/>
    <n v="0"/>
    <n v="0"/>
    <n v="0"/>
    <n v="0"/>
    <n v="0"/>
    <n v="869987875.60000002"/>
    <n v="0"/>
    <n v="0"/>
    <n v="0"/>
    <n v="869987875.60000002"/>
    <n v="0"/>
    <n v="100"/>
    <n v="0"/>
  </r>
  <r>
    <x v="133"/>
    <x v="4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40000000000"/>
    <n v="140000000000"/>
    <n v="11778736395.33"/>
    <n v="9126854160.3899994"/>
    <n v="9952533869.8299999"/>
    <n v="11707405928.799999"/>
    <n v="10870098831.719999"/>
    <n v="13091120889.4"/>
    <n v="10738010667.799999"/>
    <n v="12115538097.09"/>
    <n v="11730758750.110001"/>
    <n v="11125474325.370001"/>
    <n v="11370578638.99"/>
    <n v="2796209876.9299998"/>
    <n v="126403320431.75999"/>
    <n v="13596679568.24"/>
    <n v="90.29"/>
    <n v="9.7100000000000009"/>
  </r>
  <r>
    <x v="134"/>
    <x v="4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0000000000"/>
    <n v="80000000000"/>
    <n v="10513938848.360001"/>
    <n v="5578436846.71"/>
    <n v="9083123205.2000008"/>
    <n v="5334533988.5799999"/>
    <n v="5023211617.2799997"/>
    <n v="4636396530.0600004"/>
    <n v="6767894481.6599998"/>
    <n v="6050591585.3699999"/>
    <n v="6396218849.8500004"/>
    <n v="8234141170.2299995"/>
    <n v="9189809811.6499996"/>
    <n v="6392512782.3400002"/>
    <n v="83200809717.289993"/>
    <n v="-3200809717.29"/>
    <n v="104"/>
    <n v="-4"/>
  </r>
  <r>
    <x v="135"/>
    <x v="4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7500000000"/>
    <n v="27500000000"/>
    <n v="364521694.12"/>
    <n v="1488734254.5"/>
    <n v="927869529.62"/>
    <n v="2225167913.9099998"/>
    <n v="535407351.5"/>
    <n v="1624444991.22"/>
    <n v="2019444489.48"/>
    <n v="461463628.75"/>
    <n v="-125468498.76000001"/>
    <n v="4425399392.75"/>
    <n v="122378108.68000001"/>
    <n v="9813010445.5300007"/>
    <n v="23882373301.299999"/>
    <n v="3617626698.6999998"/>
    <n v="86.84"/>
    <n v="13.16"/>
  </r>
  <r>
    <x v="180"/>
    <x v="4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39760000000"/>
    <n v="39760000000"/>
    <n v="963366659"/>
    <n v="1784294183.8"/>
    <n v="8636790639.4699993"/>
    <n v="3036691030.9899998"/>
    <n v="2443099307.25"/>
    <n v="10480823971.379999"/>
    <n v="1482171300.8800001"/>
    <n v="2466467927.0300002"/>
    <n v="7949830738.7299995"/>
    <n v="2955680266.0500002"/>
    <n v="2439201492.79"/>
    <n v="24981397325.389999"/>
    <n v="69619814842.759995"/>
    <n v="-29859814842.759998"/>
    <n v="175.1"/>
    <n v="-75.099999999999994"/>
  </r>
  <r>
    <x v="137"/>
    <x v="4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03283000000"/>
    <n v="403283000000"/>
    <n v="8314387887.1499996"/>
    <n v="5466642588.7399998"/>
    <n v="73240147149.669998"/>
    <n v="18234867387.369999"/>
    <n v="3985104741.2399998"/>
    <n v="62135651744.059998"/>
    <n v="12018174202.99"/>
    <n v="6164191322.3800001"/>
    <n v="76821756805.970001"/>
    <n v="7351451092.54"/>
    <n v="11648666104.73"/>
    <n v="130615280444.17"/>
    <n v="415996321471.01001"/>
    <n v="-12713321471.01"/>
    <n v="103.15"/>
    <n v="-3.15"/>
  </r>
  <r>
    <x v="181"/>
    <x v="4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100000000"/>
    <n v="1100000000"/>
    <n v="7312944"/>
    <n v="236415713.84"/>
    <n v="9610126"/>
    <n v="9669507"/>
    <n v="6765125"/>
    <n v="8448949"/>
    <n v="9111250"/>
    <n v="11968760"/>
    <n v="12756838"/>
    <n v="10308384"/>
    <n v="13864241"/>
    <n v="10679682"/>
    <n v="346911519.83999997"/>
    <n v="753088480.15999997"/>
    <n v="31.54"/>
    <n v="68.459999999999994"/>
  </r>
  <r>
    <x v="138"/>
    <x v="4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1000000000"/>
    <n v="11000000000"/>
    <n v="538282227.64999998"/>
    <n v="479080532.25"/>
    <n v="1280952750.3900001"/>
    <n v="2568593873.2199998"/>
    <n v="682605819.35000002"/>
    <n v="1932634635.4300001"/>
    <n v="958048526.86000001"/>
    <n v="300364911.10000002"/>
    <n v="-982026.65"/>
    <n v="1051395405.9299999"/>
    <n v="651040175.48000002"/>
    <n v="4869283222.4300003"/>
    <n v="15311300053.440001"/>
    <n v="-4311300053.4399996"/>
    <n v="139.19"/>
    <n v="-39.19"/>
  </r>
  <r>
    <x v="182"/>
    <x v="4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36800000000"/>
    <n v="36800000000"/>
    <n v="658513335.61000001"/>
    <n v="4543225432.6000004"/>
    <n v="999319097.30999994"/>
    <n v="9217616125.4400005"/>
    <n v="4024954905.3499999"/>
    <n v="4888550482.0699997"/>
    <n v="3083805526.25"/>
    <n v="1896473985.3699999"/>
    <n v="-10933092.15"/>
    <n v="12860214655.91"/>
    <n v="-2644602771.96"/>
    <n v="2070539772.8299999"/>
    <n v="41587677454.629997"/>
    <n v="-4787677454.6300001"/>
    <n v="113.01"/>
    <n v="-13.01"/>
  </r>
  <r>
    <x v="183"/>
    <x v="4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0200000000"/>
    <n v="10200000000"/>
    <n v="679966225.52999997"/>
    <n v="664887304.94000006"/>
    <n v="506623560.97000003"/>
    <n v="647951720.08000004"/>
    <n v="612193732.80999994"/>
    <n v="544409370.67999995"/>
    <n v="693867848.00999999"/>
    <n v="650977075.96000004"/>
    <n v="604855052.13999999"/>
    <n v="626265106.07000005"/>
    <n v="676489772.77999997"/>
    <n v="760595524.38"/>
    <n v="7669082294.3500004"/>
    <n v="2530917705.6500001"/>
    <n v="75.19"/>
    <n v="24.81"/>
  </r>
  <r>
    <x v="140"/>
    <x v="4"/>
    <x v="122"/>
    <n v="1"/>
    <x v="0"/>
    <n v="11"/>
    <x v="0"/>
    <n v="111"/>
    <x v="0"/>
    <n v="1114"/>
    <x v="3"/>
    <n v="111401"/>
    <x v="7"/>
    <n v="11140101"/>
    <x v="0"/>
    <n v="111401010"/>
    <x v="0"/>
    <n v="1114010100"/>
    <x v="0"/>
    <n v="1"/>
    <s v="Ingresos corrientes"/>
    <n v="0"/>
    <n v="50000000000"/>
    <n v="50000000000"/>
    <n v="8358768862.54"/>
    <n v="2665929400.1700001"/>
    <n v="2557257264.6700001"/>
    <n v="4348413906.5900002"/>
    <n v="3309405352.9099998"/>
    <n v="2939565898.27"/>
    <n v="3756026793.0700002"/>
    <n v="3058630525.9200001"/>
    <n v="2553759738.5100002"/>
    <n v="5876771027.75"/>
    <n v="915352503.40999997"/>
    <n v="3949458495.52"/>
    <n v="44289339769.330002"/>
    <n v="5710660230.6700001"/>
    <n v="88.58"/>
    <n v="11.42"/>
  </r>
  <r>
    <x v="18"/>
    <x v="4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357000000"/>
    <n v="357000000"/>
    <n v="385381250"/>
    <n v="0"/>
    <n v="0"/>
    <n v="0"/>
    <n v="0"/>
    <n v="0"/>
    <n v="0"/>
    <n v="0"/>
    <n v="0"/>
    <n v="0"/>
    <n v="0"/>
    <n v="0"/>
    <n v="385381250"/>
    <n v="-28381250"/>
    <n v="107.95"/>
    <n v="-7.95"/>
  </r>
  <r>
    <x v="186"/>
    <x v="4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084161430.53"/>
    <n v="111190547.86"/>
    <n v="54883590"/>
    <n v="40895441"/>
    <n v="13555998"/>
    <n v="12949930.49"/>
    <n v="-1900645.84"/>
    <n v="7318108"/>
    <n v="12556929"/>
    <n v="10003372.810000001"/>
    <n v="10637552"/>
    <n v="118794418.09999999"/>
    <n v="2475046671.9499998"/>
    <n v="24953328.050000001"/>
    <n v="99"/>
    <n v="1"/>
  </r>
  <r>
    <x v="141"/>
    <x v="4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3741475792"/>
    <n v="2715533193"/>
    <n v="1682985810"/>
    <n v="1758471377"/>
    <n v="1257071392"/>
    <n v="1490278388.0799999"/>
    <n v="1093178742"/>
    <n v="825266085"/>
    <n v="840760381.97000003"/>
    <n v="708602355"/>
    <n v="3471531861"/>
    <n v="65567330674.709999"/>
    <n v="85152486051.759995"/>
    <n v="8847513948.2399998"/>
    <n v="90.59"/>
    <n v="9.41"/>
  </r>
  <r>
    <x v="21"/>
    <x v="4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5000000"/>
    <n v="135000000"/>
    <n v="6703511"/>
    <n v="4402254"/>
    <n v="2443564"/>
    <n v="2365749"/>
    <n v="1499388"/>
    <n v="1893134"/>
    <n v="1578224"/>
    <n v="1259255"/>
    <n v="1454215"/>
    <n v="1260045"/>
    <n v="4431583"/>
    <n v="89071012"/>
    <n v="118361934"/>
    <n v="16638066"/>
    <n v="87.68"/>
    <n v="12.32"/>
  </r>
  <r>
    <x v="22"/>
    <x v="4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872000000"/>
    <n v="872000000"/>
    <n v="12617966"/>
    <n v="6891406.3399999999"/>
    <n v="15167636.300000001"/>
    <n v="190261220.72999999"/>
    <n v="133972622.14"/>
    <n v="18879398.149999999"/>
    <n v="-119727.2"/>
    <n v="28635728.510000002"/>
    <n v="16670491.029999999"/>
    <n v="33569352.640000001"/>
    <n v="13636386.029999999"/>
    <n v="55567733.850000001"/>
    <n v="525750214.51999998"/>
    <n v="346249785.48000002"/>
    <n v="60.29"/>
    <n v="39.71"/>
  </r>
  <r>
    <x v="23"/>
    <x v="4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16000000000"/>
    <n v="16000000000"/>
    <n v="1109338364"/>
    <n v="1393819262"/>
    <n v="1574928873"/>
    <n v="1370316262"/>
    <n v="1562205463"/>
    <n v="1651809081"/>
    <n v="1546573254"/>
    <n v="1609249577"/>
    <n v="1686201134"/>
    <n v="1874264224"/>
    <n v="1909842287"/>
    <n v="1764354271"/>
    <n v="19052902052"/>
    <n v="-3052902052"/>
    <n v="119.08"/>
    <n v="-19.079999999999998"/>
  </r>
  <r>
    <x v="24"/>
    <x v="4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4300000000"/>
    <n v="14300000000"/>
    <n v="970964312"/>
    <n v="1145318152"/>
    <n v="1293347817"/>
    <n v="911344601"/>
    <n v="1271501578"/>
    <n v="1356500838"/>
    <n v="1192868057"/>
    <n v="1209764301"/>
    <n v="1132198557"/>
    <n v="1053087560"/>
    <n v="1233326451"/>
    <n v="902230378"/>
    <n v="13672452602"/>
    <n v="627547398"/>
    <n v="95.61"/>
    <n v="4.3899999999999997"/>
  </r>
  <r>
    <x v="142"/>
    <x v="4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51662000000"/>
    <n v="551662000000"/>
    <n v="54069201743.139999"/>
    <n v="44739004597.919998"/>
    <n v="41855040414.550003"/>
    <n v="40660974360.889999"/>
    <n v="41154123762.690002"/>
    <n v="38382308544.730003"/>
    <n v="38150887154.529999"/>
    <n v="48351465464.559998"/>
    <n v="43450589462.269997"/>
    <n v="42870080955.449997"/>
    <n v="41833418513.669998"/>
    <n v="49654789497.279999"/>
    <n v="525171884471.67999"/>
    <n v="26490115528.32"/>
    <n v="95.2"/>
    <n v="4.8"/>
  </r>
  <r>
    <x v="187"/>
    <x v="4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493845000000"/>
    <n v="493845000000"/>
    <n v="33163234232.93"/>
    <n v="33795344448.549999"/>
    <n v="41430774444.540001"/>
    <n v="33572600954.360001"/>
    <n v="43736094105.989998"/>
    <n v="43149369180.099998"/>
    <n v="41554819516.25"/>
    <n v="45618882314.779999"/>
    <n v="44407519424.610001"/>
    <n v="46581012941.639999"/>
    <n v="52983124268.089996"/>
    <n v="44646467043.940002"/>
    <n v="504639242875.78003"/>
    <n v="-10794242875.780001"/>
    <n v="102.19"/>
    <n v="-2.19"/>
  </r>
  <r>
    <x v="188"/>
    <x v="4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7000000000"/>
    <n v="27000000000"/>
    <n v="2990532270.9099998"/>
    <n v="1735810697.48"/>
    <n v="2024954610.5"/>
    <n v="2338064698.8800001"/>
    <n v="2256166015.23"/>
    <n v="2247921952.29"/>
    <n v="2030405622.0899999"/>
    <n v="2263457082.9000001"/>
    <n v="2160687109.6199999"/>
    <n v="2099370916.5899999"/>
    <n v="2184018093.3600001"/>
    <n v="1708798293.3199999"/>
    <n v="26040187363.169998"/>
    <n v="959812636.83000004"/>
    <n v="96.45"/>
    <n v="3.55"/>
  </r>
  <r>
    <x v="189"/>
    <x v="4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35000000000"/>
    <n v="135000000000"/>
    <n v="9924867513.4899998"/>
    <n v="9515234531.5799999"/>
    <n v="14419786107.9"/>
    <n v="11219333691.49"/>
    <n v="13150951817.120001"/>
    <n v="11673409893.93"/>
    <n v="11840915989.93"/>
    <n v="13105511722.59"/>
    <n v="12166361704.629999"/>
    <n v="12064327968.110001"/>
    <n v="15983235891.139999"/>
    <n v="13323827071.17"/>
    <n v="148387763903.07999"/>
    <n v="-13387763903.08"/>
    <n v="109.92"/>
    <n v="-9.92"/>
  </r>
  <r>
    <x v="143"/>
    <x v="4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100000"/>
    <n v="100000"/>
    <n v="0"/>
    <n v="0"/>
    <n v="0"/>
    <n v="0"/>
    <n v="0"/>
    <n v="0"/>
    <n v="0"/>
    <n v="0"/>
    <n v="69772"/>
    <n v="0"/>
    <n v="0"/>
    <n v="0"/>
    <n v="69772"/>
    <n v="30228"/>
    <n v="69.77"/>
    <n v="30.23"/>
  </r>
  <r>
    <x v="29"/>
    <x v="4"/>
    <x v="29"/>
    <n v="1"/>
    <x v="0"/>
    <n v="11"/>
    <x v="0"/>
    <n v="113"/>
    <x v="2"/>
    <n v="1132"/>
    <x v="10"/>
    <n v="113201"/>
    <x v="16"/>
    <n v="11320102"/>
    <x v="7"/>
    <n v="113201022"/>
    <x v="5"/>
    <n v="1132010220"/>
    <x v="0"/>
    <n v="1"/>
    <s v="Ingresos corrientes"/>
    <n v="0"/>
    <n v="100000"/>
    <n v="100000"/>
    <n v="0"/>
    <n v="0"/>
    <n v="0"/>
    <n v="0"/>
    <n v="0"/>
    <n v="0"/>
    <n v="0"/>
    <n v="0"/>
    <n v="0"/>
    <n v="0"/>
    <n v="0"/>
    <n v="0"/>
    <n v="0"/>
    <n v="100000"/>
    <n v="0"/>
    <n v="100"/>
  </r>
  <r>
    <x v="30"/>
    <x v="4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24540000000"/>
    <n v="224540000000"/>
    <n v="19064420973"/>
    <n v="15243901939"/>
    <n v="14950150180"/>
    <n v="14153814874"/>
    <n v="10943744158"/>
    <n v="15776678821"/>
    <n v="13370077444"/>
    <n v="9031778276"/>
    <n v="12939419360.5"/>
    <n v="7299296023"/>
    <n v="12807140887"/>
    <n v="4675537722"/>
    <n v="150255960657.5"/>
    <n v="74284039342.5"/>
    <n v="66.92"/>
    <n v="33.08"/>
  </r>
  <r>
    <x v="31"/>
    <x v="4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46060000000"/>
    <n v="146060000000"/>
    <n v="15237536970.950001"/>
    <n v="10944397669"/>
    <n v="12480994093.83"/>
    <n v="18766971859.599998"/>
    <n v="12121173761.360001"/>
    <n v="17539100247.549999"/>
    <n v="25632943564.279999"/>
    <n v="19186991517.73"/>
    <n v="10108852091.85"/>
    <n v="14563007475.469999"/>
    <n v="21360301261.799999"/>
    <n v="31226711566.509998"/>
    <n v="209168982079.92999"/>
    <n v="-63108982079.93"/>
    <n v="143.21"/>
    <n v="-43.21"/>
  </r>
  <r>
    <x v="32"/>
    <x v="4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1000000000"/>
    <n v="31000000000"/>
    <n v="2742598351"/>
    <n v="1162049332"/>
    <n v="1820902970.9200001"/>
    <n v="2334112013.6399999"/>
    <n v="2776235290.0500002"/>
    <n v="2383346295.5300002"/>
    <n v="1891636378.04"/>
    <n v="1852799469.5"/>
    <n v="2336934102.4699998"/>
    <n v="1918228964.73"/>
    <n v="2186489459.8099999"/>
    <n v="3075718087"/>
    <n v="26481050714.689999"/>
    <n v="4518949285.3100004"/>
    <n v="85.42"/>
    <n v="14.58"/>
  </r>
  <r>
    <x v="33"/>
    <x v="4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2000000000"/>
    <n v="2000000000"/>
    <n v="346724861.95999998"/>
    <n v="450273572.25999999"/>
    <n v="472687435.31999999"/>
    <n v="398681491.68000001"/>
    <n v="559616496.69000006"/>
    <n v="371883360.44"/>
    <n v="422376162.97000003"/>
    <n v="429331752.56"/>
    <n v="515825873.86000001"/>
    <n v="640209589.51999998"/>
    <n v="1089395947.6500001"/>
    <n v="758097484.78999996"/>
    <n v="6455104029.6999998"/>
    <n v="-4455104029.6999998"/>
    <n v="322.76"/>
    <n v="-222.76"/>
  </r>
  <r>
    <x v="34"/>
    <x v="4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7900000000"/>
    <n v="27900000000"/>
    <n v="2347677757.3699999"/>
    <n v="1858912080.6900001"/>
    <n v="2012734203.75"/>
    <n v="2006050856.5"/>
    <n v="2487654748.3499999"/>
    <n v="2233506176.6100001"/>
    <n v="2152822769.48"/>
    <n v="2188044662.1799998"/>
    <n v="2307973009.1300001"/>
    <n v="2049400781"/>
    <n v="2022297463.53"/>
    <n v="2190113375"/>
    <n v="25857187883.59"/>
    <n v="2042812116.4100001"/>
    <n v="92.68"/>
    <n v="7.32"/>
  </r>
  <r>
    <x v="35"/>
    <x v="4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100000000"/>
    <n v="2100000000"/>
    <n v="150053546.55000001"/>
    <n v="131436169.8"/>
    <n v="165619152.25"/>
    <n v="141280324.78999999"/>
    <n v="171196914.97"/>
    <n v="151741919.28"/>
    <n v="165975619.03999999"/>
    <n v="177174446.06999999"/>
    <n v="142199757.53"/>
    <n v="136747975.74000001"/>
    <n v="175888050.15000001"/>
    <n v="237197292.34999999"/>
    <n v="1946511168.52"/>
    <n v="153488831.47999999"/>
    <n v="92.69"/>
    <n v="7.31"/>
  </r>
  <r>
    <x v="190"/>
    <x v="4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400000000"/>
    <n v="1400000000"/>
    <n v="85439795.099999994"/>
    <n v="127913429.65000001"/>
    <n v="137432091.80000001"/>
    <n v="108430580.03"/>
    <n v="103443705.93000001"/>
    <n v="161157373.40000001"/>
    <n v="97558075.379999995"/>
    <n v="147318634.05000001"/>
    <n v="78591693.829999998"/>
    <n v="102073490.04000001"/>
    <n v="122833403.56"/>
    <n v="153147884.49000001"/>
    <n v="1425340157.26"/>
    <n v="-25340157.260000002"/>
    <n v="101.81"/>
    <n v="-1.81"/>
  </r>
  <r>
    <x v="144"/>
    <x v="4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45000000"/>
    <n v="245000000"/>
    <n v="18398053.68"/>
    <n v="14051862.98"/>
    <n v="18613332.170000002"/>
    <n v="19093163.550000001"/>
    <n v="22518844.649999999"/>
    <n v="20072197.199999999"/>
    <n v="24144796.120000001"/>
    <n v="18664550.420000002"/>
    <n v="20611067.699999999"/>
    <n v="20707845.879999999"/>
    <n v="18578741.859999999"/>
    <n v="34080577.329999998"/>
    <n v="249535033.53999999"/>
    <n v="-4535033.54"/>
    <n v="101.85"/>
    <n v="-1.85"/>
  </r>
  <r>
    <x v="37"/>
    <x v="4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575000000"/>
    <n v="575000000"/>
    <n v="40433532.619999997"/>
    <n v="36818438.240000002"/>
    <n v="64480924"/>
    <n v="25740290"/>
    <n v="193567263.34"/>
    <n v="13496861.789999999"/>
    <n v="-162262524.65000001"/>
    <n v="32869002.84"/>
    <n v="14757085.210000001"/>
    <n v="9878975.7799999993"/>
    <n v="10104345.84"/>
    <n v="8401542.0600000005"/>
    <n v="288285737.06999999"/>
    <n v="286714262.93000001"/>
    <n v="50.14"/>
    <n v="49.86"/>
  </r>
  <r>
    <x v="145"/>
    <x v="4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19000000000"/>
    <n v="119000000000"/>
    <n v="7811277785.0799999"/>
    <n v="8869308282.5100002"/>
    <n v="9624095231.8199997"/>
    <n v="8154392655.75"/>
    <n v="10237225412.950001"/>
    <n v="10407536131.57"/>
    <n v="9629204309.5"/>
    <n v="11075152497.889999"/>
    <n v="11086527122.26"/>
    <n v="11622154276.190001"/>
    <n v="12961684395.219999"/>
    <n v="10876133643.549999"/>
    <n v="122354691744.28999"/>
    <n v="-3354691744.29"/>
    <n v="102.82"/>
    <n v="-2.82"/>
  </r>
  <r>
    <x v="40"/>
    <x v="4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1724480591.1500001"/>
    <n v="1697780329.45"/>
    <n v="2193095497.9899998"/>
    <n v="1651086470.75"/>
    <n v="2124684859.99"/>
    <n v="2047840155.23"/>
    <n v="1898945116.5599999"/>
    <n v="2360117525.6700001"/>
    <n v="2169727551.6199999"/>
    <n v="1956543760.01"/>
    <n v="2362131599.8099999"/>
    <n v="1969216084.54"/>
    <n v="24155649542.77"/>
    <n v="2844350457.23"/>
    <n v="89.47"/>
    <n v="10.53"/>
  </r>
  <r>
    <x v="41"/>
    <x v="4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4300000000"/>
    <n v="4300000000"/>
    <n v="295955671.56999999"/>
    <n v="276840513.89999998"/>
    <n v="321081829.85000002"/>
    <n v="279969631"/>
    <n v="350053906.39999998"/>
    <n v="354065257.41000003"/>
    <n v="305221195.99000001"/>
    <n v="275183115.19"/>
    <n v="334478689.94"/>
    <n v="368641370.07999998"/>
    <n v="347999947.26999998"/>
    <n v="317580192"/>
    <n v="3827071320.5999999"/>
    <n v="472928679.39999998"/>
    <n v="89"/>
    <n v="11"/>
  </r>
  <r>
    <x v="42"/>
    <x v="4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0000000"/>
    <n v="160000000"/>
    <n v="12627792"/>
    <n v="11916165"/>
    <n v="13869711"/>
    <n v="12051436.5"/>
    <n v="15086956.5"/>
    <n v="14901601.5"/>
    <n v="13088346"/>
    <n v="11876379"/>
    <n v="14282428.5"/>
    <n v="15471445.5"/>
    <n v="14687898"/>
    <n v="13493230.029999999"/>
    <n v="163353389.53"/>
    <n v="-3353389.53"/>
    <n v="102.1"/>
    <n v="-2.1"/>
  </r>
  <r>
    <x v="44"/>
    <x v="4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0750000000"/>
    <n v="30750000000"/>
    <n v="2427574291.8899999"/>
    <n v="2098165443.6800001"/>
    <n v="2811278234.1999998"/>
    <n v="2110343976"/>
    <n v="1766167711.3800001"/>
    <n v="1845265437.0899999"/>
    <n v="1977530908.8900001"/>
    <n v="2191479885.6500001"/>
    <n v="1436964305.1400001"/>
    <n v="1320350609.05"/>
    <n v="1962630045.1300001"/>
    <n v="1953887844.48"/>
    <n v="23901638692.580002"/>
    <n v="6848361307.4200001"/>
    <n v="77.73"/>
    <n v="22.27"/>
  </r>
  <r>
    <x v="45"/>
    <x v="4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655000383.00999999"/>
    <n v="543789877.66999996"/>
    <n v="484580527.61000001"/>
    <n v="165798444"/>
    <n v="635740559.88"/>
    <n v="573694438.27999997"/>
    <n v="471851093.89999998"/>
    <n v="389396448.87"/>
    <n v="557476921.24000001"/>
    <n v="469108355.72000003"/>
    <n v="440650489.18000001"/>
    <n v="524367534.36000001"/>
    <n v="5911455073.7200003"/>
    <n v="188544926.28"/>
    <n v="96.91"/>
    <n v="3.09"/>
  </r>
  <r>
    <x v="46"/>
    <x v="4"/>
    <x v="41"/>
    <n v="1"/>
    <x v="0"/>
    <n v="11"/>
    <x v="0"/>
    <n v="114"/>
    <x v="3"/>
    <n v="1143"/>
    <x v="13"/>
    <n v="114309"/>
    <x v="25"/>
    <n v="11430901"/>
    <x v="19"/>
    <n v="114309010"/>
    <x v="0"/>
    <n v="1143090100"/>
    <x v="0"/>
    <n v="1"/>
    <s v="Ingresos corrientes"/>
    <n v="0"/>
    <n v="7000000000"/>
    <n v="7000000000"/>
    <n v="170732575.93000001"/>
    <n v="483463024.07999998"/>
    <n v="468166871.83999997"/>
    <n v="738772080.76999998"/>
    <n v="513574708.57999998"/>
    <n v="648066027.30999994"/>
    <n v="499184545.19"/>
    <n v="441668907.31"/>
    <n v="116827723.70999999"/>
    <n v="460797162.38999999"/>
    <n v="471374059.89999998"/>
    <n v="949385058.52999997"/>
    <n v="5962012745.54"/>
    <n v="1037987254.46"/>
    <n v="85.17"/>
    <n v="14.83"/>
  </r>
  <r>
    <x v="146"/>
    <x v="4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660000000"/>
    <n v="660000000"/>
    <n v="44705653.549999997"/>
    <n v="58007652.869999997"/>
    <n v="67678434.450000003"/>
    <n v="50613391.350000001"/>
    <n v="80059358.590000004"/>
    <n v="70742295.129999995"/>
    <n v="64733222.549999997"/>
    <n v="74916504.620000005"/>
    <n v="82902004.969999999"/>
    <n v="72747929.390000001"/>
    <n v="73547010.310000002"/>
    <n v="45913271.520000003"/>
    <n v="786566729.29999995"/>
    <n v="-126566729.3"/>
    <n v="119.18"/>
    <n v="-19.18"/>
  </r>
  <r>
    <x v="47"/>
    <x v="4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700000000"/>
    <n v="3700000000"/>
    <n v="304937264.27999997"/>
    <n v="325032030.98000002"/>
    <n v="557869412.70000005"/>
    <n v="204550378.22999999"/>
    <n v="382187957.63999999"/>
    <n v="429176967.41000003"/>
    <n v="1648919465.3499999"/>
    <n v="380486308.49000001"/>
    <n v="425359919.23000002"/>
    <n v="480684185.41000003"/>
    <n v="309635129.18000001"/>
    <n v="665461131.34000003"/>
    <n v="6114300150.2399998"/>
    <n v="-2414300150.2399998"/>
    <n v="165.25"/>
    <n v="-65.25"/>
  </r>
  <r>
    <x v="147"/>
    <x v="4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10000000"/>
    <n v="110000000"/>
    <n v="8638236.8900000006"/>
    <n v="8998414.9900000002"/>
    <n v="11727.39"/>
    <n v="2864.29"/>
    <n v="2418486.25"/>
    <n v="20726685.260000002"/>
    <n v="6562.5"/>
    <n v="20906314.41"/>
    <n v="9333188.8599999994"/>
    <n v="9827025.8100000005"/>
    <n v="9776004.8699999992"/>
    <n v="9089938.3900000006"/>
    <n v="99735449.909999996"/>
    <n v="10264550.09"/>
    <n v="90.67"/>
    <n v="9.33"/>
  </r>
  <r>
    <x v="53"/>
    <x v="4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984577432.03"/>
    <n v="1387733635.1700001"/>
    <n v="1415617002.52"/>
    <n v="1821775461.6800001"/>
    <n v="1564745197.2"/>
    <n v="1534282887.3900001"/>
    <n v="1161088622"/>
    <n v="1525776914.3199999"/>
    <n v="1692466823.22"/>
    <n v="1650372586.49"/>
    <n v="1117793902.6800001"/>
    <n v="2166912922.5999999"/>
    <n v="19023143387.299999"/>
    <n v="2976856612.6999998"/>
    <n v="86.47"/>
    <n v="13.53"/>
  </r>
  <r>
    <x v="54"/>
    <x v="4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38500000000"/>
    <n v="38500000000"/>
    <n v="2868400900"/>
    <n v="2904457774.5999999"/>
    <n v="2904802070.0999999"/>
    <n v="3179781293.96"/>
    <n v="2982760717.3499999"/>
    <n v="3031309458.8499999"/>
    <n v="3100446169.3899999"/>
    <n v="3028905209.8000002"/>
    <n v="3312613264.3000002"/>
    <n v="3130772611.5"/>
    <n v="3139044618.75"/>
    <n v="3149374353"/>
    <n v="36732668441.599998"/>
    <n v="1767331558.4000001"/>
    <n v="95.41"/>
    <n v="4.59"/>
  </r>
  <r>
    <x v="55"/>
    <x v="4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200000000"/>
    <n v="12200000000"/>
    <n v="883154070.38"/>
    <n v="825961959.92999995"/>
    <n v="860222131.53999996"/>
    <n v="853446973.16999996"/>
    <n v="847100662.5"/>
    <n v="844463534.26999998"/>
    <n v="1280963735.3900001"/>
    <n v="871359184.25"/>
    <n v="964490275.92999995"/>
    <n v="937062446.79999995"/>
    <n v="916356972.19000006"/>
    <n v="929790652.54999995"/>
    <n v="11014372598.9"/>
    <n v="1185627401.0999999"/>
    <n v="90.28"/>
    <n v="9.7200000000000006"/>
  </r>
  <r>
    <x v="56"/>
    <x v="4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90000000"/>
    <n v="90000000"/>
    <n v="0"/>
    <n v="1283234.97"/>
    <n v="1587806.42"/>
    <n v="1521076.75"/>
    <n v="748443.96"/>
    <n v="1395635.26"/>
    <n v="1257715.8500000001"/>
    <n v="993758.3"/>
    <n v="1476070.39"/>
    <n v="3258580"/>
    <n v="-1137316.43"/>
    <n v="800427.01"/>
    <n v="13185432.48"/>
    <n v="76814567.519999996"/>
    <n v="14.65"/>
    <n v="85.35"/>
  </r>
  <r>
    <x v="191"/>
    <x v="4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600000"/>
    <n v="600000"/>
    <n v="57417.120000000003"/>
    <n v="53330.94"/>
    <n v="62285.19"/>
    <n v="96460"/>
    <n v="58074.76"/>
    <n v="85611.67"/>
    <n v="22812.2"/>
    <n v="12479.48"/>
    <n v="94108.6"/>
    <n v="23240.82"/>
    <n v="138003.63"/>
    <n v="168994.17"/>
    <n v="872818.58"/>
    <n v="-272818.58"/>
    <n v="145.47"/>
    <n v="-45.47"/>
  </r>
  <r>
    <x v="58"/>
    <x v="4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8000000"/>
    <n v="8000000"/>
    <n v="1575000"/>
    <n v="401500"/>
    <n v="401500"/>
    <n v="401500"/>
    <n v="280000"/>
    <n v="280000"/>
    <n v="280000"/>
    <n v="180000"/>
    <n v="787500"/>
    <n v="1066256"/>
    <n v="301500"/>
    <n v="574500"/>
    <n v="6529256"/>
    <n v="1470744"/>
    <n v="81.62"/>
    <n v="18.38"/>
  </r>
  <r>
    <x v="192"/>
    <x v="4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22100000"/>
    <n v="22100000"/>
    <n v="0"/>
    <n v="0"/>
    <n v="0"/>
    <n v="0"/>
    <n v="0"/>
    <n v="8170854"/>
    <n v="0"/>
    <n v="0"/>
    <n v="0"/>
    <n v="0"/>
    <n v="0"/>
    <n v="0"/>
    <n v="8170854"/>
    <n v="13929146"/>
    <n v="36.97"/>
    <n v="63.03"/>
  </r>
  <r>
    <x v="59"/>
    <x v="4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8000000"/>
    <n v="48000000"/>
    <n v="1388240.08"/>
    <n v="2255853.2999999998"/>
    <n v="8856568.9499999993"/>
    <n v="2037113.5"/>
    <n v="2853347.44"/>
    <n v="2055772.7"/>
    <n v="1756720.48"/>
    <n v="3533110.19"/>
    <n v="3734158.82"/>
    <n v="6141469.1200000001"/>
    <n v="3100578.86"/>
    <n v="1690624.81"/>
    <n v="39403558.25"/>
    <n v="8596441.75"/>
    <n v="82.09"/>
    <n v="17.91"/>
  </r>
  <r>
    <x v="193"/>
    <x v="4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220000000"/>
    <n v="220000000"/>
    <n v="100730"/>
    <n v="15359142.800000001"/>
    <n v="13995115.220000001"/>
    <n v="31361262.09"/>
    <n v="14018836.77"/>
    <n v="46707574.030000001"/>
    <n v="19198908.73"/>
    <n v="-5349073.7699999996"/>
    <n v="30681580.09"/>
    <n v="27488129.239999998"/>
    <n v="33945324.049999997"/>
    <n v="20362638.890000001"/>
    <n v="247870168.13999999"/>
    <n v="-27870168.140000001"/>
    <n v="112.67"/>
    <n v="-12.67"/>
  </r>
  <r>
    <x v="60"/>
    <x v="4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000000000"/>
    <n v="3000000000"/>
    <n v="146077421.66999999"/>
    <n v="137933948.88999999"/>
    <n v="415356638.22000003"/>
    <n v="210268311.53999999"/>
    <n v="156534652.50999999"/>
    <n v="203585728.28"/>
    <n v="307996922.35000002"/>
    <n v="244592159.62"/>
    <n v="276174430.88999999"/>
    <n v="270217867.60000002"/>
    <n v="309537480.81999999"/>
    <n v="1055370996.99"/>
    <n v="3733646559.3800001"/>
    <n v="-733646559.38"/>
    <n v="124.45"/>
    <n v="-24.45"/>
  </r>
  <r>
    <x v="61"/>
    <x v="4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2000000"/>
    <n v="2000000"/>
    <n v="0"/>
    <n v="905453.75"/>
    <n v="567906.24"/>
    <n v="2377365.25"/>
    <n v="3696262.04"/>
    <n v="1582657.48"/>
    <n v="4891629.37"/>
    <n v="3847363.25"/>
    <n v="2748007.61"/>
    <n v="2000000"/>
    <n v="2948031.95"/>
    <n v="696347.86"/>
    <n v="26261024.800000001"/>
    <n v="-24261024.800000001"/>
    <n v="1313.05"/>
    <n v="-1213.05"/>
  </r>
  <r>
    <x v="62"/>
    <x v="4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477000000"/>
    <n v="477000000"/>
    <n v="29584.41"/>
    <n v="264580278.56999999"/>
    <n v="215189158.49000001"/>
    <n v="238625588.91"/>
    <n v="196531155.52000001"/>
    <n v="253591956.38"/>
    <n v="235871098.94999999"/>
    <n v="229867709.28999999"/>
    <n v="167222967.13"/>
    <n v="9555"/>
    <n v="19700"/>
    <n v="19315"/>
    <n v="1801558067.6500001"/>
    <n v="-1324558067.6500001"/>
    <n v="377.69"/>
    <n v="-277.69"/>
  </r>
  <r>
    <x v="63"/>
    <x v="4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64200000"/>
    <n v="3164200000"/>
    <n v="952007447.04999995"/>
    <n v="-679088592.50999999"/>
    <n v="52698713.890000001"/>
    <n v="31900435.34"/>
    <n v="32693096.149999999"/>
    <n v="20591455.300000001"/>
    <n v="14768763.949999999"/>
    <n v="18289362.960000001"/>
    <n v="16710304.609999999"/>
    <n v="8877093.0999999996"/>
    <n v="92047438.159999996"/>
    <n v="2625335222.73"/>
    <n v="3186830740.73"/>
    <n v="-22630740.73"/>
    <n v="100.72"/>
    <n v="-0.72"/>
  </r>
  <r>
    <x v="64"/>
    <x v="4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4947882.16"/>
    <n v="3737710.68"/>
    <n v="4366055.29"/>
    <n v="3587905.38"/>
    <n v="4000385.68"/>
    <n v="4276265.0199999996"/>
    <n v="2701577.36"/>
    <n v="4360378.9800000004"/>
    <n v="4420025.42"/>
    <n v="3408383.14"/>
    <n v="4500863.5199999996"/>
    <n v="4042238.36"/>
    <n v="48349670.990000002"/>
    <n v="1650329.01"/>
    <n v="96.7"/>
    <n v="3.3"/>
  </r>
  <r>
    <x v="65"/>
    <x v="4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72670"/>
    <n v="164502"/>
    <n v="77670"/>
    <n v="144146"/>
    <n v="182436"/>
    <n v="83950"/>
    <n v="136010"/>
    <n v="78156"/>
    <n v="125016"/>
    <n v="135356"/>
    <n v="98291"/>
    <n v="108640"/>
    <n v="1406843"/>
    <n v="2593157"/>
    <n v="35.17"/>
    <n v="64.83"/>
  </r>
  <r>
    <x v="66"/>
    <x v="4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5000000"/>
    <n v="125000000"/>
    <n v="8983034.9900000002"/>
    <n v="8581020.3000000007"/>
    <n v="9039534.5"/>
    <n v="8738177.9000000004"/>
    <n v="8639193"/>
    <n v="7645115.5"/>
    <n v="7006799.0999999996"/>
    <n v="7607324"/>
    <n v="7820744.5999999996"/>
    <n v="7582614.5"/>
    <n v="8325315.3099999996"/>
    <n v="8746519.1500000004"/>
    <n v="98715392.849999994"/>
    <n v="26284607.149999999"/>
    <n v="78.97"/>
    <n v="21.03"/>
  </r>
  <r>
    <x v="67"/>
    <x v="4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37000000"/>
    <n v="37000000"/>
    <n v="3635150.5"/>
    <n v="2505001"/>
    <n v="4946393.5"/>
    <n v="1526292"/>
    <n v="1164240"/>
    <n v="3384370"/>
    <n v="3573928"/>
    <n v="3129217.7"/>
    <n v="2014844"/>
    <n v="2993584.84"/>
    <n v="3793600"/>
    <n v="5517654"/>
    <n v="38184275.539999999"/>
    <n v="-1184275.54"/>
    <n v="103.2"/>
    <n v="-3.2"/>
  </r>
  <r>
    <x v="148"/>
    <x v="4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7500000"/>
    <n v="27500000"/>
    <n v="1734000"/>
    <n v="1588426.58"/>
    <n v="3250000"/>
    <n v="1728000"/>
    <n v="1625000"/>
    <n v="1072578"/>
    <n v="2229000"/>
    <n v="2493000"/>
    <n v="1691000"/>
    <n v="1830000"/>
    <n v="1578000"/>
    <n v="1122000"/>
    <n v="21941004.579999998"/>
    <n v="5558995.4199999999"/>
    <n v="79.790000000000006"/>
    <n v="20.21"/>
  </r>
  <r>
    <x v="149"/>
    <x v="4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55000000"/>
    <n v="55000000"/>
    <n v="2989665.11"/>
    <n v="13583000"/>
    <n v="11282914.01"/>
    <n v="86196.18"/>
    <n v="649404.43000000005"/>
    <n v="410000"/>
    <n v="1958011.46"/>
    <n v="0"/>
    <n v="0"/>
    <n v="4500"/>
    <n v="240000"/>
    <n v="0"/>
    <n v="31203691.190000001"/>
    <n v="23796308.809999999"/>
    <n v="56.73"/>
    <n v="43.27"/>
  </r>
  <r>
    <x v="226"/>
    <x v="4"/>
    <x v="195"/>
    <n v="1"/>
    <x v="0"/>
    <n v="13"/>
    <x v="2"/>
    <n v="132"/>
    <x v="7"/>
    <n v="1323"/>
    <x v="22"/>
    <n v="132302"/>
    <x v="69"/>
    <n v="13230205"/>
    <x v="91"/>
    <n v="132302051"/>
    <x v="30"/>
    <n v="1323020510"/>
    <x v="0"/>
    <n v="1"/>
    <s v="Ingresos corrientes"/>
    <n v="0"/>
    <n v="6400000"/>
    <n v="6400000"/>
    <n v="0"/>
    <n v="0"/>
    <n v="0"/>
    <n v="2225372.2200000002"/>
    <n v="0"/>
    <n v="1686808.35"/>
    <n v="0"/>
    <n v="0"/>
    <n v="1150063.44"/>
    <n v="0"/>
    <n v="0"/>
    <n v="564601.51"/>
    <n v="5626845.5199999996"/>
    <n v="773154.48"/>
    <n v="87.92"/>
    <n v="12.08"/>
  </r>
  <r>
    <x v="227"/>
    <x v="4"/>
    <x v="196"/>
    <n v="1"/>
    <x v="0"/>
    <n v="13"/>
    <x v="2"/>
    <n v="132"/>
    <x v="7"/>
    <n v="1323"/>
    <x v="22"/>
    <n v="132302"/>
    <x v="69"/>
    <n v="13230206"/>
    <x v="92"/>
    <n v="132302061"/>
    <x v="31"/>
    <n v="1323020610"/>
    <x v="0"/>
    <n v="1"/>
    <s v="Ingresos corrientes"/>
    <n v="0"/>
    <n v="700000"/>
    <n v="700000"/>
    <n v="0"/>
    <n v="0"/>
    <n v="0"/>
    <n v="0"/>
    <n v="655939.56000000006"/>
    <n v="0"/>
    <n v="0"/>
    <n v="0"/>
    <n v="0"/>
    <n v="0"/>
    <n v="0"/>
    <n v="0"/>
    <n v="655939.56000000006"/>
    <n v="44060.44"/>
    <n v="93.71"/>
    <n v="6.29"/>
  </r>
  <r>
    <x v="150"/>
    <x v="4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85000000"/>
    <n v="285000000"/>
    <n v="9076564.1199999992"/>
    <n v="20533602.34"/>
    <n v="29416153.420000002"/>
    <n v="21564388.920000002"/>
    <n v="8541299.8599999994"/>
    <n v="14919535.82"/>
    <n v="18593558.93"/>
    <n v="8964658.6300000008"/>
    <n v="31154086.57"/>
    <n v="13716065.300000001"/>
    <n v="24388746.57"/>
    <n v="-70176129.299999997"/>
    <n v="130692531.18000001"/>
    <n v="154307468.81999999"/>
    <n v="45.86"/>
    <n v="54.14"/>
  </r>
  <r>
    <x v="194"/>
    <x v="4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550000000"/>
    <n v="1550000000"/>
    <n v="0"/>
    <n v="306769986.07999998"/>
    <n v="0"/>
    <n v="1200"/>
    <n v="0"/>
    <n v="0"/>
    <n v="1592353379"/>
    <n v="0"/>
    <n v="0"/>
    <n v="0"/>
    <n v="0"/>
    <n v="864651572.61000001"/>
    <n v="2763776137.6900001"/>
    <n v="-1213776137.6900001"/>
    <n v="178.31"/>
    <n v="-78.31"/>
  </r>
  <r>
    <x v="151"/>
    <x v="4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00000000"/>
    <n v="200000000"/>
    <n v="1389"/>
    <n v="33725"/>
    <n v="0"/>
    <n v="0"/>
    <n v="0"/>
    <n v="0"/>
    <n v="0"/>
    <n v="0"/>
    <n v="0"/>
    <n v="0"/>
    <n v="38913"/>
    <n v="50185"/>
    <n v="124212"/>
    <n v="199875788"/>
    <n v="0.06"/>
    <n v="99.94"/>
  </r>
  <r>
    <x v="152"/>
    <x v="4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600000000"/>
    <n v="600000000"/>
    <n v="10738036.52"/>
    <n v="25765055.25"/>
    <n v="41997612.869999997"/>
    <n v="21459102.550000001"/>
    <n v="25777180.010000002"/>
    <n v="19101168.84"/>
    <n v="16874345.359999999"/>
    <n v="23952122.300000001"/>
    <n v="11862019.23"/>
    <n v="16031210.84"/>
    <n v="21900464.719999999"/>
    <n v="21771767.350000001"/>
    <n v="257230085.84"/>
    <n v="342769914.16000003"/>
    <n v="42.87"/>
    <n v="57.13"/>
  </r>
  <r>
    <x v="74"/>
    <x v="4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4500000000"/>
    <n v="4500000000"/>
    <n v="251441282"/>
    <n v="483752653"/>
    <n v="540758424.85000002"/>
    <n v="345900506"/>
    <n v="377030741"/>
    <n v="610132765"/>
    <n v="640507939"/>
    <n v="481503354"/>
    <n v="434818043"/>
    <n v="779643465"/>
    <n v="560125213"/>
    <n v="678733997"/>
    <n v="6184348382.8500004"/>
    <n v="-1684348382.8499999"/>
    <n v="137.43"/>
    <n v="-37.43"/>
  </r>
  <r>
    <x v="153"/>
    <x v="4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0000000"/>
    <n v="60000000"/>
    <n v="29438395.129999999"/>
    <n v="363762.35"/>
    <n v="4498586.91"/>
    <n v="1572044.68"/>
    <n v="1501261.45"/>
    <n v="1672614.52"/>
    <n v="4077449.87"/>
    <n v="1465620.8"/>
    <n v="0"/>
    <n v="1604041.56"/>
    <n v="14023412.16"/>
    <n v="2550000"/>
    <n v="62767189.43"/>
    <n v="-2767189.43"/>
    <n v="104.61"/>
    <n v="-4.6100000000000003"/>
  </r>
  <r>
    <x v="154"/>
    <x v="4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43000000"/>
    <n v="43000000"/>
    <n v="2871000"/>
    <n v="2871000"/>
    <n v="2871000"/>
    <n v="0"/>
    <n v="1100"/>
    <n v="1500000"/>
    <n v="0"/>
    <n v="1000000"/>
    <n v="49312000"/>
    <n v="0"/>
    <n v="37920000"/>
    <n v="0"/>
    <n v="98346100"/>
    <n v="-55346100"/>
    <n v="228.71"/>
    <n v="-128.71"/>
  </r>
  <r>
    <x v="155"/>
    <x v="4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000000"/>
    <n v="82000000"/>
    <n v="11445000"/>
    <n v="3771500"/>
    <n v="4090500"/>
    <n v="0"/>
    <n v="0"/>
    <n v="8164000"/>
    <n v="6785500"/>
    <n v="952500"/>
    <n v="7452500"/>
    <n v="4895500"/>
    <n v="2636500"/>
    <n v="5168000"/>
    <n v="55361500"/>
    <n v="26638500"/>
    <n v="67.510000000000005"/>
    <n v="32.49"/>
  </r>
  <r>
    <x v="156"/>
    <x v="4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300000"/>
    <n v="6300000"/>
    <n v="1499376.61"/>
    <n v="3653181.19"/>
    <n v="9293895.0500000007"/>
    <n v="445180.47"/>
    <n v="732057.11"/>
    <n v="99065.3"/>
    <n v="3021151.48"/>
    <n v="6918447.0999999996"/>
    <n v="29278239.5"/>
    <n v="18414471.52"/>
    <n v="86387327.109999999"/>
    <n v="32471253.899999999"/>
    <n v="192213646.34"/>
    <n v="-185913646.34"/>
    <n v="3051.01"/>
    <n v="-2951.01"/>
  </r>
  <r>
    <x v="195"/>
    <x v="4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80400000"/>
    <n v="80400000"/>
    <n v="544782.88"/>
    <n v="1309268.7"/>
    <n v="954497.4"/>
    <n v="2790271.93"/>
    <n v="36872389.689999998"/>
    <n v="590982.68999999994"/>
    <n v="1408265.76"/>
    <n v="18393665.719999999"/>
    <n v="709711.15"/>
    <n v="1600041.12"/>
    <n v="3368251.3"/>
    <n v="1646040.7"/>
    <n v="70188169.040000007"/>
    <n v="10211830.960000001"/>
    <n v="87.3"/>
    <n v="12.7"/>
  </r>
  <r>
    <x v="80"/>
    <x v="4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70000000"/>
    <n v="70000000"/>
    <n v="10500469.09"/>
    <n v="3470000"/>
    <n v="20909998.379999999"/>
    <n v="5101607"/>
    <n v="7267765.1799999997"/>
    <n v="17327181.850000001"/>
    <n v="6227038.2300000004"/>
    <n v="10792542.130000001"/>
    <n v="16285587.619999999"/>
    <n v="12236340"/>
    <n v="2407919.2599999998"/>
    <n v="6562561.6100000003"/>
    <n v="119089010.34999999"/>
    <n v="-49089010.350000001"/>
    <n v="170.13"/>
    <n v="-70.13"/>
  </r>
  <r>
    <x v="157"/>
    <x v="4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900000000"/>
    <n v="900000000"/>
    <n v="372798324.98000002"/>
    <n v="136460532.78"/>
    <n v="167474151.28999999"/>
    <n v="71032656.859999999"/>
    <n v="79209910.879999995"/>
    <n v="277336711.77999997"/>
    <n v="588214591.25999999"/>
    <n v="134730939.28"/>
    <n v="168371558.53"/>
    <n v="80696047.480000004"/>
    <n v="290528135.19999999"/>
    <n v="-138945702.84"/>
    <n v="2227907857.48"/>
    <n v="-1327907857.48"/>
    <n v="247.55"/>
    <n v="-147.55000000000001"/>
  </r>
  <r>
    <x v="158"/>
    <x v="4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385000000"/>
    <n v="1385000000"/>
    <n v="84299631.510000005"/>
    <n v="82307557.120000005"/>
    <n v="153195280.13"/>
    <n v="60811541.369999997"/>
    <n v="219150993.55000001"/>
    <n v="129897399.75"/>
    <n v="98612349.540000007"/>
    <n v="86888044.590000004"/>
    <n v="94818797.909999996"/>
    <n v="88686222.349999994"/>
    <n v="69385763.540000007"/>
    <n v="43680705.479999997"/>
    <n v="1211734286.8399999"/>
    <n v="173265713.16"/>
    <n v="87.49"/>
    <n v="12.51"/>
  </r>
  <r>
    <x v="159"/>
    <x v="4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4376920786"/>
    <n v="0"/>
    <n v="6802706711"/>
    <n v="0"/>
    <n v="4285960990"/>
    <n v="4943310492"/>
    <n v="20408898979"/>
    <n v="1633701021"/>
    <n v="92.59"/>
    <n v="7.41"/>
  </r>
  <r>
    <x v="160"/>
    <x v="4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000000000"/>
    <n v="2000000000"/>
    <n v="0"/>
    <n v="0"/>
    <n v="0"/>
    <n v="0"/>
    <n v="257760000"/>
    <n v="0"/>
    <n v="0"/>
    <n v="623800000"/>
    <n v="0"/>
    <n v="0"/>
    <n v="308360000"/>
    <n v="727280000"/>
    <n v="1917200000"/>
    <n v="82800000"/>
    <n v="95.86"/>
    <n v="4.1399999999999997"/>
  </r>
  <r>
    <x v="196"/>
    <x v="4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463830000"/>
    <n v="0"/>
    <n v="0"/>
    <n v="492000000"/>
    <n v="0"/>
    <n v="0"/>
    <n v="43000000"/>
    <n v="0"/>
    <n v="998830000"/>
    <n v="501170000"/>
    <n v="66.59"/>
    <n v="33.409999999999997"/>
  </r>
  <r>
    <x v="208"/>
    <x v="4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100000"/>
    <n v="56296100000"/>
    <n v="0"/>
    <n v="0"/>
    <n v="0"/>
    <n v="0"/>
    <n v="14077000000"/>
    <n v="5000000000"/>
    <n v="0"/>
    <n v="15000000000"/>
    <n v="0"/>
    <n v="5000000000"/>
    <n v="10000000000"/>
    <n v="7219100000"/>
    <n v="56296100000"/>
    <n v="0"/>
    <n v="100"/>
    <n v="0"/>
  </r>
  <r>
    <x v="209"/>
    <x v="4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200000"/>
    <n v="18550200000"/>
    <n v="0"/>
    <n v="0"/>
    <n v="2518481942"/>
    <n v="0"/>
    <n v="7842407077"/>
    <n v="4490913456"/>
    <n v="0"/>
    <n v="0"/>
    <n v="0"/>
    <n v="0"/>
    <n v="3024151699.7399998"/>
    <n v="-305920000"/>
    <n v="17570034174.740002"/>
    <n v="980165825.25999999"/>
    <n v="94.72"/>
    <n v="5.28"/>
  </r>
  <r>
    <x v="210"/>
    <x v="4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60000000000"/>
    <n v="60000000000"/>
    <n v="0"/>
    <n v="0"/>
    <n v="11519077275"/>
    <n v="0"/>
    <n v="10192369090"/>
    <n v="5096184545"/>
    <n v="5096184545"/>
    <n v="0"/>
    <n v="10192369090"/>
    <n v="0"/>
    <n v="7307630908"/>
    <n v="1096184545"/>
    <n v="50499999998"/>
    <n v="9500000002"/>
    <n v="84.17"/>
    <n v="15.83"/>
  </r>
  <r>
    <x v="211"/>
    <x v="4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0"/>
    <n v="0"/>
    <n v="2099999999"/>
    <n v="533333333.32999998"/>
    <n v="0"/>
    <n v="1066666665.67"/>
    <n v="0"/>
    <n v="533333333"/>
    <n v="1066666666"/>
    <n v="1040000003"/>
    <n v="6340000000"/>
    <n v="60000000"/>
    <n v="99.06"/>
    <n v="0.94"/>
  </r>
  <r>
    <x v="212"/>
    <x v="4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1891600000"/>
    <n v="1891600000"/>
    <n v="0"/>
    <n v="0"/>
    <n v="0"/>
    <n v="0"/>
    <n v="0"/>
    <n v="411812938"/>
    <n v="59462776"/>
    <n v="59465246"/>
    <n v="0"/>
    <n v="68577351"/>
    <n v="169486447"/>
    <n v="155323947"/>
    <n v="924128705"/>
    <n v="967471295"/>
    <n v="48.85"/>
    <n v="51.15"/>
  </r>
  <r>
    <x v="92"/>
    <x v="4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287600000"/>
    <n v="4287600000"/>
    <n v="0"/>
    <n v="0"/>
    <n v="0"/>
    <n v="279143522.17000002"/>
    <n v="1094762514.7"/>
    <n v="295622263.61000001"/>
    <n v="291720742.83999997"/>
    <n v="0"/>
    <n v="595392572.74000001"/>
    <n v="297555125.95999998"/>
    <n v="561936674.13"/>
    <n v="857520243.35000002"/>
    <n v="4273653659.5"/>
    <n v="13946340.5"/>
    <n v="99.67"/>
    <n v="0.33"/>
  </r>
  <r>
    <x v="217"/>
    <x v="4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503500000"/>
    <n v="503500000"/>
    <n v="0"/>
    <n v="0"/>
    <n v="0"/>
    <n v="0"/>
    <n v="0"/>
    <n v="0"/>
    <n v="0"/>
    <n v="0"/>
    <n v="0"/>
    <n v="0"/>
    <n v="0"/>
    <n v="503455584.52999997"/>
    <n v="503455584.52999997"/>
    <n v="44415.47"/>
    <n v="99.99"/>
    <n v="0.01"/>
  </r>
  <r>
    <x v="94"/>
    <x v="4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2400000"/>
    <n v="2400000"/>
    <n v="0"/>
    <n v="0"/>
    <n v="0"/>
    <n v="0"/>
    <n v="0"/>
    <n v="0"/>
    <n v="2400000"/>
    <n v="0"/>
    <n v="0"/>
    <n v="0"/>
    <n v="0"/>
    <n v="0"/>
    <n v="2400000"/>
    <n v="0"/>
    <n v="100"/>
    <n v="0"/>
  </r>
  <r>
    <x v="164"/>
    <x v="4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0"/>
    <n v="0"/>
    <n v="0"/>
    <n v="0"/>
    <n v="0"/>
    <n v="600000"/>
    <n v="0"/>
    <n v="100"/>
  </r>
  <r>
    <x v="95"/>
    <x v="4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6000000"/>
    <n v="16000000"/>
    <n v="0"/>
    <n v="0"/>
    <n v="0"/>
    <n v="0"/>
    <n v="0"/>
    <n v="0"/>
    <n v="3821536.71"/>
    <n v="0"/>
    <n v="0"/>
    <n v="0"/>
    <n v="0"/>
    <n v="0"/>
    <n v="3821536.71"/>
    <n v="12178463.289999999"/>
    <n v="23.88"/>
    <n v="76.12"/>
  </r>
  <r>
    <x v="96"/>
    <x v="4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800000"/>
    <n v="3800000"/>
    <n v="3800000"/>
    <n v="0"/>
    <n v="0"/>
    <n v="0"/>
    <n v="0"/>
    <n v="0"/>
    <n v="0"/>
    <n v="0"/>
    <n v="0"/>
    <n v="0"/>
    <n v="0"/>
    <n v="0"/>
    <n v="3800000"/>
    <n v="0"/>
    <n v="100"/>
    <n v="0"/>
  </r>
  <r>
    <x v="97"/>
    <x v="4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8700000"/>
    <n v="8700000"/>
    <n v="0"/>
    <n v="0"/>
    <n v="8700000"/>
    <n v="0"/>
    <n v="0"/>
    <n v="0"/>
    <n v="0"/>
    <n v="0"/>
    <n v="0"/>
    <n v="0"/>
    <n v="0"/>
    <n v="0"/>
    <n v="8700000"/>
    <n v="0"/>
    <n v="100"/>
    <n v="0"/>
  </r>
  <r>
    <x v="165"/>
    <x v="4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200000"/>
    <n v="10200000"/>
    <n v="0"/>
    <n v="10200000"/>
    <n v="0"/>
    <n v="0"/>
    <n v="0"/>
    <n v="0"/>
    <n v="0"/>
    <n v="0"/>
    <n v="0"/>
    <n v="0"/>
    <n v="0"/>
    <n v="0"/>
    <n v="10200000"/>
    <n v="0"/>
    <n v="100"/>
    <n v="0"/>
  </r>
  <r>
    <x v="197"/>
    <x v="4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700000"/>
    <n v="18700000"/>
    <n v="0"/>
    <n v="18700000"/>
    <n v="0"/>
    <n v="0"/>
    <n v="0"/>
    <n v="0"/>
    <n v="0"/>
    <n v="0"/>
    <n v="0"/>
    <n v="0"/>
    <n v="0"/>
    <n v="0"/>
    <n v="18700000"/>
    <n v="0"/>
    <n v="100"/>
    <n v="0"/>
  </r>
  <r>
    <x v="166"/>
    <x v="4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3046496.75"/>
    <n v="2353503.25"/>
    <n v="5400000"/>
    <n v="0"/>
    <n v="100"/>
    <n v="0"/>
  </r>
  <r>
    <x v="99"/>
    <x v="4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6800000"/>
    <n v="16800000"/>
    <n v="0"/>
    <n v="0"/>
    <n v="0"/>
    <n v="0"/>
    <n v="0"/>
    <n v="0"/>
    <n v="0"/>
    <n v="0"/>
    <n v="0"/>
    <n v="0"/>
    <n v="0"/>
    <n v="16800000"/>
    <n v="16800000"/>
    <n v="0"/>
    <n v="100"/>
    <n v="0"/>
  </r>
  <r>
    <x v="100"/>
    <x v="4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0"/>
    <n v="0"/>
    <n v="0"/>
    <n v="0"/>
    <n v="0"/>
    <n v="0"/>
    <n v="0"/>
    <n v="0"/>
    <n v="4400000"/>
    <n v="4400000"/>
    <n v="0"/>
    <n v="100"/>
    <n v="0"/>
  </r>
  <r>
    <x v="101"/>
    <x v="4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2700000"/>
    <n v="52700000"/>
    <n v="0"/>
    <n v="52700000"/>
    <n v="0"/>
    <n v="0"/>
    <n v="0"/>
    <n v="0"/>
    <n v="0"/>
    <n v="0"/>
    <n v="0"/>
    <n v="0"/>
    <n v="0"/>
    <n v="0"/>
    <n v="52700000"/>
    <n v="0"/>
    <n v="100"/>
    <n v="0"/>
  </r>
  <r>
    <x v="102"/>
    <x v="4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4500000"/>
    <n v="4500000"/>
    <n v="0"/>
    <n v="0"/>
    <n v="0"/>
    <n v="0"/>
    <n v="0"/>
    <n v="2250000"/>
    <n v="0"/>
    <n v="0"/>
    <n v="0"/>
    <n v="0"/>
    <n v="0"/>
    <n v="0"/>
    <n v="2250000"/>
    <n v="2250000"/>
    <n v="50"/>
    <n v="50"/>
  </r>
  <r>
    <x v="105"/>
    <x v="4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649200000"/>
    <n v="3649200000"/>
    <n v="0"/>
    <n v="0"/>
    <n v="0"/>
    <n v="0"/>
    <n v="3649200000"/>
    <n v="0"/>
    <n v="0"/>
    <n v="0"/>
    <n v="0"/>
    <n v="0"/>
    <n v="0"/>
    <n v="0"/>
    <n v="3649200000"/>
    <n v="0"/>
    <n v="100"/>
    <n v="0"/>
  </r>
  <r>
    <x v="167"/>
    <x v="4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06000000"/>
    <n v="306000000"/>
    <n v="0"/>
    <n v="0"/>
    <n v="0"/>
    <n v="0"/>
    <n v="76510040"/>
    <n v="51006693.340000004"/>
    <n v="141019105"/>
    <n v="51006693.340000004"/>
    <n v="0"/>
    <n v="25503346.670000002"/>
    <n v="51006693.340000004"/>
    <n v="51006693.340000004"/>
    <n v="447059265.02999997"/>
    <n v="-141059265.03"/>
    <n v="146.1"/>
    <n v="-46.1"/>
  </r>
  <r>
    <x v="106"/>
    <x v="4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40000000"/>
    <n v="340000000"/>
    <n v="15221039.130000001"/>
    <n v="26593394.780000001"/>
    <n v="9863407.6099999994"/>
    <n v="25156595.210000001"/>
    <n v="36089114.490000002"/>
    <n v="27451380.949999999"/>
    <n v="27385694.25"/>
    <n v="10848103.439999999"/>
    <n v="28655783.079999998"/>
    <n v="33518494.379999999"/>
    <n v="29711109.800000001"/>
    <n v="83397977.420000002"/>
    <n v="353892094.54000002"/>
    <n v="-13892094.539999999"/>
    <n v="104.09"/>
    <n v="-4.09"/>
  </r>
  <r>
    <x v="107"/>
    <x v="4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5200000"/>
    <n v="45200000"/>
    <n v="0"/>
    <n v="40000000"/>
    <n v="0"/>
    <n v="0"/>
    <n v="0"/>
    <n v="5200000"/>
    <n v="0"/>
    <n v="0"/>
    <n v="0"/>
    <n v="0"/>
    <n v="0"/>
    <n v="0"/>
    <n v="45200000"/>
    <n v="0"/>
    <n v="100"/>
    <n v="0"/>
  </r>
  <r>
    <x v="108"/>
    <x v="4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26600000"/>
    <n v="126600000"/>
    <n v="0"/>
    <n v="0"/>
    <n v="126600000"/>
    <n v="0"/>
    <n v="0"/>
    <n v="0"/>
    <n v="0"/>
    <n v="0"/>
    <n v="0"/>
    <n v="0"/>
    <n v="0"/>
    <n v="0"/>
    <n v="126600000"/>
    <n v="0"/>
    <n v="100"/>
    <n v="0"/>
  </r>
  <r>
    <x v="109"/>
    <x v="4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0000000"/>
    <n v="10000000"/>
    <n v="0"/>
    <n v="0"/>
    <n v="10000000"/>
    <n v="0"/>
    <n v="0"/>
    <n v="0"/>
    <n v="0"/>
    <n v="0"/>
    <n v="0"/>
    <n v="0"/>
    <n v="0"/>
    <n v="0"/>
    <n v="10000000"/>
    <n v="0"/>
    <n v="100"/>
    <n v="0"/>
  </r>
  <r>
    <x v="110"/>
    <x v="4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3500000"/>
    <n v="13500000"/>
    <n v="0"/>
    <n v="0"/>
    <n v="0"/>
    <n v="0"/>
    <n v="0"/>
    <n v="0"/>
    <n v="0"/>
    <n v="0"/>
    <n v="0"/>
    <n v="0"/>
    <n v="0"/>
    <n v="0"/>
    <n v="0"/>
    <n v="13500000"/>
    <n v="0"/>
    <n v="100"/>
  </r>
  <r>
    <x v="111"/>
    <x v="4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4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3300000"/>
    <n v="3300000"/>
    <n v="0"/>
    <n v="0"/>
    <n v="0"/>
    <n v="0"/>
    <n v="0"/>
    <n v="0"/>
    <n v="0"/>
    <n v="0"/>
    <n v="0"/>
    <n v="0"/>
    <n v="0"/>
    <n v="0"/>
    <n v="0"/>
    <n v="3300000"/>
    <n v="0"/>
    <n v="100"/>
  </r>
  <r>
    <x v="168"/>
    <x v="4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350900000"/>
    <n v="350900000"/>
    <n v="0"/>
    <n v="503835731.88999999"/>
    <n v="0"/>
    <n v="0"/>
    <n v="0"/>
    <n v="0"/>
    <n v="0"/>
    <n v="0"/>
    <n v="0"/>
    <n v="0"/>
    <n v="0"/>
    <n v="0"/>
    <n v="503835731.88999999"/>
    <n v="-152935731.88999999"/>
    <n v="143.58000000000001"/>
    <n v="-43.58"/>
  </r>
  <r>
    <x v="169"/>
    <x v="4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51800000"/>
    <n v="51800000"/>
    <n v="4316666.67"/>
    <n v="4316666.67"/>
    <n v="4316666.67"/>
    <n v="4316666.67"/>
    <n v="4316666.67"/>
    <n v="4316666.67"/>
    <n v="4316666.67"/>
    <n v="4316666.67"/>
    <n v="4316666.67"/>
    <n v="4316666.67"/>
    <n v="4316666.67"/>
    <n v="4316666.63"/>
    <n v="51800000"/>
    <n v="0"/>
    <n v="100"/>
    <n v="0"/>
  </r>
  <r>
    <x v="170"/>
    <x v="4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73700000"/>
    <n v="473700000"/>
    <n v="0"/>
    <n v="0"/>
    <n v="185042061.22999999"/>
    <n v="0"/>
    <n v="0"/>
    <n v="0"/>
    <n v="0"/>
    <n v="0"/>
    <n v="0"/>
    <n v="0"/>
    <n v="0"/>
    <n v="0"/>
    <n v="185042061.22999999"/>
    <n v="288657938.76999998"/>
    <n v="39.06"/>
    <n v="60.94"/>
  </r>
  <r>
    <x v="171"/>
    <x v="4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5200000"/>
    <n v="5200000"/>
    <n v="0"/>
    <n v="0"/>
    <n v="5200000"/>
    <n v="0"/>
    <n v="0"/>
    <n v="0"/>
    <n v="0"/>
    <n v="0"/>
    <n v="0"/>
    <n v="0"/>
    <n v="0"/>
    <n v="0"/>
    <n v="5200000"/>
    <n v="0"/>
    <n v="100"/>
    <n v="0"/>
  </r>
  <r>
    <x v="198"/>
    <x v="4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7300000"/>
    <n v="7300000"/>
    <n v="0"/>
    <n v="0"/>
    <n v="0"/>
    <n v="0"/>
    <n v="0"/>
    <n v="0"/>
    <n v="0"/>
    <n v="0"/>
    <n v="0"/>
    <n v="0"/>
    <n v="0"/>
    <n v="7300000"/>
    <n v="7300000"/>
    <n v="0"/>
    <n v="100"/>
    <n v="0"/>
  </r>
  <r>
    <x v="228"/>
    <x v="4"/>
    <x v="197"/>
    <n v="1"/>
    <x v="0"/>
    <n v="14"/>
    <x v="3"/>
    <n v="141"/>
    <x v="10"/>
    <n v="1416"/>
    <x v="31"/>
    <n v="141602"/>
    <x v="70"/>
    <n v="14160200"/>
    <x v="93"/>
    <n v="141602000"/>
    <x v="0"/>
    <n v="1416020000"/>
    <x v="0"/>
    <n v="1"/>
    <s v="Ingresos corrientes"/>
    <n v="0"/>
    <n v="100000000"/>
    <n v="100000000"/>
    <n v="0"/>
    <n v="0"/>
    <n v="0"/>
    <n v="0"/>
    <n v="0"/>
    <n v="100000000"/>
    <n v="0"/>
    <n v="0"/>
    <n v="0"/>
    <n v="0"/>
    <n v="0"/>
    <n v="0"/>
    <n v="100000000"/>
    <n v="0"/>
    <n v="100"/>
    <n v="0"/>
  </r>
  <r>
    <x v="121"/>
    <x v="4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5346719.97000003"/>
    <n v="295346719.97000003"/>
    <n v="0"/>
    <n v="0"/>
    <n v="15500000"/>
    <n v="0"/>
    <n v="0"/>
    <n v="38000000"/>
    <n v="25000000"/>
    <n v="0"/>
    <n v="85000000"/>
    <n v="75546719.969999999"/>
    <n v="56300000"/>
    <n v="0"/>
    <n v="295346719.97000003"/>
    <n v="0"/>
    <n v="100"/>
    <n v="0"/>
  </r>
  <r>
    <x v="174"/>
    <x v="4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6414529000"/>
    <n v="506414529000"/>
    <n v="4546605080.3500004"/>
    <n v="18797411571.099998"/>
    <n v="27471165351.869999"/>
    <n v="14035361996.24"/>
    <n v="27753083196.290001"/>
    <n v="80835709817.639999"/>
    <n v="34252619003.459999"/>
    <n v="35294836470.720001"/>
    <n v="23141082826.369999"/>
    <n v="46684582255.360001"/>
    <n v="96039765699.210007"/>
    <n v="116892955076.35001"/>
    <n v="525745178344.96002"/>
    <n v="-19330649344.959999"/>
    <n v="103.82"/>
    <n v="-3.82"/>
  </r>
  <r>
    <x v="175"/>
    <x v="4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940032471000"/>
    <n v="1940032471000"/>
    <n v="55143197683.919998"/>
    <n v="84827627780.550003"/>
    <n v="267326768865"/>
    <n v="82580606541.800003"/>
    <n v="167574203300.16"/>
    <n v="87510966501.440002"/>
    <n v="46148729320"/>
    <n v="258651930242.10001"/>
    <n v="108294518530"/>
    <n v="77180162579"/>
    <n v="64951463928.230003"/>
    <n v="119500895493.56"/>
    <n v="1419691070765.76"/>
    <n v="520341400234.23999"/>
    <n v="73.180000000000007"/>
    <n v="26.82"/>
  </r>
  <r>
    <x v="123"/>
    <x v="4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2261046143.48"/>
    <n v="543525288.27999997"/>
    <n v="0"/>
    <n v="148816392.03999999"/>
    <n v="22979695.48"/>
    <n v="0"/>
    <n v="70729944.040000007"/>
    <n v="141913333.19"/>
    <n v="0"/>
    <n v="0"/>
    <n v="0"/>
    <n v="0"/>
    <n v="1471251.95"/>
    <n v="157614671.58000001"/>
    <n v="543525288.27999997"/>
    <n v="0"/>
    <n v="100"/>
    <n v="0"/>
  </r>
  <r>
    <x v="201"/>
    <x v="4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579306653.700001"/>
    <n v="485252839"/>
    <n v="0"/>
    <n v="0"/>
    <n v="0"/>
    <n v="0"/>
    <n v="0"/>
    <n v="448252839"/>
    <n v="37000000"/>
    <n v="0"/>
    <n v="0"/>
    <n v="0"/>
    <n v="0"/>
    <n v="0"/>
    <n v="485252839"/>
    <n v="0"/>
    <n v="100"/>
    <n v="0"/>
  </r>
  <r>
    <x v="124"/>
    <x v="4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13110016352.469999"/>
    <n v="4671574904.0299997"/>
    <n v="0"/>
    <n v="741754044.90999997"/>
    <n v="0"/>
    <n v="548715072.25999999"/>
    <n v="541668608.98000002"/>
    <n v="388979851.49000001"/>
    <n v="132796557.67"/>
    <n v="648386415.13"/>
    <n v="76920639.909999996"/>
    <n v="326248331.14999998"/>
    <n v="330193736.95999998"/>
    <n v="935911645.57000005"/>
    <n v="4671574904.0299997"/>
    <n v="0"/>
    <n v="100"/>
    <n v="0"/>
  </r>
  <r>
    <x v="125"/>
    <x v="4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503442882.5"/>
    <n v="251490000"/>
    <n v="0"/>
    <n v="200420000"/>
    <n v="0"/>
    <n v="0"/>
    <n v="51070000"/>
    <n v="0"/>
    <n v="0"/>
    <n v="0"/>
    <n v="0"/>
    <n v="0"/>
    <n v="0"/>
    <n v="0"/>
    <n v="251490000"/>
    <n v="0"/>
    <n v="100"/>
    <n v="0"/>
  </r>
  <r>
    <x v="126"/>
    <x v="4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27709718.94999999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4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1992563017.37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4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5059016649.5900002"/>
    <n v="142655329.38999999"/>
    <n v="0"/>
    <n v="0"/>
    <n v="2200000"/>
    <n v="2100001.12"/>
    <n v="13300425"/>
    <n v="1100000"/>
    <n v="4195800"/>
    <n v="121284.12"/>
    <n v="29487920"/>
    <n v="2800000"/>
    <n v="15637415.5"/>
    <n v="71712483.650000006"/>
    <n v="142655329.38999999"/>
    <n v="0"/>
    <n v="100"/>
    <n v="0"/>
  </r>
  <r>
    <x v="221"/>
    <x v="4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54815000000"/>
    <n v="9407000000"/>
    <n v="0"/>
    <n v="0"/>
    <n v="0"/>
    <n v="0"/>
    <n v="9407000000"/>
    <n v="0"/>
    <n v="0"/>
    <n v="0"/>
    <n v="0"/>
    <n v="0"/>
    <n v="0"/>
    <n v="0"/>
    <n v="9407000000"/>
    <n v="0"/>
    <n v="100"/>
    <n v="0"/>
  </r>
  <r>
    <x v="128"/>
    <x v="4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270320576.99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4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13011577867.690001"/>
    <n v="4714923982.3599997"/>
    <n v="0"/>
    <n v="0"/>
    <n v="492785650"/>
    <n v="629200934.38999999"/>
    <n v="445144180.19999999"/>
    <n v="598667021.14999998"/>
    <n v="537503210.71000004"/>
    <n v="0"/>
    <n v="673992076.60000002"/>
    <n v="0"/>
    <n v="817302925.01999998"/>
    <n v="520327984.29000002"/>
    <n v="4714923982.3599997"/>
    <n v="0"/>
    <n v="100"/>
    <n v="0"/>
  </r>
  <r>
    <x v="203"/>
    <x v="4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758655703.93"/>
    <n v="3012266751.5999999"/>
    <n v="0"/>
    <n v="0"/>
    <n v="0"/>
    <n v="0"/>
    <n v="0"/>
    <n v="0"/>
    <n v="1529429196.6800001"/>
    <n v="0"/>
    <n v="0"/>
    <n v="0"/>
    <n v="0"/>
    <n v="1482837554.9200001"/>
    <n v="3012266751.5999999"/>
    <n v="0"/>
    <n v="100"/>
    <n v="0"/>
  </r>
  <r>
    <x v="204"/>
    <x v="4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0994380711.41"/>
    <n v="5086301091.5100002"/>
    <n v="0"/>
    <n v="0"/>
    <n v="0"/>
    <n v="0"/>
    <n v="759213687.99000001"/>
    <n v="0"/>
    <n v="0"/>
    <n v="0"/>
    <n v="4327087403.5200005"/>
    <n v="0"/>
    <n v="0"/>
    <n v="0"/>
    <n v="5086301091.5100002"/>
    <n v="0"/>
    <n v="100"/>
    <n v="0"/>
  </r>
  <r>
    <x v="222"/>
    <x v="4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4"/>
    <x v="192"/>
    <n v="3"/>
    <x v="2"/>
    <n v="32"/>
    <x v="7"/>
    <n v="321"/>
    <x v="16"/>
    <n v="3211"/>
    <x v="37"/>
    <n v="321103"/>
    <x v="56"/>
    <n v="32110306"/>
    <x v="0"/>
    <n v="321103060"/>
    <x v="0"/>
    <n v="3211030600"/>
    <x v="0"/>
    <n v="537"/>
    <s v="Crédito BIRF 7686-CR, Ley N° 8843 Apoyo de Políticas de Desarrollo de las Finanzas Públicas y la Competitividad"/>
    <n v="0"/>
    <n v="195931125480"/>
    <n v="195931125480"/>
    <n v="0"/>
    <n v="6741677110"/>
    <n v="149376885303.39001"/>
    <n v="2753797623.25"/>
    <n v="1829057243.0699999"/>
    <n v="0"/>
    <n v="35229708200.290001"/>
    <n v="0"/>
    <n v="0"/>
    <n v="0"/>
    <n v="0"/>
    <n v="0"/>
    <n v="195931125480"/>
    <n v="0"/>
    <n v="100"/>
    <n v="0"/>
  </r>
  <r>
    <x v="224"/>
    <x v="4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8019225727.510002"/>
    <n v="1351225289.48"/>
    <n v="0"/>
    <n v="0"/>
    <n v="516969259.50999999"/>
    <n v="97154617.420000002"/>
    <n v="102465977.48999999"/>
    <n v="44856918.130000003"/>
    <n v="58874912.710000001"/>
    <n v="58191755.75"/>
    <n v="64958422.259999998"/>
    <n v="161898482.27000001"/>
    <n v="92649052.810000002"/>
    <n v="153205891.13"/>
    <n v="1351225289.48"/>
    <n v="0"/>
    <n v="100"/>
    <n v="0"/>
  </r>
  <r>
    <x v="225"/>
    <x v="4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4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900799.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4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1310048892.9099998"/>
    <n v="592630609.13999999"/>
    <n v="0"/>
    <n v="46195977.850000001"/>
    <n v="7358003.1500000004"/>
    <n v="5082391.99"/>
    <n v="53083875.789999999"/>
    <n v="163301852.96000001"/>
    <n v="32176897.350000001"/>
    <n v="109683234.31999999"/>
    <n v="0"/>
    <n v="0"/>
    <n v="37127556.270000003"/>
    <n v="138620819.46000001"/>
    <n v="592630609.13999999"/>
    <n v="0"/>
    <n v="100"/>
    <n v="0"/>
  </r>
  <r>
    <x v="177"/>
    <x v="4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3978026401.8000002"/>
    <n v="1033400673.13"/>
    <n v="0"/>
    <n v="0"/>
    <n v="70162323.909999996"/>
    <n v="597163984.38"/>
    <n v="14400005.68"/>
    <n v="0"/>
    <n v="0"/>
    <n v="14434103.58"/>
    <n v="0"/>
    <n v="0"/>
    <n v="13375891.810000001"/>
    <n v="323864363.76999998"/>
    <n v="1033400673.13"/>
    <n v="0"/>
    <n v="100"/>
    <n v="0"/>
  </r>
  <r>
    <x v="133"/>
    <x v="5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50000000000"/>
    <n v="150000000000"/>
    <n v="12145186504.959999"/>
    <n v="10761529713.129999"/>
    <n v="11384176159.040001"/>
    <n v="11757921283.93"/>
    <n v="11137729057.389999"/>
    <n v="13908313370.09"/>
    <n v="13123045859.52"/>
    <n v="12121021215.5"/>
    <n v="13065190039.690001"/>
    <n v="12829568748.700001"/>
    <n v="12669488053.459999"/>
    <n v="14106067113.33"/>
    <n v="149009237118.73999"/>
    <n v="990762881.25999999"/>
    <n v="99.34"/>
    <n v="0.66"/>
  </r>
  <r>
    <x v="134"/>
    <x v="5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87500000000"/>
    <n v="87500000000"/>
    <n v="8152351657.6599998"/>
    <n v="8084637755.3400002"/>
    <n v="10413904104.139999"/>
    <n v="6917786219.5500002"/>
    <n v="5451380496.3699999"/>
    <n v="8663992040.25"/>
    <n v="7493033919.3500004"/>
    <n v="8265261716.4799995"/>
    <n v="7600262737.8999996"/>
    <n v="11028990599.68"/>
    <n v="7806462806.2200003"/>
    <n v="17065576970"/>
    <n v="106943641022.94"/>
    <n v="-19443641022.939999"/>
    <n v="122.22"/>
    <n v="-22.22"/>
  </r>
  <r>
    <x v="135"/>
    <x v="5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22500000000"/>
    <n v="22500000000"/>
    <n v="1072972473.3"/>
    <n v="606758948.51999998"/>
    <n v="1676980895.1600001"/>
    <n v="2669808643.7199998"/>
    <n v="350064154.67000002"/>
    <n v="2753677873.8800001"/>
    <n v="1715703559.8800001"/>
    <n v="1913424876.7"/>
    <n v="2202642541.6599998"/>
    <n v="4121717985.6799998"/>
    <n v="1570265463"/>
    <n v="30881609098.619999"/>
    <n v="51535626514.790001"/>
    <n v="-29035626514.790001"/>
    <n v="229.05"/>
    <n v="-129.05000000000001"/>
  </r>
  <r>
    <x v="180"/>
    <x v="5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45000000000"/>
    <n v="45000000000"/>
    <n v="9093503883.9799995"/>
    <n v="-2591472343.8899999"/>
    <n v="13347498732.5"/>
    <n v="2474423173.23"/>
    <n v="2490543766.8899999"/>
    <n v="11009076918.17"/>
    <n v="2722867906.9899998"/>
    <n v="2671173847.6999998"/>
    <n v="10006680904.83"/>
    <n v="3477003698.23"/>
    <n v="3145013534"/>
    <n v="12056405081.879999"/>
    <n v="69902719104.509995"/>
    <n v="-24902719104.509998"/>
    <n v="155.34"/>
    <n v="-55.34"/>
  </r>
  <r>
    <x v="137"/>
    <x v="5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50000000000"/>
    <n v="450000000000"/>
    <n v="1605230398.45"/>
    <n v="12082727636.33"/>
    <n v="91177243780.800003"/>
    <n v="12275380564.27"/>
    <n v="5166218092.1800003"/>
    <n v="74939959250.399994"/>
    <n v="15129828360.030001"/>
    <n v="3789551935.48"/>
    <n v="74623868042.610001"/>
    <n v="9472922112.3500004"/>
    <n v="7801891167.8599997"/>
    <n v="83255756122.520004"/>
    <n v="391320577463.28003"/>
    <n v="58679422536.720001"/>
    <n v="86.96"/>
    <n v="13.04"/>
  </r>
  <r>
    <x v="181"/>
    <x v="5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1000000000"/>
    <n v="1000000000"/>
    <n v="6721137"/>
    <n v="254370661.53999999"/>
    <n v="89425988"/>
    <n v="14583359"/>
    <n v="8244634.7300000004"/>
    <n v="12223039"/>
    <n v="13900658"/>
    <n v="16285272"/>
    <n v="14845241"/>
    <n v="14589811"/>
    <n v="27289121"/>
    <n v="25525873"/>
    <n v="498004795.26999998"/>
    <n v="501995204.73000002"/>
    <n v="49.8"/>
    <n v="50.2"/>
  </r>
  <r>
    <x v="138"/>
    <x v="5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7000000000"/>
    <n v="17000000000"/>
    <n v="3448410828.9200001"/>
    <n v="-228109127.47999999"/>
    <n v="879369815.70000005"/>
    <n v="1075361471.1300001"/>
    <n v="210494142.22999999"/>
    <n v="2288578984.3699999"/>
    <n v="1812177398.2"/>
    <n v="508237916.70999998"/>
    <n v="546257520.21000004"/>
    <n v="846662861.15999997"/>
    <n v="1420094527.5999999"/>
    <n v="5980614449.7600002"/>
    <n v="18788150788.509998"/>
    <n v="-1788150788.51"/>
    <n v="110.52"/>
    <n v="-10.52"/>
  </r>
  <r>
    <x v="182"/>
    <x v="5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7500000000"/>
    <n v="47500000000"/>
    <n v="3912707626.6700001"/>
    <n v="2262986873.8000002"/>
    <n v="496924110.69999999"/>
    <n v="10039173752.309999"/>
    <n v="5001496073.7399998"/>
    <n v="1706882537.25"/>
    <n v="3706942336.2600002"/>
    <n v="2844441804.8899999"/>
    <n v="1268094553.0699999"/>
    <n v="5873927313.7700005"/>
    <n v="1792929685.9100001"/>
    <n v="2999685146.8299999"/>
    <n v="41906191815.199997"/>
    <n v="5593808184.8000002"/>
    <n v="88.22"/>
    <n v="11.78"/>
  </r>
  <r>
    <x v="183"/>
    <x v="5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8500000000"/>
    <n v="8500000000"/>
    <n v="768156254.45000005"/>
    <n v="720362971.78999996"/>
    <n v="556911856.19000006"/>
    <n v="606076690.55999994"/>
    <n v="525166619"/>
    <n v="616091043.54999995"/>
    <n v="734374751.91999996"/>
    <n v="745130994.59000003"/>
    <n v="712856611.60000002"/>
    <n v="902471815.30999994"/>
    <n v="859800928.60000002"/>
    <n v="919714377.53999996"/>
    <n v="8667114915.1000004"/>
    <n v="-167114915.09999999"/>
    <n v="101.97"/>
    <n v="-1.97"/>
  </r>
  <r>
    <x v="184"/>
    <x v="5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50600000000"/>
    <n v="50600000000"/>
    <n v="4185475393.6500001"/>
    <n v="4249277650.6399999"/>
    <n v="2764003014.6100001"/>
    <n v="4236576376.6500001"/>
    <n v="2672949591.27"/>
    <n v="4238907560.8499999"/>
    <n v="4782678217.5"/>
    <n v="3809462131.8800001"/>
    <n v="4106427568.5799999"/>
    <n v="5462793886.8699999"/>
    <n v="4680251052.8400002"/>
    <n v="7651563616.1000004"/>
    <n v="52840366061.440002"/>
    <n v="-2240366061.4400001"/>
    <n v="104.43"/>
    <n v="-4.43"/>
  </r>
  <r>
    <x v="18"/>
    <x v="5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400000000"/>
    <n v="400000000"/>
    <n v="256754000"/>
    <n v="0"/>
    <n v="0"/>
    <n v="0"/>
    <n v="0"/>
    <n v="0"/>
    <n v="0"/>
    <n v="0"/>
    <n v="0"/>
    <n v="0"/>
    <n v="0"/>
    <n v="0"/>
    <n v="256754000"/>
    <n v="143246000"/>
    <n v="64.19"/>
    <n v="35.81"/>
  </r>
  <r>
    <x v="186"/>
    <x v="5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2500000000"/>
    <n v="2500000000"/>
    <n v="2251895949.5300002"/>
    <n v="108612380.26000001"/>
    <n v="30633421.629999999"/>
    <n v="14183796"/>
    <n v="11175196"/>
    <n v="14192336.310000001"/>
    <n v="11452471"/>
    <n v="10528496"/>
    <n v="10718262"/>
    <n v="15824186"/>
    <n v="52567796"/>
    <n v="106528851"/>
    <n v="2638313141.73"/>
    <n v="-138313141.72999999"/>
    <n v="105.53"/>
    <n v="-5.53"/>
  </r>
  <r>
    <x v="141"/>
    <x v="5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94000000000"/>
    <n v="94000000000"/>
    <n v="4054883284"/>
    <n v="3196802003"/>
    <n v="1786984321"/>
    <n v="1502154457"/>
    <n v="1899555432"/>
    <n v="1596833381"/>
    <n v="1083338028"/>
    <n v="979870724"/>
    <n v="953480817"/>
    <n v="577201708"/>
    <n v="7622466394"/>
    <n v="76649456579"/>
    <n v="101903027128"/>
    <n v="-7903027128"/>
    <n v="108.41"/>
    <n v="-8.41"/>
  </r>
  <r>
    <x v="21"/>
    <x v="5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14000000"/>
    <n v="114000000"/>
    <n v="7701498"/>
    <n v="5025013"/>
    <n v="2645121"/>
    <n v="1843213"/>
    <n v="2122272"/>
    <n v="1888962"/>
    <n v="1501714"/>
    <n v="1501558"/>
    <n v="1676273"/>
    <n v="1402998"/>
    <n v="8193570"/>
    <n v="87777375"/>
    <n v="123279567"/>
    <n v="-9279567"/>
    <n v="108.14"/>
    <n v="-8.14"/>
  </r>
  <r>
    <x v="22"/>
    <x v="5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550000000"/>
    <n v="550000000"/>
    <n v="224455"/>
    <n v="10477319.82"/>
    <n v="15781585.060000001"/>
    <n v="214968639.88999999"/>
    <n v="141834952.25999999"/>
    <n v="21170865.039999999"/>
    <n v="61568815.350000001"/>
    <n v="15473069.939999999"/>
    <n v="6135113.7300000004"/>
    <n v="-96478506.829999998"/>
    <n v="9922418.6300000008"/>
    <n v="-101586896.39"/>
    <n v="299491831.5"/>
    <n v="250508168.5"/>
    <n v="54.45"/>
    <n v="45.55"/>
  </r>
  <r>
    <x v="229"/>
    <x v="5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19886307469.48"/>
    <n v="19886307469.48"/>
    <n v="0"/>
    <n v="0"/>
    <n v="0"/>
    <n v="0"/>
    <n v="15847228141.59"/>
    <n v="1853807314.49"/>
    <n v="1333200601.1099999"/>
    <n v="852071412.28999996"/>
    <n v="649951804.82000005"/>
    <n v="717257436.50999999"/>
    <n v="553735327.63"/>
    <n v="617451680.66999996"/>
    <n v="22424703719.110001"/>
    <n v="-2538396249.6300001"/>
    <n v="112.76"/>
    <n v="-12.76"/>
  </r>
  <r>
    <x v="23"/>
    <x v="5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0000000000"/>
    <n v="20000000000"/>
    <n v="1141244313"/>
    <n v="1598961332"/>
    <n v="1690860288"/>
    <n v="1263622476"/>
    <n v="1757072680"/>
    <n v="1602557637"/>
    <n v="1664979560"/>
    <n v="1899860356"/>
    <n v="1736116298.1600001"/>
    <n v="2020504580"/>
    <n v="2233715703"/>
    <n v="2340638975.27"/>
    <n v="20950134198.43"/>
    <n v="-950134198.42999995"/>
    <n v="104.75"/>
    <n v="-4.75"/>
  </r>
  <r>
    <x v="24"/>
    <x v="5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400000000"/>
    <n v="15400000000"/>
    <n v="1074924468"/>
    <n v="1259990957"/>
    <n v="1277649217"/>
    <n v="904540139"/>
    <n v="1220412630.3800001"/>
    <n v="1123638983"/>
    <n v="1040852859"/>
    <n v="1076214191"/>
    <n v="939060932"/>
    <n v="1087213634"/>
    <n v="1035818640"/>
    <n v="906305006.5"/>
    <n v="12946621656.879999"/>
    <n v="2453378343.1199999"/>
    <n v="84.07"/>
    <n v="15.93"/>
  </r>
  <r>
    <x v="142"/>
    <x v="5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583000000000"/>
    <n v="583000000000"/>
    <n v="60501084035.239998"/>
    <n v="48830003504.120003"/>
    <n v="49178664610.379997"/>
    <n v="49050228683.459999"/>
    <n v="44524633210.699997"/>
    <n v="41844007796.120003"/>
    <n v="49594356232.669998"/>
    <n v="46807970067.660004"/>
    <n v="46597275405.269997"/>
    <n v="46852639833.82"/>
    <n v="46327435829.760002"/>
    <n v="54529606023.919998"/>
    <n v="584637905233.12"/>
    <n v="-1637905233.1199999"/>
    <n v="100.28"/>
    <n v="-0.28000000000000003"/>
  </r>
  <r>
    <x v="187"/>
    <x v="5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42000000000"/>
    <n v="542000000000"/>
    <n v="44343065835.190002"/>
    <n v="41628482651.650002"/>
    <n v="48947277900.029999"/>
    <n v="38726805193.099998"/>
    <n v="45577703632.75"/>
    <n v="41294864031.050003"/>
    <n v="46549368451.57"/>
    <n v="47011055945.989998"/>
    <n v="38699822564.300003"/>
    <n v="48746710262.989998"/>
    <n v="53091967120.089996"/>
    <n v="43722895593.870003"/>
    <n v="538340019182.58002"/>
    <n v="3659980817.4200001"/>
    <n v="99.32"/>
    <n v="0.68"/>
  </r>
  <r>
    <x v="188"/>
    <x v="5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9200000000"/>
    <n v="29200000000"/>
    <n v="3089532148.1100001"/>
    <n v="1964501056.98"/>
    <n v="2460419962.0599999"/>
    <n v="5526193455.6499996"/>
    <n v="1954319391.6400001"/>
    <n v="858517673.67999995"/>
    <n v="993959669.88"/>
    <n v="1186297879.3900001"/>
    <n v="1569813502.3399999"/>
    <n v="1719405286.3399999"/>
    <n v="2324339885.3499999"/>
    <n v="2274175242.4400001"/>
    <n v="25921475153.860001"/>
    <n v="3278524846.1399999"/>
    <n v="88.77"/>
    <n v="11.23"/>
  </r>
  <r>
    <x v="189"/>
    <x v="5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62000000000"/>
    <n v="162000000000"/>
    <n v="12376736114.940001"/>
    <n v="12529038787.17"/>
    <n v="18097239792.130001"/>
    <n v="12315478029.84"/>
    <n v="13664808857.629999"/>
    <n v="12204899438.51"/>
    <n v="12771432537.27"/>
    <n v="14320596826.08"/>
    <n v="10597467193.84"/>
    <n v="13219750588.809999"/>
    <n v="16444673616.459999"/>
    <n v="13398952390.83"/>
    <n v="161941074173.51001"/>
    <n v="58925826.490000002"/>
    <n v="99.96"/>
    <n v="0.04"/>
  </r>
  <r>
    <x v="143"/>
    <x v="5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0"/>
    <n v="1000"/>
    <n v="0"/>
    <n v="6500"/>
    <n v="0"/>
    <n v="0"/>
    <n v="0"/>
    <n v="0"/>
    <n v="13200"/>
    <n v="6600"/>
    <n v="0"/>
    <n v="27300"/>
    <n v="0"/>
    <n v="0"/>
    <n v="0"/>
  </r>
  <r>
    <x v="30"/>
    <x v="5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4000000000"/>
    <n v="234000000000"/>
    <n v="10444986289"/>
    <n v="9930444120"/>
    <n v="8024158470"/>
    <n v="21247606286"/>
    <n v="25649103667"/>
    <n v="17006247350"/>
    <n v="18152104427"/>
    <n v="8913453220"/>
    <n v="25784814140"/>
    <n v="15923568492"/>
    <n v="17547969084"/>
    <n v="15929676728"/>
    <n v="194554132273"/>
    <n v="39445867727"/>
    <n v="83.14"/>
    <n v="16.86"/>
  </r>
  <r>
    <x v="31"/>
    <x v="5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56000000000"/>
    <n v="156000000000"/>
    <n v="20828932883.66"/>
    <n v="7320025991.3199997"/>
    <n v="19040264768.279999"/>
    <n v="8047548553.3299999"/>
    <n v="12641615479.559999"/>
    <n v="13426858016.629999"/>
    <n v="7551587242.6300001"/>
    <n v="19583257369.68"/>
    <n v="13787419732.32"/>
    <n v="9225335592.8299999"/>
    <n v="8931037670.4699993"/>
    <n v="19210879945.75"/>
    <n v="159594763246.45999"/>
    <n v="-3594763246.46"/>
    <n v="102.3"/>
    <n v="-2.2999999999999998"/>
  </r>
  <r>
    <x v="32"/>
    <x v="5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000000000"/>
    <n v="29000000000"/>
    <n v="2884666026.8099999"/>
    <n v="1847602908.1800001"/>
    <n v="2618301063.2600002"/>
    <n v="2700023484.6799998"/>
    <n v="1980037977.3099999"/>
    <n v="2171378027"/>
    <n v="2529871606.3400002"/>
    <n v="2341663410.4699998"/>
    <n v="2192619284.8099999"/>
    <n v="2223219398.8600001"/>
    <n v="1942674771.72"/>
    <n v="2905056244.9099998"/>
    <n v="28337114204.349998"/>
    <n v="662885795.64999998"/>
    <n v="97.71"/>
    <n v="2.29"/>
  </r>
  <r>
    <x v="33"/>
    <x v="5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6000000000"/>
    <n v="6000000000"/>
    <n v="473181295.31999999"/>
    <n v="662359208.51999998"/>
    <n v="577711362.02999997"/>
    <n v="331708835.54000002"/>
    <n v="521004905.27999997"/>
    <n v="562930878.46000004"/>
    <n v="447714446.01999998"/>
    <n v="473390166.31"/>
    <n v="323202643.64999998"/>
    <n v="951491802.20000005"/>
    <n v="1073484434.4299999"/>
    <n v="884304020.11000001"/>
    <n v="7282483997.8699999"/>
    <n v="-1282483997.8699999"/>
    <n v="121.37"/>
    <n v="-21.37"/>
  </r>
  <r>
    <x v="34"/>
    <x v="5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29000000000"/>
    <n v="29000000000"/>
    <n v="2644366472.04"/>
    <n v="2078233682.6900001"/>
    <n v="2293553015.0999999"/>
    <n v="2114230731.3499999"/>
    <n v="2249186559.3499999"/>
    <n v="2383013855.4699998"/>
    <n v="2360793291"/>
    <n v="2371632761.46"/>
    <n v="2456248653.2399998"/>
    <n v="2185622754.6199999"/>
    <n v="2346980304.5500002"/>
    <n v="2375167041"/>
    <n v="27859029121.869999"/>
    <n v="1140970878.1300001"/>
    <n v="96.07"/>
    <n v="3.93"/>
  </r>
  <r>
    <x v="35"/>
    <x v="5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500000000"/>
    <n v="2500000000"/>
    <n v="167120327.03"/>
    <n v="196656185.77000001"/>
    <n v="170983687.18000001"/>
    <n v="173341416.50999999"/>
    <n v="213550770.06"/>
    <n v="213735599.94"/>
    <n v="181314820.16999999"/>
    <n v="217546204.09999999"/>
    <n v="183896806.96000001"/>
    <n v="200535702.59999999"/>
    <n v="209621508.88999999"/>
    <n v="217699718.06"/>
    <n v="2346002747.27"/>
    <n v="153997252.72999999"/>
    <n v="93.84"/>
    <n v="6.16"/>
  </r>
  <r>
    <x v="190"/>
    <x v="5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33496018.52"/>
    <n v="105228775.29000001"/>
    <n v="105824513.43000001"/>
    <n v="92637747.219999999"/>
    <n v="133393572.5"/>
    <n v="124600829.95"/>
    <n v="140272180.33000001"/>
    <n v="123399444.93000001"/>
    <n v="111950837.23999999"/>
    <n v="138394723.44999999"/>
    <n v="156255023.75"/>
    <n v="121365026.18000001"/>
    <n v="1486818692.79"/>
    <n v="163181307.21000001"/>
    <n v="90.11"/>
    <n v="9.89"/>
  </r>
  <r>
    <x v="144"/>
    <x v="5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70000000"/>
    <n v="270000000"/>
    <n v="0"/>
    <n v="15547133.74"/>
    <n v="18951060.640000001"/>
    <n v="18359074.010000002"/>
    <n v="19102712.780000001"/>
    <n v="18632090.050000001"/>
    <n v="24814242.050000001"/>
    <n v="23762983.16"/>
    <n v="23109667.949999999"/>
    <n v="21497338.989999998"/>
    <n v="19391001.850000001"/>
    <n v="43650546.799999997"/>
    <n v="246817852.02000001"/>
    <n v="23182147.98"/>
    <n v="91.41"/>
    <n v="8.59"/>
  </r>
  <r>
    <x v="230"/>
    <x v="5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9600000000"/>
    <n v="9600000000"/>
    <n v="0"/>
    <n v="0"/>
    <n v="0"/>
    <n v="0"/>
    <n v="0"/>
    <n v="461836140"/>
    <n v="468710710"/>
    <n v="891432918.10000002"/>
    <n v="1455808172.0599999"/>
    <n v="1760163600"/>
    <n v="2939820043.1900001"/>
    <n v="2204304440"/>
    <n v="10182076023.35"/>
    <n v="-582076023.35000002"/>
    <n v="106.06"/>
    <n v="-6.06"/>
  </r>
  <r>
    <x v="231"/>
    <x v="5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6400000000"/>
    <n v="6400000000"/>
    <n v="0"/>
    <n v="0"/>
    <n v="0"/>
    <n v="0"/>
    <n v="338292080"/>
    <n v="1473444000"/>
    <n v="1121400000"/>
    <n v="1048647279.4"/>
    <n v="1044661600"/>
    <n v="1872152000"/>
    <n v="1825240000"/>
    <n v="945800000"/>
    <n v="9669636959.3999996"/>
    <n v="-3269636959.4000001"/>
    <n v="151.09"/>
    <n v="-51.09"/>
  </r>
  <r>
    <x v="37"/>
    <x v="5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400000000"/>
    <n v="400000000"/>
    <n v="41872092.5"/>
    <n v="26069661.43"/>
    <n v="23920078.420000002"/>
    <n v="24245189.129999999"/>
    <n v="12442058.449999999"/>
    <n v="13628332.779999999"/>
    <n v="14451302.800000001"/>
    <n v="11795055.539999999"/>
    <n v="8731334.5099999998"/>
    <n v="14811573.17"/>
    <n v="13088314.25"/>
    <n v="8437323.5199999996"/>
    <n v="213492316.5"/>
    <n v="186507683.5"/>
    <n v="53.37"/>
    <n v="46.63"/>
  </r>
  <r>
    <x v="145"/>
    <x v="5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5300000000"/>
    <n v="135300000000"/>
    <n v="9656477386.1299992"/>
    <n v="9687402007.7999992"/>
    <n v="9803020559.5799999"/>
    <n v="8298004671.7299995"/>
    <n v="10504638619.68"/>
    <n v="9884144146.4799995"/>
    <n v="10507438514.549999"/>
    <n v="10650820270.84"/>
    <n v="10833561514.84"/>
    <n v="12886166235.25"/>
    <n v="14343115742.469999"/>
    <n v="11302873375.07"/>
    <n v="128357663044.42"/>
    <n v="6942336955.5799999"/>
    <n v="94.87"/>
    <n v="5.13"/>
  </r>
  <r>
    <x v="40"/>
    <x v="5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8200000000"/>
    <n v="28200000000"/>
    <n v="1983611026.0599999"/>
    <n v="1866959008.8499999"/>
    <n v="2170465358.2800002"/>
    <n v="1609512641.73"/>
    <n v="2066835476.4300001"/>
    <n v="1866744841.54"/>
    <n v="2025190957.8699999"/>
    <n v="2085801198.21"/>
    <n v="1758425215.9000001"/>
    <n v="2105455542.3099999"/>
    <n v="2222458933.1999998"/>
    <n v="2155243057.4400001"/>
    <n v="23916703257.82"/>
    <n v="4283296742.1799998"/>
    <n v="84.81"/>
    <n v="15.19"/>
  </r>
  <r>
    <x v="41"/>
    <x v="5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831900000"/>
    <n v="3831900000"/>
    <n v="276306476.20999998"/>
    <n v="266142661.46000001"/>
    <n v="283908793.63999999"/>
    <n v="264659111.90000001"/>
    <n v="420978183.19999999"/>
    <n v="290693027.75999999"/>
    <n v="288482300.72000003"/>
    <n v="279329302.66000003"/>
    <n v="322277861.17000002"/>
    <n v="368101588.88"/>
    <n v="361424462.93000001"/>
    <n v="241050168.88"/>
    <n v="3663353939.4099998"/>
    <n v="168546060.59"/>
    <n v="95.6"/>
    <n v="4.4000000000000004"/>
  </r>
  <r>
    <x v="42"/>
    <x v="5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4500000"/>
    <n v="154500000"/>
    <n v="11751253.5"/>
    <n v="11422264.5"/>
    <n v="12156763.5"/>
    <n v="11473167"/>
    <n v="17949067.5"/>
    <n v="12641565"/>
    <n v="12690694.5"/>
    <n v="12649744.5"/>
    <n v="14200627.220000001"/>
    <n v="16506411"/>
    <n v="16206322.5"/>
    <n v="10587529.5"/>
    <n v="160235410.22"/>
    <n v="-5735410.2199999997"/>
    <n v="103.71"/>
    <n v="-3.71"/>
  </r>
  <r>
    <x v="44"/>
    <x v="5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9000000000"/>
    <n v="29000000000"/>
    <n v="2843908502.04"/>
    <n v="2371466803.1599998"/>
    <n v="2753532436.9899998"/>
    <n v="2269077734.8299999"/>
    <n v="1948210537.54"/>
    <n v="1894060775.6400001"/>
    <n v="2345740125.5799999"/>
    <n v="2175763238.4899998"/>
    <n v="1435931460.9100001"/>
    <n v="1538108059.8599999"/>
    <n v="1819618379.5699999"/>
    <n v="1970575994.21"/>
    <n v="25365994048.82"/>
    <n v="3634005951.1799998"/>
    <n v="87.47"/>
    <n v="12.53"/>
  </r>
  <r>
    <x v="45"/>
    <x v="5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100000000"/>
    <n v="6100000000"/>
    <n v="914137168.51999998"/>
    <n v="624323047.96000004"/>
    <n v="283295607.51999998"/>
    <n v="472605699.31999999"/>
    <n v="436703093.18000001"/>
    <n v="410054888.56"/>
    <n v="486393671.93000001"/>
    <n v="374826431.52999997"/>
    <n v="285946318"/>
    <n v="689776514.91999996"/>
    <n v="514626136.23000002"/>
    <n v="241575602.24000001"/>
    <n v="5734264179.9099998"/>
    <n v="365735820.08999997"/>
    <n v="94"/>
    <n v="6"/>
  </r>
  <r>
    <x v="232"/>
    <x v="5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13594476"/>
    <n v="813594476"/>
    <n v="0"/>
    <n v="89936716"/>
    <n v="86760236.150000006"/>
    <n v="88522852.569999993"/>
    <n v="890376991.21000004"/>
    <n v="87885988.810000002"/>
    <n v="74834504.579999998"/>
    <n v="79669096.530000001"/>
    <n v="80944434.109999999"/>
    <n v="82980956.510000005"/>
    <n v="133426284.15000001"/>
    <n v="164591164.61000001"/>
    <n v="1859929225.23"/>
    <n v="-1046334749.23"/>
    <n v="228.61"/>
    <n v="-128.61000000000001"/>
  </r>
  <r>
    <x v="233"/>
    <x v="5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500000000"/>
    <n v="8500000000"/>
    <n v="15202.5"/>
    <n v="609633494.25999999"/>
    <n v="618485356.39999998"/>
    <n v="649332643.11000001"/>
    <n v="427785808.45999998"/>
    <n v="605870847.45000005"/>
    <n v="511338368.63999999"/>
    <n v="555940036.75"/>
    <n v="622254809.32000005"/>
    <n v="602847201.77999997"/>
    <n v="884347168.25"/>
    <n v="1504011874.1099999"/>
    <n v="7591862811.0299997"/>
    <n v="908137188.97000003"/>
    <n v="89.32"/>
    <n v="10.68"/>
  </r>
  <r>
    <x v="146"/>
    <x v="5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850000000"/>
    <n v="850000000"/>
    <n v="110220449.48999999"/>
    <n v="66543485.210000001"/>
    <n v="71389803.950000003"/>
    <n v="40603765.039999999"/>
    <n v="77053566.489999995"/>
    <n v="109549526"/>
    <n v="80516965.329999998"/>
    <n v="79842927.760000005"/>
    <n v="88320184.109999999"/>
    <n v="86071556.390000001"/>
    <n v="78626658.390000001"/>
    <n v="55369237.93"/>
    <n v="944108126.09000003"/>
    <n v="-94108126.090000004"/>
    <n v="111.07"/>
    <n v="-11.07"/>
  </r>
  <r>
    <x v="47"/>
    <x v="5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261000000"/>
    <n v="5261000000"/>
    <n v="245427400.24000001"/>
    <n v="291229659.70999998"/>
    <n v="387378675.19"/>
    <n v="548209320.66999996"/>
    <n v="415378920.25"/>
    <n v="289120735.19"/>
    <n v="271196267.26999998"/>
    <n v="514992976.13"/>
    <n v="676557057.46000004"/>
    <n v="347201231.82999998"/>
    <n v="392194765.20999998"/>
    <n v="275294656.42000002"/>
    <n v="4654181665.5699997"/>
    <n v="606818334.42999995"/>
    <n v="88.47"/>
    <n v="11.53"/>
  </r>
  <r>
    <x v="147"/>
    <x v="5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92000000"/>
    <n v="92000000"/>
    <n v="8712653.4199999999"/>
    <n v="10205612.48"/>
    <n v="5436.5"/>
    <n v="3905.75"/>
    <n v="20064629.41"/>
    <n v="11563228.949999999"/>
    <n v="9734019.8900000006"/>
    <n v="9892096.1099999994"/>
    <n v="8497829.6799999997"/>
    <n v="9568527.8000000007"/>
    <n v="10089950.109999999"/>
    <n v="8757795.3100000005"/>
    <n v="107095685.41"/>
    <n v="-15095685.41"/>
    <n v="116.41"/>
    <n v="-16.41"/>
  </r>
  <r>
    <x v="53"/>
    <x v="5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2000000000"/>
    <n v="22000000000"/>
    <n v="1335206840.1600001"/>
    <n v="1781857811.98"/>
    <n v="1753050608.49"/>
    <n v="5187646221.3400002"/>
    <n v="1851565651.5"/>
    <n v="1796145544.79"/>
    <n v="-1321282542.0799999"/>
    <n v="1790661756.0599999"/>
    <n v="1941243641.0999999"/>
    <n v="1864660822.55"/>
    <n v="1907148917.21"/>
    <n v="1797879179.8099999"/>
    <n v="21685784452.91"/>
    <n v="314215547.08999997"/>
    <n v="98.57"/>
    <n v="1.43"/>
  </r>
  <r>
    <x v="54"/>
    <x v="5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42000000000"/>
    <n v="42000000000"/>
    <n v="3120683037.5"/>
    <n v="3140177102.0500002"/>
    <n v="3173163587.1999998"/>
    <n v="100704536"/>
    <n v="3230935507.5500002"/>
    <n v="3232568348.2800002"/>
    <n v="6371649905.2299995"/>
    <n v="3285583957.9000001"/>
    <n v="3485542443.1199999"/>
    <n v="3502362774.7399998"/>
    <n v="3429696184.8200002"/>
    <n v="3388650358.3099999"/>
    <n v="39461717742.699997"/>
    <n v="2538282257.3000002"/>
    <n v="93.96"/>
    <n v="6.04"/>
  </r>
  <r>
    <x v="55"/>
    <x v="5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1500000000"/>
    <n v="11500000000"/>
    <n v="963711435.75"/>
    <n v="904497399.82000005"/>
    <n v="893826659.11000001"/>
    <n v="955612926.24000001"/>
    <n v="979765828.05999994"/>
    <n v="965581202.70000005"/>
    <n v="963556630.99000001"/>
    <n v="951023635.02999997"/>
    <n v="971462995.26999998"/>
    <n v="1065175317.5599999"/>
    <n v="1339611925.53"/>
    <n v="1982124715.98"/>
    <n v="12935950672.040001"/>
    <n v="-1435950672.04"/>
    <n v="112.49"/>
    <n v="-12.49"/>
  </r>
  <r>
    <x v="56"/>
    <x v="5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17000000"/>
    <n v="17000000"/>
    <n v="642268.64"/>
    <n v="592775"/>
    <n v="-138412.17000000001"/>
    <n v="0"/>
    <n v="0"/>
    <n v="0"/>
    <n v="0"/>
    <n v="0"/>
    <n v="0"/>
    <n v="0"/>
    <n v="0"/>
    <n v="0"/>
    <n v="1096631.47"/>
    <n v="15903368.529999999"/>
    <n v="6.45"/>
    <n v="93.55"/>
  </r>
  <r>
    <x v="191"/>
    <x v="5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900000"/>
    <n v="900000"/>
    <n v="58038.23"/>
    <n v="0"/>
    <n v="145664.14000000001"/>
    <n v="0"/>
    <n v="75924.820000000007"/>
    <n v="134709.65"/>
    <n v="13782.45"/>
    <n v="30568.58"/>
    <n v="119193.18"/>
    <n v="102183.92"/>
    <n v="135138.21"/>
    <n v="12256.37"/>
    <n v="827459.55"/>
    <n v="72540.45"/>
    <n v="91.94"/>
    <n v="8.06"/>
  </r>
  <r>
    <x v="234"/>
    <x v="5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14327597.74"/>
    <n v="14327597.74"/>
    <n v="0"/>
    <n v="0"/>
    <n v="0"/>
  </r>
  <r>
    <x v="58"/>
    <x v="5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6000000"/>
    <n v="6000000"/>
    <n v="1041506"/>
    <n v="1091720"/>
    <n v="1091720"/>
    <n v="879470"/>
    <n v="1024735"/>
    <n v="1239928.2"/>
    <n v="1129234"/>
    <n v="1091720"/>
    <n v="1595032.5"/>
    <n v="1396720"/>
    <n v="1091720"/>
    <n v="3081190"/>
    <n v="15754695.699999999"/>
    <n v="-9754695.6999999993"/>
    <n v="262.58"/>
    <n v="-162.58000000000001"/>
  </r>
  <r>
    <x v="192"/>
    <x v="5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8500000"/>
    <n v="8500000"/>
    <n v="0"/>
    <n v="0"/>
    <n v="0"/>
    <n v="0"/>
    <n v="8151295.6299999999"/>
    <n v="0"/>
    <n v="0"/>
    <n v="0"/>
    <n v="0"/>
    <n v="0"/>
    <n v="0"/>
    <n v="0"/>
    <n v="8151295.6299999999"/>
    <n v="348704.37"/>
    <n v="95.9"/>
    <n v="4.0999999999999996"/>
  </r>
  <r>
    <x v="59"/>
    <x v="5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40000000"/>
    <n v="40000000"/>
    <n v="58326.25"/>
    <n v="1814844.58"/>
    <n v="13290855.619999999"/>
    <n v="17431701.809999999"/>
    <n v="2137869.4500000002"/>
    <n v="17163860.48"/>
    <n v="5649503.0300000003"/>
    <n v="2709909.19"/>
    <n v="3537448.2"/>
    <n v="1070285"/>
    <n v="4804419.7699999996"/>
    <n v="1968194.57"/>
    <n v="71637217.950000003"/>
    <n v="-31637217.949999999"/>
    <n v="179.09"/>
    <n v="-79.09"/>
  </r>
  <r>
    <x v="193"/>
    <x v="5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3000000"/>
    <n v="183000000"/>
    <n v="2154825.83"/>
    <n v="20980008.850000001"/>
    <n v="109515390.17"/>
    <n v="20092473.600000001"/>
    <n v="15559149.050000001"/>
    <n v="40500382.960000001"/>
    <n v="23178389.09"/>
    <n v="20694232.600000001"/>
    <n v="49776665.310000002"/>
    <n v="23337837.760000002"/>
    <n v="1697758.35"/>
    <n v="119756259.45999999"/>
    <n v="447243373.02999997"/>
    <n v="-264243373.03"/>
    <n v="244.4"/>
    <n v="-144.4"/>
  </r>
  <r>
    <x v="60"/>
    <x v="5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3200000000"/>
    <n v="3200000000"/>
    <n v="137500"/>
    <n v="273186384.31"/>
    <n v="300196587.06999999"/>
    <n v="284094910.85000002"/>
    <n v="211023817.69"/>
    <n v="268558464.31"/>
    <n v="261726775.69999999"/>
    <n v="286220459.63"/>
    <n v="283912800.74000001"/>
    <n v="281313621.13"/>
    <n v="358518593.72000003"/>
    <n v="586073421.13"/>
    <n v="3394963336.2800002"/>
    <n v="-194963336.28"/>
    <n v="106.09"/>
    <n v="-6.09"/>
  </r>
  <r>
    <x v="61"/>
    <x v="5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11000000"/>
    <n v="11000000"/>
    <n v="554489.36"/>
    <n v="158582.1"/>
    <n v="138412.17000000001"/>
    <n v="0"/>
    <n v="157507.28"/>
    <n v="0"/>
    <n v="0"/>
    <n v="118311.72"/>
    <n v="0"/>
    <n v="0"/>
    <n v="0"/>
    <n v="54657.32"/>
    <n v="1181959.95"/>
    <n v="9818040.0500000007"/>
    <n v="10.75"/>
    <n v="89.25"/>
  </r>
  <r>
    <x v="62"/>
    <x v="5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2635400000"/>
    <n v="2635400000"/>
    <n v="17465"/>
    <n v="33582"/>
    <n v="6750"/>
    <n v="7400"/>
    <n v="846.8"/>
    <n v="7300"/>
    <n v="5050"/>
    <n v="6500"/>
    <n v="11365"/>
    <n v="21350"/>
    <n v="25900"/>
    <n v="53670"/>
    <n v="197178.8"/>
    <n v="2635202821.1999998"/>
    <n v="0.01"/>
    <n v="99.99"/>
  </r>
  <r>
    <x v="63"/>
    <x v="5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078720000"/>
    <n v="3078720000"/>
    <n v="206297681.86000001"/>
    <n v="124210105.52"/>
    <n v="59647375.539999999"/>
    <n v="30170540.109999999"/>
    <n v="37157597.859999999"/>
    <n v="26916131.960000001"/>
    <n v="25426763.359999999"/>
    <n v="19909638.260000002"/>
    <n v="17284844.120000001"/>
    <n v="15146376.51"/>
    <n v="183286245.34999999"/>
    <n v="2293235040.5700002"/>
    <n v="3038688341.02"/>
    <n v="40031658.979999997"/>
    <n v="98.7"/>
    <n v="1.3"/>
  </r>
  <r>
    <x v="64"/>
    <x v="5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3000000"/>
    <n v="53000000"/>
    <n v="4108470.28"/>
    <n v="4058207.34"/>
    <n v="4448412.38"/>
    <n v="4420582.91"/>
    <n v="3929150.92"/>
    <n v="3738103.9"/>
    <n v="3191137.7"/>
    <n v="4275188.3"/>
    <n v="2827788"/>
    <n v="4594615.8600000003"/>
    <n v="2311784.5"/>
    <n v="4043840.3"/>
    <n v="45947282.390000001"/>
    <n v="7052717.6100000003"/>
    <n v="86.69"/>
    <n v="13.31"/>
  </r>
  <r>
    <x v="65"/>
    <x v="5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2625000"/>
    <n v="2625000"/>
    <n v="63930"/>
    <n v="179935"/>
    <n v="155614"/>
    <n v="210740"/>
    <n v="103455"/>
    <n v="249130"/>
    <n v="163106"/>
    <n v="58760"/>
    <n v="122190"/>
    <n v="223875"/>
    <n v="164886"/>
    <n v="128980"/>
    <n v="1824601"/>
    <n v="800399"/>
    <n v="69.510000000000005"/>
    <n v="30.49"/>
  </r>
  <r>
    <x v="66"/>
    <x v="5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20000000"/>
    <n v="120000000"/>
    <n v="8793049.5500000007"/>
    <n v="8652032.1899999995"/>
    <n v="8946613.0199999996"/>
    <n v="8715139"/>
    <n v="7618800.5499999998"/>
    <n v="7017737.5"/>
    <n v="6535801"/>
    <n v="6595463"/>
    <n v="7245698.4100000001"/>
    <n v="6893603.5"/>
    <n v="7282804"/>
    <n v="7339785.5"/>
    <n v="91636527.219999999"/>
    <n v="28363472.780000001"/>
    <n v="76.36"/>
    <n v="23.64"/>
  </r>
  <r>
    <x v="67"/>
    <x v="5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42000000"/>
    <n v="42000000"/>
    <n v="2250547"/>
    <n v="3950496"/>
    <n v="4546235"/>
    <n v="2871918"/>
    <n v="2720151"/>
    <n v="5123653"/>
    <n v="7628576"/>
    <n v="2873889"/>
    <n v="3120528"/>
    <n v="3789596.1"/>
    <n v="4744504.3"/>
    <n v="5579648"/>
    <n v="49199741.399999999"/>
    <n v="-7199741.4000000004"/>
    <n v="117.14"/>
    <n v="-17.14"/>
  </r>
  <r>
    <x v="148"/>
    <x v="5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3000000"/>
    <n v="23000000"/>
    <n v="1632000"/>
    <n v="1883000"/>
    <n v="1735300"/>
    <n v="883622"/>
    <n v="1830000"/>
    <n v="1933000"/>
    <n v="1380805"/>
    <n v="1681000"/>
    <n v="2394000"/>
    <n v="1782000"/>
    <n v="2293000"/>
    <n v="974000"/>
    <n v="20401727"/>
    <n v="2598273"/>
    <n v="88.7"/>
    <n v="11.3"/>
  </r>
  <r>
    <x v="149"/>
    <x v="5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000000"/>
    <n v="38000000"/>
    <n v="6806500"/>
    <n v="980000"/>
    <n v="14215500"/>
    <n v="878093.14"/>
    <n v="7294000"/>
    <n v="94000"/>
    <n v="302000"/>
    <n v="800000"/>
    <n v="1740000"/>
    <n v="2564000"/>
    <n v="500000"/>
    <n v="484000"/>
    <n v="36658093.140000001"/>
    <n v="1341906.8600000001"/>
    <n v="96.47"/>
    <n v="3.53"/>
  </r>
  <r>
    <x v="70"/>
    <x v="5"/>
    <x v="64"/>
    <n v="1"/>
    <x v="0"/>
    <n v="13"/>
    <x v="2"/>
    <n v="132"/>
    <x v="7"/>
    <n v="1321"/>
    <x v="20"/>
    <n v="132102"/>
    <x v="37"/>
    <n v="13210200"/>
    <x v="0"/>
    <n v="132102000"/>
    <x v="0"/>
    <n v="1321020000"/>
    <x v="0"/>
    <n v="1"/>
    <s v="Ingresos corrientes"/>
    <n v="0"/>
    <n v="59856940"/>
    <n v="59856940"/>
    <n v="0"/>
    <n v="0"/>
    <n v="0"/>
    <n v="0"/>
    <n v="0"/>
    <n v="0"/>
    <n v="0"/>
    <n v="0"/>
    <n v="0"/>
    <n v="0"/>
    <n v="0"/>
    <n v="59856940"/>
    <n v="59856940"/>
    <n v="0"/>
    <n v="100"/>
    <n v="0"/>
  </r>
  <r>
    <x v="150"/>
    <x v="5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25000000"/>
    <n v="225000000"/>
    <n v="29224530.879999999"/>
    <n v="32103405.43"/>
    <n v="15176082.43"/>
    <n v="28435932.190000001"/>
    <n v="6389310.3700000001"/>
    <n v="15173194.9"/>
    <n v="84178326.170000002"/>
    <n v="15128766.140000001"/>
    <n v="12962902.960000001"/>
    <n v="10534435.26"/>
    <n v="141342383.75999999"/>
    <n v="65880619.93"/>
    <n v="456529890.42000002"/>
    <n v="-231529890.41999999"/>
    <n v="202.9"/>
    <n v="-102.9"/>
  </r>
  <r>
    <x v="194"/>
    <x v="5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2500000000"/>
    <n v="2500000000"/>
    <n v="99862914.390000001"/>
    <n v="5162.6400000000003"/>
    <n v="0"/>
    <n v="519297.53"/>
    <n v="296570.64"/>
    <n v="-824192.03"/>
    <n v="627364506.23000002"/>
    <n v="0"/>
    <n v="0"/>
    <n v="0"/>
    <n v="0"/>
    <n v="779752380.99000001"/>
    <n v="1506976640.3900001"/>
    <n v="993023359.61000001"/>
    <n v="60.28"/>
    <n v="39.72"/>
  </r>
  <r>
    <x v="151"/>
    <x v="5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0"/>
    <n v="10000000"/>
    <n v="0"/>
    <n v="91553"/>
    <n v="0"/>
    <n v="0"/>
    <n v="0"/>
    <n v="0"/>
    <n v="0"/>
    <n v="99054"/>
    <n v="0"/>
    <n v="0"/>
    <n v="0"/>
    <n v="0"/>
    <n v="190607"/>
    <n v="9809393"/>
    <n v="1.91"/>
    <n v="98.09"/>
  </r>
  <r>
    <x v="152"/>
    <x v="5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252000000"/>
    <n v="252000000"/>
    <n v="17329649.449999999"/>
    <n v="18322736.98"/>
    <n v="36103298.770000003"/>
    <n v="27367331.09"/>
    <n v="38585239.469999999"/>
    <n v="40666146.020000003"/>
    <n v="14161100.1"/>
    <n v="34100439.299999997"/>
    <n v="26282596.149999999"/>
    <n v="46003207.310000002"/>
    <n v="51418895.390000001"/>
    <n v="113391367.48"/>
    <n v="463732007.50999999"/>
    <n v="-211732007.50999999"/>
    <n v="184.02"/>
    <n v="-84.02"/>
  </r>
  <r>
    <x v="74"/>
    <x v="5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900000000"/>
    <n v="5900000000"/>
    <n v="320710576"/>
    <n v="325396227.56"/>
    <n v="609036214"/>
    <n v="398352677"/>
    <n v="545174536"/>
    <n v="406168072"/>
    <n v="639400840"/>
    <n v="470029606"/>
    <n v="419779217"/>
    <n v="536625473"/>
    <n v="410427705"/>
    <n v="11101368.560000001"/>
    <n v="5092202512.1199999"/>
    <n v="807797487.88"/>
    <n v="86.31"/>
    <n v="13.69"/>
  </r>
  <r>
    <x v="153"/>
    <x v="5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100000000"/>
    <n v="100000000"/>
    <n v="0"/>
    <n v="1439020.67"/>
    <n v="1049371"/>
    <n v="625198.11"/>
    <n v="3251271.7"/>
    <n v="630000"/>
    <n v="3496719.9"/>
    <n v="950000"/>
    <n v="3859920"/>
    <n v="0"/>
    <n v="2983803.38"/>
    <n v="1440715.81"/>
    <n v="19726020.57"/>
    <n v="80273979.430000007"/>
    <n v="19.73"/>
    <n v="80.27"/>
  </r>
  <r>
    <x v="154"/>
    <x v="5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3900000"/>
    <n v="23900000"/>
    <n v="37630000"/>
    <n v="0"/>
    <n v="0"/>
    <n v="40208638"/>
    <n v="0"/>
    <n v="0"/>
    <n v="0"/>
    <n v="0"/>
    <n v="40040000"/>
    <n v="0"/>
    <n v="49401400"/>
    <n v="49940000"/>
    <n v="217220038"/>
    <n v="-193320038"/>
    <n v="908.87"/>
    <n v="-808.87"/>
  </r>
  <r>
    <x v="155"/>
    <x v="5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79100000"/>
    <n v="79100000"/>
    <n v="1292500"/>
    <n v="19999000"/>
    <n v="17433500"/>
    <n v="14465000"/>
    <n v="5568500"/>
    <n v="12045750"/>
    <n v="9312500"/>
    <n v="22019650"/>
    <n v="8747500"/>
    <n v="8998500"/>
    <n v="6790500"/>
    <n v="10911000"/>
    <n v="137583900"/>
    <n v="-58483900"/>
    <n v="173.94"/>
    <n v="-73.94"/>
  </r>
  <r>
    <x v="156"/>
    <x v="5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65500000"/>
    <n v="65500000"/>
    <n v="500721.44"/>
    <n v="2872832.51"/>
    <n v="836285.98"/>
    <n v="3399699.06"/>
    <n v="2245168.48"/>
    <n v="4421024.8499999996"/>
    <n v="4906189.24"/>
    <n v="8749973.5899999999"/>
    <n v="3262187.57"/>
    <n v="16936125.420000002"/>
    <n v="6544583.4800000004"/>
    <n v="13810570.16"/>
    <n v="68485361.780000001"/>
    <n v="-2985361.78"/>
    <n v="104.56"/>
    <n v="-4.5599999999999996"/>
  </r>
  <r>
    <x v="195"/>
    <x v="5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71500000"/>
    <n v="71500000"/>
    <n v="160049"/>
    <n v="280802"/>
    <n v="2225360"/>
    <n v="8007592.8600000003"/>
    <n v="1525110"/>
    <n v="378105"/>
    <n v="110280405.91"/>
    <n v="399225"/>
    <n v="8345162.3600000003"/>
    <n v="614211.62"/>
    <n v="5603215.4500000002"/>
    <n v="7508320.71"/>
    <n v="145327559.91"/>
    <n v="-73827559.909999996"/>
    <n v="203.26"/>
    <n v="-103.26"/>
  </r>
  <r>
    <x v="80"/>
    <x v="5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86000000"/>
    <n v="86000000"/>
    <n v="20138714.780000001"/>
    <n v="4408612.3"/>
    <n v="2392885.23"/>
    <n v="13871287.460000001"/>
    <n v="13529381.130000001"/>
    <n v="41901178.369999997"/>
    <n v="15368652.75"/>
    <n v="1000000"/>
    <n v="125417383.91"/>
    <n v="1788595.59"/>
    <n v="8217819.0700000003"/>
    <n v="8182834.5499999998"/>
    <n v="256217345.13999999"/>
    <n v="-170217345.13999999"/>
    <n v="297.93"/>
    <n v="-197.93"/>
  </r>
  <r>
    <x v="157"/>
    <x v="5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00000000"/>
    <n v="2100000000"/>
    <n v="190325284.09999999"/>
    <n v="203467942.52000001"/>
    <n v="106059024.22"/>
    <n v="176800742.5"/>
    <n v="75367005.840000004"/>
    <n v="338281334.43000001"/>
    <n v="295062294.62"/>
    <n v="30329662.02"/>
    <n v="117006618.81999999"/>
    <n v="162267569.97999999"/>
    <n v="198669281.43000001"/>
    <n v="878790330.97000003"/>
    <n v="2772427091.4499998"/>
    <n v="-672427091.45000005"/>
    <n v="132.02000000000001"/>
    <n v="-32.020000000000003"/>
  </r>
  <r>
    <x v="158"/>
    <x v="5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4295930713.7299995"/>
    <n v="4295930713.7299995"/>
    <n v="39372642.630000003"/>
    <n v="53421422.200000003"/>
    <n v="77309787.409999996"/>
    <n v="80115576.310000002"/>
    <n v="177617316.15000001"/>
    <n v="222746271.24000001"/>
    <n v="61398661.390000001"/>
    <n v="2838096767.3099999"/>
    <n v="34297524.030000001"/>
    <n v="50342432.600000001"/>
    <n v="50846244.770000003"/>
    <n v="88353132.819999993"/>
    <n v="3773917778.8600001"/>
    <n v="522012934.87"/>
    <n v="87.85"/>
    <n v="12.15"/>
  </r>
  <r>
    <x v="159"/>
    <x v="5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2042600000"/>
    <n v="22042600000"/>
    <n v="0"/>
    <n v="0"/>
    <n v="0"/>
    <n v="0"/>
    <n v="0"/>
    <n v="0"/>
    <n v="0"/>
    <n v="0"/>
    <n v="0"/>
    <n v="0"/>
    <n v="0"/>
    <n v="22042600000"/>
    <n v="22042600000"/>
    <n v="0"/>
    <n v="100"/>
    <n v="0"/>
  </r>
  <r>
    <x v="235"/>
    <x v="5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400000000"/>
    <n v="400000000"/>
    <n v="0"/>
    <n v="0"/>
    <n v="0"/>
    <n v="0"/>
    <n v="0"/>
    <n v="0"/>
    <n v="0"/>
    <n v="0"/>
    <n v="0"/>
    <n v="399023264.23000002"/>
    <n v="0"/>
    <n v="0"/>
    <n v="399023264.23000002"/>
    <n v="976735.77"/>
    <n v="99.76"/>
    <n v="0.24"/>
  </r>
  <r>
    <x v="160"/>
    <x v="5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2500000000"/>
    <n v="2500000000"/>
    <n v="0"/>
    <n v="0"/>
    <n v="0"/>
    <n v="0"/>
    <n v="83937500"/>
    <n v="0"/>
    <n v="0"/>
    <n v="409957500"/>
    <n v="0"/>
    <n v="0"/>
    <n v="883082500"/>
    <n v="1430707500"/>
    <n v="2807685000"/>
    <n v="-307685000"/>
    <n v="112.31"/>
    <n v="-12.31"/>
  </r>
  <r>
    <x v="196"/>
    <x v="5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500000000"/>
    <n v="1500000000"/>
    <n v="0"/>
    <n v="0"/>
    <n v="0"/>
    <n v="0"/>
    <n v="729500000"/>
    <n v="0"/>
    <n v="0"/>
    <n v="0"/>
    <n v="0"/>
    <n v="0"/>
    <n v="0"/>
    <n v="19312350"/>
    <n v="748812350"/>
    <n v="751187650"/>
    <n v="49.92"/>
    <n v="50.08"/>
  </r>
  <r>
    <x v="208"/>
    <x v="5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6296800000"/>
    <n v="56296800000"/>
    <n v="0"/>
    <n v="0"/>
    <n v="9077700000"/>
    <n v="0"/>
    <n v="10000000000"/>
    <n v="5000000000"/>
    <n v="5000000000"/>
    <n v="5000000000"/>
    <n v="5000000000"/>
    <n v="5000000000"/>
    <n v="5000000000"/>
    <n v="7219100000"/>
    <n v="56296800000"/>
    <n v="0"/>
    <n v="100"/>
    <n v="0"/>
  </r>
  <r>
    <x v="209"/>
    <x v="5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8550000000"/>
    <n v="18550000000"/>
    <n v="0"/>
    <n v="0"/>
    <n v="0"/>
    <n v="3036293250"/>
    <n v="4375903146"/>
    <n v="9720109762"/>
    <n v="4141297780"/>
    <n v="2490099375"/>
    <n v="0"/>
    <n v="8422856710"/>
    <n v="0"/>
    <n v="-12804360811"/>
    <n v="19382199212"/>
    <n v="-832199212"/>
    <n v="104.49"/>
    <n v="-4.49"/>
  </r>
  <r>
    <x v="210"/>
    <x v="5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7500000000"/>
    <n v="47500000000"/>
    <n v="0"/>
    <n v="0"/>
    <n v="6500000000"/>
    <n v="5519077273"/>
    <n v="5096184545"/>
    <n v="10192369090"/>
    <n v="5096184545"/>
    <n v="0"/>
    <n v="5096184545"/>
    <n v="7692369090"/>
    <n v="0"/>
    <n v="2307630912"/>
    <n v="47500000000"/>
    <n v="0"/>
    <n v="100"/>
    <n v="0"/>
  </r>
  <r>
    <x v="211"/>
    <x v="5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400000000"/>
    <n v="6400000000"/>
    <n v="0"/>
    <n v="0"/>
    <n v="1066666666.66"/>
    <n v="0"/>
    <n v="1066666666.6799999"/>
    <n v="593333333.33000004"/>
    <n v="533333333.32999998"/>
    <n v="605456544.04999995"/>
    <n v="608577864.07000005"/>
    <n v="601511236.21000004"/>
    <n v="533333333.32999998"/>
    <n v="533333333.32999998"/>
    <n v="6142212310.9899998"/>
    <n v="257787689.00999999"/>
    <n v="95.97"/>
    <n v="4.03"/>
  </r>
  <r>
    <x v="212"/>
    <x v="5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79200000"/>
    <n v="2079200000"/>
    <n v="0"/>
    <n v="0"/>
    <n v="176348895.58000001"/>
    <n v="0"/>
    <n v="134516570.41"/>
    <n v="112292895.67"/>
    <n v="78902192.260000005"/>
    <n v="0"/>
    <n v="0"/>
    <n v="0"/>
    <n v="93732524.549999997"/>
    <n v="132605181.06"/>
    <n v="728398259.52999997"/>
    <n v="1350801740.47"/>
    <n v="35.03"/>
    <n v="64.97"/>
  </r>
  <r>
    <x v="92"/>
    <x v="5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4851500000"/>
    <n v="4851500000"/>
    <n v="0"/>
    <n v="4195681.03"/>
    <n v="597919673.65999997"/>
    <n v="309366688.91000003"/>
    <n v="613964789.97000003"/>
    <n v="312266866.64999998"/>
    <n v="315603609.74000001"/>
    <n v="0"/>
    <n v="324031956.93000001"/>
    <n v="668477651.21000004"/>
    <n v="0"/>
    <n v="0"/>
    <n v="3145826918.0999999"/>
    <n v="1705673081.9000001"/>
    <n v="64.84"/>
    <n v="35.159999999999997"/>
  </r>
  <r>
    <x v="217"/>
    <x v="5"/>
    <x v="188"/>
    <n v="1"/>
    <x v="0"/>
    <n v="14"/>
    <x v="3"/>
    <n v="141"/>
    <x v="10"/>
    <n v="1412"/>
    <x v="27"/>
    <n v="141203"/>
    <x v="65"/>
    <n v="14120300"/>
    <x v="0"/>
    <n v="141203000"/>
    <x v="0"/>
    <n v="1412030000"/>
    <x v="0"/>
    <n v="1"/>
    <s v="Ingresos corrientes"/>
    <n v="0"/>
    <n v="0"/>
    <n v="0"/>
    <n v="0"/>
    <n v="0"/>
    <n v="0"/>
    <n v="0"/>
    <n v="0"/>
    <n v="278608341.94"/>
    <n v="0"/>
    <n v="141845433.28"/>
    <n v="141845433.28"/>
    <n v="0"/>
    <n v="0"/>
    <n v="0"/>
    <n v="562299208.5"/>
    <n v="0"/>
    <n v="0"/>
    <n v="0"/>
  </r>
  <r>
    <x v="94"/>
    <x v="5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410000"/>
    <n v="3410000"/>
    <n v="0"/>
    <n v="0"/>
    <n v="0"/>
    <n v="3410000"/>
    <n v="0"/>
    <n v="0"/>
    <n v="0"/>
    <n v="0"/>
    <n v="0"/>
    <n v="0"/>
    <n v="0"/>
    <n v="0"/>
    <n v="3410000"/>
    <n v="0"/>
    <n v="100"/>
    <n v="0"/>
  </r>
  <r>
    <x v="164"/>
    <x v="5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600000"/>
    <n v="600000"/>
    <n v="0"/>
    <n v="0"/>
    <n v="0"/>
    <n v="0"/>
    <n v="0"/>
    <n v="0"/>
    <n v="0"/>
    <n v="0"/>
    <n v="1200000"/>
    <n v="0"/>
    <n v="0"/>
    <n v="0"/>
    <n v="1200000"/>
    <n v="-600000"/>
    <n v="200"/>
    <n v="-100"/>
  </r>
  <r>
    <x v="95"/>
    <x v="5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2700000"/>
    <n v="12700000"/>
    <n v="0"/>
    <n v="0"/>
    <n v="12700000"/>
    <n v="0"/>
    <n v="0"/>
    <n v="0"/>
    <n v="0"/>
    <n v="0"/>
    <n v="0"/>
    <n v="0"/>
    <n v="0"/>
    <n v="0"/>
    <n v="12700000"/>
    <n v="0"/>
    <n v="100"/>
    <n v="0"/>
  </r>
  <r>
    <x v="96"/>
    <x v="5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3200000"/>
    <n v="3200000"/>
    <n v="0"/>
    <n v="3200000"/>
    <n v="0"/>
    <n v="0"/>
    <n v="0"/>
    <n v="0"/>
    <n v="0"/>
    <n v="0"/>
    <n v="0"/>
    <n v="0"/>
    <n v="0"/>
    <n v="0"/>
    <n v="3200000"/>
    <n v="0"/>
    <n v="100"/>
    <n v="0"/>
  </r>
  <r>
    <x v="97"/>
    <x v="5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7500000"/>
    <n v="7500000"/>
    <n v="0"/>
    <n v="7500000"/>
    <n v="0"/>
    <n v="0"/>
    <n v="0"/>
    <n v="0"/>
    <n v="0"/>
    <n v="0"/>
    <n v="0"/>
    <n v="0"/>
    <n v="0"/>
    <n v="0"/>
    <n v="7500000"/>
    <n v="0"/>
    <n v="100"/>
    <n v="0"/>
  </r>
  <r>
    <x v="165"/>
    <x v="5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8200000"/>
    <n v="8200000"/>
    <n v="0"/>
    <n v="8200000"/>
    <n v="0"/>
    <n v="0"/>
    <n v="0"/>
    <n v="0"/>
    <n v="0"/>
    <n v="0"/>
    <n v="0"/>
    <n v="0"/>
    <n v="0"/>
    <n v="0"/>
    <n v="8200000"/>
    <n v="0"/>
    <n v="100"/>
    <n v="0"/>
  </r>
  <r>
    <x v="197"/>
    <x v="5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600000"/>
    <n v="21600000"/>
    <n v="0"/>
    <n v="20000000"/>
    <n v="0"/>
    <n v="0"/>
    <n v="0"/>
    <n v="0"/>
    <n v="0"/>
    <n v="0"/>
    <n v="0"/>
    <n v="0"/>
    <n v="0"/>
    <n v="0"/>
    <n v="20000000"/>
    <n v="1600000"/>
    <n v="92.59"/>
    <n v="7.41"/>
  </r>
  <r>
    <x v="166"/>
    <x v="5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2800000"/>
    <n v="2800000"/>
    <n v="0"/>
    <n v="0"/>
    <n v="0"/>
    <n v="0"/>
    <n v="0"/>
    <n v="0"/>
    <n v="0"/>
    <n v="0"/>
    <n v="0"/>
    <n v="0"/>
    <n v="0"/>
    <n v="2800000"/>
    <n v="2800000"/>
    <n v="0"/>
    <n v="100"/>
    <n v="0"/>
  </r>
  <r>
    <x v="99"/>
    <x v="5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8200000"/>
    <n v="18200000"/>
    <n v="0"/>
    <n v="0"/>
    <n v="0"/>
    <n v="0"/>
    <n v="0"/>
    <n v="18200000"/>
    <n v="0"/>
    <n v="0"/>
    <n v="0"/>
    <n v="0"/>
    <n v="0"/>
    <n v="0"/>
    <n v="18200000"/>
    <n v="0"/>
    <n v="100"/>
    <n v="0"/>
  </r>
  <r>
    <x v="100"/>
    <x v="5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4400000"/>
    <n v="4400000"/>
    <n v="0"/>
    <n v="0"/>
    <n v="0"/>
    <n v="4400000"/>
    <n v="0"/>
    <n v="0"/>
    <n v="0"/>
    <n v="0"/>
    <n v="0"/>
    <n v="0"/>
    <n v="0"/>
    <n v="0"/>
    <n v="4400000"/>
    <n v="0"/>
    <n v="100"/>
    <n v="0"/>
  </r>
  <r>
    <x v="101"/>
    <x v="5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48700000"/>
    <n v="48700000"/>
    <n v="0"/>
    <n v="0"/>
    <n v="48700000"/>
    <n v="0"/>
    <n v="0"/>
    <n v="0"/>
    <n v="0"/>
    <n v="0"/>
    <n v="0"/>
    <n v="0"/>
    <n v="950000"/>
    <n v="-950000"/>
    <n v="48700000"/>
    <n v="0"/>
    <n v="100"/>
    <n v="0"/>
  </r>
  <r>
    <x v="102"/>
    <x v="5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800000"/>
    <n v="3800000"/>
    <n v="0"/>
    <n v="0"/>
    <n v="950000"/>
    <n v="0"/>
    <n v="0"/>
    <n v="0"/>
    <n v="0"/>
    <n v="0"/>
    <n v="0"/>
    <n v="0"/>
    <n v="0"/>
    <n v="2850000"/>
    <n v="3800000"/>
    <n v="0"/>
    <n v="100"/>
    <n v="0"/>
  </r>
  <r>
    <x v="105"/>
    <x v="5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3977000000"/>
    <n v="3977000000"/>
    <n v="0"/>
    <n v="0"/>
    <n v="0"/>
    <n v="0"/>
    <n v="0"/>
    <n v="0"/>
    <n v="0"/>
    <n v="0"/>
    <n v="3977010796"/>
    <n v="0"/>
    <n v="0"/>
    <n v="0"/>
    <n v="3977010796"/>
    <n v="-10796"/>
    <n v="100"/>
    <n v="0"/>
  </r>
  <r>
    <x v="167"/>
    <x v="5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42400000"/>
    <n v="342400000"/>
    <n v="0"/>
    <n v="0"/>
    <n v="28532994.579999998"/>
    <n v="0"/>
    <n v="57064669.159999996"/>
    <n v="28532334.579999998"/>
    <n v="28532334.579999998"/>
    <n v="28532334.579999998"/>
    <n v="57064669.159999996"/>
    <n v="28532334.579999998"/>
    <n v="0"/>
    <n v="85597003.739999995"/>
    <n v="342388674.95999998"/>
    <n v="11325.04"/>
    <n v="100"/>
    <n v="0"/>
  </r>
  <r>
    <x v="106"/>
    <x v="5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327000000"/>
    <n v="327000000"/>
    <n v="26905916.890000001"/>
    <n v="15605001.199999999"/>
    <n v="20436496.829999998"/>
    <n v="48864883.840000004"/>
    <n v="39140275.710000001"/>
    <n v="42627699.869999997"/>
    <n v="22249713.350000001"/>
    <n v="101781963.64"/>
    <n v="77629511.730000004"/>
    <n v="13365055.67"/>
    <n v="61416939.75"/>
    <n v="45620345.100000001"/>
    <n v="515643803.57999998"/>
    <n v="-188643803.58000001"/>
    <n v="157.69"/>
    <n v="-57.69"/>
  </r>
  <r>
    <x v="107"/>
    <x v="5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36100000"/>
    <n v="36100000"/>
    <n v="0"/>
    <n v="0"/>
    <n v="36100000"/>
    <n v="0"/>
    <n v="0"/>
    <n v="0"/>
    <n v="0"/>
    <n v="0"/>
    <n v="0"/>
    <n v="0"/>
    <n v="0"/>
    <n v="0"/>
    <n v="36100000"/>
    <n v="0"/>
    <n v="100"/>
    <n v="0"/>
  </r>
  <r>
    <x v="108"/>
    <x v="5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01200000"/>
    <n v="101200000"/>
    <n v="0"/>
    <n v="0"/>
    <n v="0"/>
    <n v="101200000"/>
    <n v="0"/>
    <n v="0"/>
    <n v="0"/>
    <n v="0"/>
    <n v="0"/>
    <n v="0"/>
    <n v="0"/>
    <n v="0"/>
    <n v="101200000"/>
    <n v="0"/>
    <n v="100"/>
    <n v="0"/>
  </r>
  <r>
    <x v="109"/>
    <x v="5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000000"/>
    <n v="8000000"/>
    <n v="0"/>
    <n v="0"/>
    <n v="8000000"/>
    <n v="0"/>
    <n v="0"/>
    <n v="0"/>
    <n v="0"/>
    <n v="0"/>
    <n v="0"/>
    <n v="0"/>
    <n v="0"/>
    <n v="0"/>
    <n v="8000000"/>
    <n v="0"/>
    <n v="100"/>
    <n v="0"/>
  </r>
  <r>
    <x v="110"/>
    <x v="5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1900000"/>
    <n v="11900000"/>
    <n v="0"/>
    <n v="0"/>
    <n v="0"/>
    <n v="0"/>
    <n v="0"/>
    <n v="0"/>
    <n v="0"/>
    <n v="0"/>
    <n v="25400000"/>
    <n v="0"/>
    <n v="0"/>
    <n v="0"/>
    <n v="25400000"/>
    <n v="-13500000"/>
    <n v="213.45"/>
    <n v="-113.45"/>
  </r>
  <r>
    <x v="111"/>
    <x v="5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1300000"/>
    <n v="11300000"/>
    <n v="0"/>
    <n v="0"/>
    <n v="0"/>
    <n v="0"/>
    <n v="0"/>
    <n v="0"/>
    <n v="0"/>
    <n v="0"/>
    <n v="0"/>
    <n v="0"/>
    <n v="0"/>
    <n v="0"/>
    <n v="0"/>
    <n v="11300000"/>
    <n v="0"/>
    <n v="100"/>
  </r>
  <r>
    <x v="218"/>
    <x v="5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600000"/>
    <n v="2600000"/>
    <n v="0"/>
    <n v="0"/>
    <n v="0"/>
    <n v="0"/>
    <n v="0"/>
    <n v="0"/>
    <n v="0"/>
    <n v="0"/>
    <n v="0"/>
    <n v="0"/>
    <n v="0"/>
    <n v="0"/>
    <n v="0"/>
    <n v="2600000"/>
    <n v="0"/>
    <n v="100"/>
  </r>
  <r>
    <x v="219"/>
    <x v="5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5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89400000"/>
    <n v="289400000"/>
    <n v="0"/>
    <n v="0"/>
    <n v="350900000"/>
    <n v="0"/>
    <n v="0"/>
    <n v="0"/>
    <n v="0"/>
    <n v="0"/>
    <n v="0"/>
    <n v="0"/>
    <n v="0"/>
    <n v="0"/>
    <n v="350900000"/>
    <n v="-61500000"/>
    <n v="121.25"/>
    <n v="-21.25"/>
  </r>
  <r>
    <x v="169"/>
    <x v="5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800000"/>
    <n v="43800000"/>
    <n v="3650000"/>
    <n v="3650000"/>
    <n v="3650000"/>
    <n v="3650000"/>
    <n v="3650000"/>
    <n v="3650000"/>
    <n v="3650000"/>
    <n v="3650000"/>
    <n v="3650000"/>
    <n v="3650000"/>
    <n v="3650000"/>
    <n v="3650000"/>
    <n v="43800000"/>
    <n v="0"/>
    <n v="100"/>
    <n v="0"/>
  </r>
  <r>
    <x v="170"/>
    <x v="5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78400000"/>
    <n v="378400000"/>
    <n v="0"/>
    <n v="0"/>
    <n v="0"/>
    <n v="473700000"/>
    <n v="0"/>
    <n v="0"/>
    <n v="0"/>
    <n v="0"/>
    <n v="0"/>
    <n v="0"/>
    <n v="0"/>
    <n v="289400000"/>
    <n v="763100000"/>
    <n v="-384700000"/>
    <n v="201.66"/>
    <n v="-101.66"/>
  </r>
  <r>
    <x v="171"/>
    <x v="5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98"/>
    <x v="5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5900000"/>
    <n v="5900000"/>
    <n v="0"/>
    <n v="0"/>
    <n v="0"/>
    <n v="0"/>
    <n v="0"/>
    <n v="0"/>
    <n v="0"/>
    <n v="0"/>
    <n v="0"/>
    <n v="0"/>
    <n v="5900000"/>
    <n v="0"/>
    <n v="5900000"/>
    <n v="0"/>
    <n v="100"/>
    <n v="0"/>
  </r>
  <r>
    <x v="236"/>
    <x v="5"/>
    <x v="181"/>
    <n v="1"/>
    <x v="0"/>
    <n v="14"/>
    <x v="3"/>
    <n v="143"/>
    <x v="18"/>
    <n v="1431"/>
    <x v="41"/>
    <n v="143101"/>
    <x v="72"/>
    <n v="14310100"/>
    <x v="0"/>
    <n v="143101000"/>
    <x v="0"/>
    <n v="1431010000"/>
    <x v="0"/>
    <n v="1"/>
    <s v="Ingresos corrientes"/>
    <n v="0"/>
    <n v="152215580"/>
    <n v="152215580"/>
    <n v="0"/>
    <n v="0"/>
    <n v="0"/>
    <n v="0"/>
    <n v="0"/>
    <n v="0"/>
    <n v="0"/>
    <n v="0"/>
    <n v="0"/>
    <n v="0"/>
    <n v="0"/>
    <n v="0"/>
    <n v="0"/>
    <n v="152215580"/>
    <n v="0"/>
    <n v="100"/>
  </r>
  <r>
    <x v="237"/>
    <x v="5"/>
    <x v="205"/>
    <n v="1"/>
    <x v="0"/>
    <n v="14"/>
    <x v="3"/>
    <n v="143"/>
    <x v="18"/>
    <n v="1431"/>
    <x v="41"/>
    <n v="143102"/>
    <x v="73"/>
    <n v="14310200"/>
    <x v="0"/>
    <n v="143102000"/>
    <x v="0"/>
    <n v="1431020000"/>
    <x v="0"/>
    <n v="1"/>
    <s v="Ingresos corrientes"/>
    <n v="0"/>
    <n v="88536000"/>
    <n v="88536000"/>
    <n v="0"/>
    <n v="0"/>
    <n v="0"/>
    <n v="0"/>
    <n v="0"/>
    <n v="0"/>
    <n v="0"/>
    <n v="88536000"/>
    <n v="0"/>
    <n v="0"/>
    <n v="0"/>
    <n v="0"/>
    <n v="88536000"/>
    <n v="0"/>
    <n v="100"/>
    <n v="0"/>
  </r>
  <r>
    <x v="238"/>
    <x v="5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848550000"/>
    <n v="3848550000"/>
    <n v="0"/>
    <n v="0"/>
    <n v="0"/>
    <n v="0"/>
    <n v="0"/>
    <n v="0"/>
    <n v="0"/>
    <n v="0"/>
    <n v="3848550000"/>
    <n v="0"/>
    <n v="0"/>
    <n v="0"/>
    <n v="3848550000"/>
    <n v="0"/>
    <n v="100"/>
    <n v="0"/>
  </r>
  <r>
    <x v="121"/>
    <x v="5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84700000"/>
    <n v="84700000"/>
    <n v="0"/>
    <n v="30000000"/>
    <n v="0"/>
    <n v="0"/>
    <n v="0"/>
    <n v="0"/>
    <n v="53000000"/>
    <n v="0"/>
    <n v="0"/>
    <n v="0"/>
    <n v="46400000"/>
    <n v="-44700000"/>
    <n v="84700000"/>
    <n v="0"/>
    <n v="100"/>
    <n v="0"/>
  </r>
  <r>
    <x v="174"/>
    <x v="5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00461309000"/>
    <n v="500461309000"/>
    <n v="0"/>
    <n v="24913742816.990002"/>
    <n v="48435789467.389999"/>
    <n v="41200789091.330002"/>
    <n v="8106182926.96"/>
    <n v="60362081531.699997"/>
    <n v="6590632063.8000002"/>
    <n v="16395423369.92"/>
    <n v="22843071463.529999"/>
    <n v="34787955135.150002"/>
    <n v="55964323533.849998"/>
    <n v="74535538764.330002"/>
    <n v="394135530164.95001"/>
    <n v="106325778835.05"/>
    <n v="78.75"/>
    <n v="21.25"/>
  </r>
  <r>
    <x v="175"/>
    <x v="5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56309493161"/>
    <n v="2156309493161"/>
    <n v="22341248053.369999"/>
    <n v="193480575850"/>
    <n v="215345330053.12"/>
    <n v="135822119179.3"/>
    <n v="152666928684"/>
    <n v="180761874600"/>
    <n v="140572189582.62"/>
    <n v="177682426520"/>
    <n v="162105499109.84"/>
    <n v="231508278741.64999"/>
    <n v="136895944750"/>
    <n v="165082841268.14001"/>
    <n v="1914265256392.04"/>
    <n v="242044236768.95999"/>
    <n v="88.78"/>
    <n v="11.22"/>
  </r>
  <r>
    <x v="123"/>
    <x v="5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1717520855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5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20094053814.700001"/>
    <n v="729629958.04999995"/>
    <n v="0"/>
    <n v="0"/>
    <n v="0"/>
    <n v="0"/>
    <n v="0"/>
    <n v="0"/>
    <n v="0"/>
    <n v="729629958.04999995"/>
    <n v="0"/>
    <n v="0"/>
    <n v="0"/>
    <n v="0"/>
    <n v="729629958.04999995"/>
    <n v="0"/>
    <n v="100"/>
    <n v="0"/>
  </r>
  <r>
    <x v="124"/>
    <x v="5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8438441448.4399996"/>
    <n v="3484812159.5100002"/>
    <n v="0"/>
    <n v="76926208.010000005"/>
    <n v="711517818.78999996"/>
    <n v="0"/>
    <n v="651304865.22000003"/>
    <n v="293798668.51999998"/>
    <n v="216308613.5"/>
    <n v="316922930.79000002"/>
    <n v="259334054.06"/>
    <n v="255059058.61000001"/>
    <n v="463447225.04000002"/>
    <n v="240192716.97"/>
    <n v="3484812159.5100002"/>
    <n v="0"/>
    <n v="100"/>
    <n v="0"/>
  </r>
  <r>
    <x v="125"/>
    <x v="5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1251952882.5"/>
    <n v="5034200"/>
    <n v="0"/>
    <n v="0"/>
    <n v="0"/>
    <n v="0"/>
    <n v="0"/>
    <n v="5034200"/>
    <n v="0"/>
    <n v="0"/>
    <n v="0"/>
    <n v="0"/>
    <n v="0"/>
    <n v="0"/>
    <n v="5034200"/>
    <n v="0"/>
    <n v="100"/>
    <n v="0"/>
  </r>
  <r>
    <x v="126"/>
    <x v="5"/>
    <x v="108"/>
    <n v="3"/>
    <x v="2"/>
    <n v="32"/>
    <x v="7"/>
    <n v="321"/>
    <x v="16"/>
    <n v="3211"/>
    <x v="37"/>
    <n v="321102"/>
    <x v="55"/>
    <n v="32110211"/>
    <x v="0"/>
    <n v="321102110"/>
    <x v="0"/>
    <n v="3211021100"/>
    <x v="0"/>
    <n v="500"/>
    <s v="Crédito BID 1451/OC-CR, Ley N° 8403 Programa de Desarrollo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5"/>
    <x v="109"/>
    <n v="3"/>
    <x v="2"/>
    <n v="32"/>
    <x v="7"/>
    <n v="321"/>
    <x v="16"/>
    <n v="3211"/>
    <x v="37"/>
    <n v="321102"/>
    <x v="55"/>
    <n v="32110213"/>
    <x v="0"/>
    <n v="321102130"/>
    <x v="0"/>
    <n v="3211021300"/>
    <x v="0"/>
    <n v="502"/>
    <s v="Crédito BID 1436/OC-CR, Ley N° 8408 Programa de Fomento de la Producción Agropecuaria Sosteni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5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916361320.2000008"/>
    <n v="413859359.58999997"/>
    <n v="0"/>
    <n v="26726042"/>
    <n v="7430533"/>
    <n v="21221529"/>
    <n v="20317210.600000001"/>
    <n v="6587849.5999999996"/>
    <n v="64404439.899999999"/>
    <n v="10656529"/>
    <n v="13914160.43"/>
    <n v="41208204.990000002"/>
    <n v="44784868.460000001"/>
    <n v="156607992.61000001"/>
    <n v="413859359.58999997"/>
    <n v="0"/>
    <n v="100"/>
    <n v="0"/>
  </r>
  <r>
    <x v="221"/>
    <x v="5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x v="5"/>
    <x v="110"/>
    <n v="3"/>
    <x v="2"/>
    <n v="32"/>
    <x v="7"/>
    <n v="321"/>
    <x v="16"/>
    <n v="3211"/>
    <x v="37"/>
    <n v="321103"/>
    <x v="56"/>
    <n v="32110303"/>
    <x v="0"/>
    <n v="321103030"/>
    <x v="0"/>
    <n v="3211030300"/>
    <x v="0"/>
    <n v="532"/>
    <s v="Crédito BIRF 70-68-CR, Ley N° 8269 Proyecto de Fortalecimiento y Modernización del Sector Salu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5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8296653885.3299999"/>
    <n v="1800317362.24"/>
    <n v="0"/>
    <n v="854604997.09000003"/>
    <n v="0"/>
    <n v="0"/>
    <n v="349566338.69999999"/>
    <n v="0"/>
    <n v="0"/>
    <n v="0"/>
    <n v="283909880.77999997"/>
    <n v="0"/>
    <n v="0"/>
    <n v="312236145.67000002"/>
    <n v="1800317362.24"/>
    <n v="0"/>
    <n v="100"/>
    <n v="0"/>
  </r>
  <r>
    <x v="203"/>
    <x v="5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9746388952.3299999"/>
    <n v="1508606315.8299999"/>
    <n v="0"/>
    <n v="0"/>
    <n v="0"/>
    <n v="0"/>
    <n v="0"/>
    <n v="0"/>
    <n v="0"/>
    <n v="0"/>
    <n v="0"/>
    <n v="0"/>
    <n v="0"/>
    <n v="1508606315.8299999"/>
    <n v="1508606315.8299999"/>
    <n v="0"/>
    <n v="100"/>
    <n v="0"/>
  </r>
  <r>
    <x v="204"/>
    <x v="5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5908079619.899999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6668000438.029999"/>
    <n v="3167540073.8400002"/>
    <n v="0"/>
    <n v="89784677.379999995"/>
    <n v="322269495.77999997"/>
    <n v="378563329.85000002"/>
    <n v="135829369.18000001"/>
    <n v="36677104.560000002"/>
    <n v="0"/>
    <n v="216215692.15000001"/>
    <n v="0"/>
    <n v="0"/>
    <n v="0"/>
    <n v="1988200404.9400001"/>
    <n v="3167540073.8400002"/>
    <n v="0"/>
    <n v="100"/>
    <n v="0"/>
  </r>
  <r>
    <x v="225"/>
    <x v="5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5"/>
    <x v="111"/>
    <n v="3"/>
    <x v="2"/>
    <n v="32"/>
    <x v="7"/>
    <n v="321"/>
    <x v="16"/>
    <n v="3212"/>
    <x v="38"/>
    <n v="321201"/>
    <x v="44"/>
    <n v="32120100"/>
    <x v="0"/>
    <n v="321201000"/>
    <x v="0"/>
    <n v="3212010000"/>
    <x v="0"/>
    <n v="690"/>
    <s v="Crédito del Gobierno de los EEUU, Convenio PL-480 Leyes N° 6945, 6978, 7019, 7059, 7098, 7203 y 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5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717418283.76999998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5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944625728.6700001"/>
    <n v="624735867.91999996"/>
    <n v="0"/>
    <n v="0"/>
    <n v="599994088.33000004"/>
    <n v="-608216.71"/>
    <n v="0"/>
    <n v="0"/>
    <n v="0"/>
    <n v="0"/>
    <n v="25349996.300000001"/>
    <n v="0"/>
    <n v="0"/>
    <n v="0"/>
    <n v="624735867.91999996"/>
    <n v="0"/>
    <n v="100"/>
    <n v="0"/>
  </r>
  <r>
    <x v="242"/>
    <x v="5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0526260000"/>
    <n v="50526260000"/>
    <n v="0"/>
    <n v="0"/>
    <n v="0"/>
    <n v="0"/>
    <n v="0"/>
    <n v="0"/>
    <n v="0"/>
    <n v="0"/>
    <n v="0"/>
    <n v="0"/>
    <n v="0"/>
    <n v="50113678775.449997"/>
    <n v="50113678775.449997"/>
    <n v="412581224.55000001"/>
    <n v="99.18"/>
    <n v="0.82"/>
  </r>
  <r>
    <x v="243"/>
    <x v="5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50000000"/>
    <n v="150000000"/>
    <n v="0"/>
    <n v="0"/>
    <n v="0"/>
    <n v="0"/>
    <n v="0"/>
    <n v="150000000"/>
    <n v="0"/>
    <n v="0"/>
    <n v="0"/>
    <n v="0"/>
    <n v="0"/>
    <n v="0"/>
    <n v="150000000"/>
    <n v="0"/>
    <n v="100"/>
    <n v="0"/>
  </r>
  <r>
    <x v="133"/>
    <x v="6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71000000000"/>
    <n v="171000000000"/>
    <n v="10716011324.73"/>
    <n v="11862986437.17"/>
    <n v="12398244474.690001"/>
    <n v="14328902543.629999"/>
    <n v="13866225253.08"/>
    <n v="21171681968.25"/>
    <n v="15931724663.85"/>
    <n v="14804158434.26"/>
    <n v="15974605417.91"/>
    <n v="15062638657.4"/>
    <n v="15873668294.030001"/>
    <n v="15521059831.85"/>
    <n v="177511907300.85001"/>
    <n v="-6511907300.8500004"/>
    <n v="103.81"/>
    <n v="-3.81"/>
  </r>
  <r>
    <x v="134"/>
    <x v="6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1000000000"/>
    <n v="111000000000"/>
    <n v="9213601488.2900009"/>
    <n v="8460708079.2399998"/>
    <n v="9382956477.9400005"/>
    <n v="20102378800.169998"/>
    <n v="16289638453.690001"/>
    <n v="-9041700493.9699993"/>
    <n v="8614857231.8999996"/>
    <n v="8547936592.5"/>
    <n v="8790419212.5799999"/>
    <n v="9334643174.8199997"/>
    <n v="8587450152.5100002"/>
    <n v="8349846445.9399996"/>
    <n v="106632735615.61"/>
    <n v="4367264384.3900003"/>
    <n v="96.07"/>
    <n v="3.93"/>
  </r>
  <r>
    <x v="135"/>
    <x v="6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50000000000"/>
    <n v="50000000000"/>
    <n v="912916768.20000005"/>
    <n v="436475681.81"/>
    <n v="2554201990.27"/>
    <n v="6587566933.3400002"/>
    <n v="6316578714.6400003"/>
    <n v="-6981881525.8299999"/>
    <n v="2261048971.1799998"/>
    <n v="605563145.89999998"/>
    <n v="2184583295.5"/>
    <n v="2275221850.1700001"/>
    <n v="1480601446"/>
    <n v="14116192191.700001"/>
    <n v="32749069462.880001"/>
    <n v="17250930537.119999"/>
    <n v="65.5"/>
    <n v="34.5"/>
  </r>
  <r>
    <x v="180"/>
    <x v="6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61400000000"/>
    <n v="61400000000"/>
    <n v="4100489991.4699998"/>
    <n v="2335112331"/>
    <n v="8771813282.8700008"/>
    <n v="4502534467.79"/>
    <n v="3566994382.25"/>
    <n v="8260158959.7200003"/>
    <n v="19085028692.419998"/>
    <n v="3734756531.4400001"/>
    <n v="10861282029.24"/>
    <n v="4557825438.1499996"/>
    <n v="3818594756.1799998"/>
    <n v="7610521980.0100002"/>
    <n v="81205112842.539993"/>
    <n v="-19805112842.540001"/>
    <n v="132.26"/>
    <n v="-32.26"/>
  </r>
  <r>
    <x v="137"/>
    <x v="6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69130000000"/>
    <n v="469130000000"/>
    <n v="6445980116.2700005"/>
    <n v="6355432348.9200001"/>
    <n v="101372122591.24001"/>
    <n v="-8055513711.7399998"/>
    <n v="-10821578940.059999"/>
    <n v="121335417987.77"/>
    <n v="12437130527.5"/>
    <n v="5451334881.0299997"/>
    <n v="79239676296.149994"/>
    <n v="16658477110.27"/>
    <n v="7100207016.3999996"/>
    <n v="126332010526.31"/>
    <n v="463850696750.06"/>
    <n v="5279303249.9399996"/>
    <n v="98.87"/>
    <n v="1.1299999999999999"/>
  </r>
  <r>
    <x v="181"/>
    <x v="6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90000000"/>
    <n v="490000000"/>
    <n v="10855427"/>
    <n v="281004365.94999999"/>
    <n v="27358570"/>
    <n v="67597592"/>
    <n v="16058057"/>
    <n v="15321907"/>
    <n v="12802027"/>
    <n v="21288045.989999998"/>
    <n v="21249080"/>
    <n v="16503563"/>
    <n v="17057919"/>
    <n v="80830192"/>
    <n v="587926745.94000006"/>
    <n v="-97926745.939999998"/>
    <n v="119.99"/>
    <n v="-19.989999999999998"/>
  </r>
  <r>
    <x v="138"/>
    <x v="6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19350000000"/>
    <n v="19350000000"/>
    <n v="1908433201.03"/>
    <n v="1765633391.22"/>
    <n v="3000063344.6300001"/>
    <n v="3282264758.25"/>
    <n v="1531563240.5799999"/>
    <n v="-2297659827.5"/>
    <n v="618466082.98000002"/>
    <n v="663184923.77999997"/>
    <n v="2227076357.1799998"/>
    <n v="1968784304.8800001"/>
    <n v="1838800747.3299999"/>
    <n v="3889419804.1500001"/>
    <n v="20396030328.509998"/>
    <n v="-1046030328.51"/>
    <n v="105.41"/>
    <n v="-5.41"/>
  </r>
  <r>
    <x v="182"/>
    <x v="6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000000000"/>
    <n v="41000000000"/>
    <n v="3522860807.4400001"/>
    <n v="3043127213.1799998"/>
    <n v="1793409231.6600001"/>
    <n v="8083587129.5900002"/>
    <n v="3270595148.27"/>
    <n v="1408311290.0599999"/>
    <n v="4479346864.9799995"/>
    <n v="2987509875.5900002"/>
    <n v="1382998473.5"/>
    <n v="8108101218.2299995"/>
    <n v="2452715025.6199999"/>
    <n v="2580512211.6599998"/>
    <n v="43113074489.779999"/>
    <n v="-2113074489.78"/>
    <n v="105.15"/>
    <n v="-5.15"/>
  </r>
  <r>
    <x v="183"/>
    <x v="6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9500000000"/>
    <n v="9500000000"/>
    <n v="1619456144.99"/>
    <n v="1053391028.5"/>
    <n v="781292882.69000006"/>
    <n v="924389909.22000003"/>
    <n v="1003934332.51"/>
    <n v="914528683.12"/>
    <n v="1144102490.1900001"/>
    <n v="1058097834.83"/>
    <n v="941386005.30999994"/>
    <n v="960203454.80999994"/>
    <n v="1036429996.46"/>
    <n v="1518745515.9400001"/>
    <n v="12955958278.57"/>
    <n v="-3455958278.5700002"/>
    <n v="136.38"/>
    <n v="-36.380000000000003"/>
  </r>
  <r>
    <x v="184"/>
    <x v="6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75000000000"/>
    <n v="75000000000"/>
    <n v="7441263348.2200003"/>
    <n v="4259354948.7199998"/>
    <n v="5607532526.0100002"/>
    <n v="9521250925.6000004"/>
    <n v="7649491211.1300001"/>
    <n v="1020216388.3099999"/>
    <n v="6804859189.9700003"/>
    <n v="6126017909.5200005"/>
    <n v="6366175232.3500004"/>
    <n v="7598761846.1199999"/>
    <n v="5546784176.8599997"/>
    <n v="7368454287.6700001"/>
    <n v="75310161990.479996"/>
    <n v="-310161990.48000002"/>
    <n v="100.41"/>
    <n v="-0.41"/>
  </r>
  <r>
    <x v="18"/>
    <x v="6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130000000"/>
    <n v="130000000"/>
    <n v="128543008"/>
    <n v="0"/>
    <n v="0"/>
    <n v="0"/>
    <n v="0"/>
    <n v="-2012964.33"/>
    <n v="0"/>
    <n v="0"/>
    <n v="0"/>
    <n v="0"/>
    <n v="0"/>
    <n v="0"/>
    <n v="126530043.67"/>
    <n v="3469956.33"/>
    <n v="97.33"/>
    <n v="2.67"/>
  </r>
  <r>
    <x v="186"/>
    <x v="6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200000000"/>
    <n v="4200000000"/>
    <n v="5659129277.7700005"/>
    <n v="243018902.94999999"/>
    <n v="79613346.519999996"/>
    <n v="53124026"/>
    <n v="-2166718501.0599999"/>
    <n v="22896210"/>
    <n v="6296218"/>
    <n v="9820807"/>
    <n v="-10324567.369999999"/>
    <n v="11526586"/>
    <n v="16547314"/>
    <n v="73209082.370000005"/>
    <n v="3998138702.1799998"/>
    <n v="201861297.81999999"/>
    <n v="95.19"/>
    <n v="4.8099999999999996"/>
  </r>
  <r>
    <x v="141"/>
    <x v="6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12000000000"/>
    <n v="112000000000"/>
    <n v="6016963381"/>
    <n v="3788937943.1599998"/>
    <n v="1977732725.28"/>
    <n v="1798420771.6500001"/>
    <n v="1935773307"/>
    <n v="1464048394"/>
    <n v="1144102357"/>
    <n v="964077585"/>
    <n v="938522568.25"/>
    <n v="710701381"/>
    <n v="7998367344"/>
    <n v="84989834826.660004"/>
    <n v="113727482584"/>
    <n v="-1727482584"/>
    <n v="101.54"/>
    <n v="-1.54"/>
  </r>
  <r>
    <x v="21"/>
    <x v="6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24000000"/>
    <n v="124000000"/>
    <n v="10537041"/>
    <n v="5713043"/>
    <n v="2932604"/>
    <n v="2221028"/>
    <n v="2210547"/>
    <n v="1954393"/>
    <n v="1646034"/>
    <n v="1461715"/>
    <n v="1545332"/>
    <n v="1389105"/>
    <n v="8031801"/>
    <n v="92286966"/>
    <n v="131929609"/>
    <n v="-7929609"/>
    <n v="106.39"/>
    <n v="-6.39"/>
  </r>
  <r>
    <x v="22"/>
    <x v="6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00000000"/>
    <n v="400000000"/>
    <n v="312656.87"/>
    <n v="21948033.890000001"/>
    <n v="18482740.550000001"/>
    <n v="147322616.71000001"/>
    <n v="133572132.43000001"/>
    <n v="12372198.960000001"/>
    <n v="16834048.039999999"/>
    <n v="9990415.3399999999"/>
    <n v="12259523.08"/>
    <n v="5949368.8600000003"/>
    <n v="6054204.25"/>
    <n v="13451119.82"/>
    <n v="398549058.80000001"/>
    <n v="1450941.2"/>
    <n v="99.64"/>
    <n v="0.36"/>
  </r>
  <r>
    <x v="229"/>
    <x v="6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4000000000"/>
    <n v="34000000000"/>
    <n v="14849289443.620001"/>
    <n v="10248835578.49"/>
    <n v="1794503309.96"/>
    <n v="1630733101.8399999"/>
    <n v="1288803136.1900001"/>
    <n v="1076255515.5699999"/>
    <n v="879234048.55999994"/>
    <n v="909769375.39999998"/>
    <n v="737257559.39999998"/>
    <n v="859923481.85000002"/>
    <n v="748944464.69000006"/>
    <n v="702246436.67999995"/>
    <n v="35725795452.25"/>
    <n v="-1725795452.25"/>
    <n v="105.08"/>
    <n v="-5.08"/>
  </r>
  <r>
    <x v="23"/>
    <x v="6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27500000000"/>
    <n v="27500000000"/>
    <n v="1562610345.75"/>
    <n v="2094514053.6700001"/>
    <n v="1897472977"/>
    <n v="2123666471"/>
    <n v="2772395618.5"/>
    <n v="2218809661"/>
    <n v="2420531583"/>
    <n v="2903789037"/>
    <n v="2193027946"/>
    <n v="3029505001"/>
    <n v="2384832639"/>
    <n v="2644333030.8299999"/>
    <n v="28245488363.75"/>
    <n v="-745488363.75"/>
    <n v="102.71"/>
    <n v="-2.71"/>
  </r>
  <r>
    <x v="24"/>
    <x v="6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5500000000"/>
    <n v="15500000000"/>
    <n v="1318356717"/>
    <n v="1427897882"/>
    <n v="1203879305"/>
    <n v="1425552273.99"/>
    <n v="1611566768"/>
    <n v="1373346191"/>
    <n v="1447147878"/>
    <n v="1473818398"/>
    <n v="1415466878"/>
    <n v="1639064601"/>
    <n v="1567679250"/>
    <n v="1273420909.01"/>
    <n v="17177197051"/>
    <n v="-1677197051"/>
    <n v="110.82"/>
    <n v="-10.82"/>
  </r>
  <r>
    <x v="142"/>
    <x v="6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26000000000"/>
    <n v="626000000000"/>
    <n v="66722997970.949997"/>
    <n v="51191395684.580002"/>
    <n v="49211462322.209999"/>
    <n v="52322196768.559998"/>
    <n v="47476930643.160004"/>
    <n v="44884514441.190002"/>
    <n v="52296285069.580002"/>
    <n v="49267304953.349998"/>
    <n v="50055904160.93"/>
    <n v="51618362169.349998"/>
    <n v="48724859364.059998"/>
    <n v="68079084950.339996"/>
    <n v="631851298498.26001"/>
    <n v="-5851298498.2600002"/>
    <n v="100.93"/>
    <n v="-0.93"/>
  </r>
  <r>
    <x v="187"/>
    <x v="6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536000000000"/>
    <n v="536000000000"/>
    <n v="44364424700.940002"/>
    <n v="41883254840.080002"/>
    <n v="39900273553.760002"/>
    <n v="46936932146.050003"/>
    <n v="45546332429"/>
    <n v="41235933536.660004"/>
    <n v="46283928862.32"/>
    <n v="44188250935.32"/>
    <n v="42877867889.870003"/>
    <n v="51326893604.010002"/>
    <n v="54863736341.709999"/>
    <n v="45485665557.019997"/>
    <n v="544893494396.73999"/>
    <n v="-8893494396.7399998"/>
    <n v="101.66"/>
    <n v="-1.66"/>
  </r>
  <r>
    <x v="188"/>
    <x v="6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600000000"/>
    <n v="23600000000"/>
    <n v="2018906066.05"/>
    <n v="1818422288.1500001"/>
    <n v="2108787151.51"/>
    <n v="2104419372.1199999"/>
    <n v="1966881311.3599999"/>
    <n v="1527346336.6800001"/>
    <n v="3018039439.73"/>
    <n v="1329383166.6900001"/>
    <n v="1678216282.5"/>
    <n v="1256050277.96"/>
    <n v="1337964814.8599999"/>
    <n v="2025881120.0799999"/>
    <n v="22190297627.689999"/>
    <n v="1409702372.3099999"/>
    <n v="94.03"/>
    <n v="5.97"/>
  </r>
  <r>
    <x v="189"/>
    <x v="6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56000000000"/>
    <n v="156000000000"/>
    <n v="11870584159.620001"/>
    <n v="13539371143.049999"/>
    <n v="13464796306.049999"/>
    <n v="14047392693.299999"/>
    <n v="12614877878.299999"/>
    <n v="10961491072.18"/>
    <n v="12481538201.120001"/>
    <n v="11252910082.27"/>
    <n v="10901515092.33"/>
    <n v="13559507828.440001"/>
    <n v="16834247980.42"/>
    <n v="12686047614.52"/>
    <n v="154214280051.60001"/>
    <n v="1785719948.4000001"/>
    <n v="98.86"/>
    <n v="1.1399999999999999"/>
  </r>
  <r>
    <x v="143"/>
    <x v="6"/>
    <x v="125"/>
    <n v="1"/>
    <x v="0"/>
    <n v="11"/>
    <x v="0"/>
    <n v="113"/>
    <x v="2"/>
    <n v="1132"/>
    <x v="10"/>
    <n v="113201"/>
    <x v="16"/>
    <n v="11320102"/>
    <x v="7"/>
    <n v="113201021"/>
    <x v="22"/>
    <n v="1132010210"/>
    <x v="0"/>
    <n v="1"/>
    <s v="Ingresos corrientes"/>
    <n v="0"/>
    <n v="0"/>
    <n v="0"/>
    <n v="0"/>
    <n v="18030"/>
    <n v="0"/>
    <n v="0"/>
    <n v="0"/>
    <n v="0"/>
    <n v="0"/>
    <n v="0"/>
    <n v="0"/>
    <n v="0"/>
    <n v="0"/>
    <n v="0"/>
    <n v="18030"/>
    <n v="0"/>
    <n v="0"/>
    <n v="0"/>
  </r>
  <r>
    <x v="30"/>
    <x v="6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14500000000"/>
    <n v="214500000000"/>
    <n v="15613047918"/>
    <n v="25937253359"/>
    <n v="14272179916"/>
    <n v="25279299935"/>
    <n v="17518555698"/>
    <n v="9016062844"/>
    <n v="21714266134"/>
    <n v="22272817850"/>
    <n v="19575029245"/>
    <n v="18880811580"/>
    <n v="18537737002"/>
    <n v="33095479129"/>
    <n v="241712540610"/>
    <n v="-27212540610"/>
    <n v="112.69"/>
    <n v="-12.69"/>
  </r>
  <r>
    <x v="31"/>
    <x v="6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75500000000"/>
    <n v="175500000000"/>
    <n v="7089042055.8400002"/>
    <n v="16779114835.59"/>
    <n v="21298353818.650002"/>
    <n v="14044817476.66"/>
    <n v="13577737174.469999"/>
    <n v="14918901175.51"/>
    <n v="14203127997.68"/>
    <n v="14826962621.299999"/>
    <n v="14068349602.41"/>
    <n v="13411561251.57"/>
    <n v="7955349484.54"/>
    <n v="10324108543.26"/>
    <n v="162497426037.48001"/>
    <n v="13002573962.52"/>
    <n v="92.59"/>
    <n v="7.41"/>
  </r>
  <r>
    <x v="32"/>
    <x v="6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800000000"/>
    <n v="28800000000"/>
    <n v="3305437705.4000001"/>
    <n v="1586012067.1500001"/>
    <n v="2742604397.4299998"/>
    <n v="2281632261.2399998"/>
    <n v="2138578327.6900001"/>
    <n v="2103982356.4300001"/>
    <n v="1809882690"/>
    <n v="2288838264.1100001"/>
    <n v="2305351123.7399998"/>
    <n v="2613728603.4000001"/>
    <n v="1561103184.74"/>
    <n v="3495633344.0900002"/>
    <n v="28232784325.419998"/>
    <n v="567215674.58000004"/>
    <n v="98.03"/>
    <n v="1.97"/>
  </r>
  <r>
    <x v="33"/>
    <x v="6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200000000"/>
    <n v="7200000000"/>
    <n v="586097461.25"/>
    <n v="453461089.10000002"/>
    <n v="653512366.13999999"/>
    <n v="612415339.51999998"/>
    <n v="621860899.03999996"/>
    <n v="459779233.86000001"/>
    <n v="436701865.02999997"/>
    <n v="420009871.83999997"/>
    <n v="458536205.19999999"/>
    <n v="833222161.13"/>
    <n v="763544548.59000003"/>
    <n v="722112210.74000001"/>
    <n v="7021253251.4399996"/>
    <n v="178746748.56"/>
    <n v="97.52"/>
    <n v="2.48"/>
  </r>
  <r>
    <x v="34"/>
    <x v="6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1700000000"/>
    <n v="31700000000"/>
    <n v="3025058104.0999999"/>
    <n v="2287163496.7800002"/>
    <n v="2341441928.5500002"/>
    <n v="2749517283.6199999"/>
    <n v="2484457889.6999998"/>
    <n v="2505769368.1300001"/>
    <n v="2383857812.6399999"/>
    <n v="2491439247.3400002"/>
    <n v="2381928162.2800002"/>
    <n v="2313068147.8800001"/>
    <n v="2398552042.9899998"/>
    <n v="2648858299.0300002"/>
    <n v="30011111783.040001"/>
    <n v="1688888216.96"/>
    <n v="94.67"/>
    <n v="5.33"/>
  </r>
  <r>
    <x v="35"/>
    <x v="6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2800000000"/>
    <n v="2800000000"/>
    <n v="183664578.33000001"/>
    <n v="176859500.99000001"/>
    <n v="224375741.93000001"/>
    <n v="192920029.09999999"/>
    <n v="212846142.43000001"/>
    <n v="207080377.56"/>
    <n v="210971974.30000001"/>
    <n v="230855577.38999999"/>
    <n v="178485060.69"/>
    <n v="200285206.72999999"/>
    <n v="289919112.10000002"/>
    <n v="199233356.30000001"/>
    <n v="2507496657.8499999"/>
    <n v="292503342.14999998"/>
    <n v="89.55"/>
    <n v="10.45"/>
  </r>
  <r>
    <x v="190"/>
    <x v="6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650000000"/>
    <n v="1650000000"/>
    <n v="126914149.33"/>
    <n v="161905453.69"/>
    <n v="124019822.54000001"/>
    <n v="177655018.11000001"/>
    <n v="232704885.72999999"/>
    <n v="188833392.34"/>
    <n v="172234557.13999999"/>
    <n v="169079344.97"/>
    <n v="180677465.24000001"/>
    <n v="167653255.52000001"/>
    <n v="129985264.78"/>
    <n v="156988692.72999999"/>
    <n v="1988651302.1199999"/>
    <n v="-338651302.12"/>
    <n v="120.52"/>
    <n v="-20.52"/>
  </r>
  <r>
    <x v="144"/>
    <x v="6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15000000"/>
    <n v="215000000"/>
    <n v="0"/>
    <n v="17976908.350000001"/>
    <n v="21541692.98"/>
    <n v="44880823.359999999"/>
    <n v="28346802.829999998"/>
    <n v="26138003.109999999"/>
    <n v="0"/>
    <n v="50379167.68"/>
    <n v="24266155.879999999"/>
    <n v="24410574.780000001"/>
    <n v="0"/>
    <n v="53379760.409999996"/>
    <n v="291319889.38"/>
    <n v="-76319889.379999995"/>
    <n v="135.5"/>
    <n v="-35.5"/>
  </r>
  <r>
    <x v="230"/>
    <x v="6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2800000000"/>
    <n v="22800000000"/>
    <n v="1483042296.9300001"/>
    <n v="1696508417"/>
    <n v="1925732560"/>
    <n v="2086044797.1300001"/>
    <n v="2304039425"/>
    <n v="1486469205.4000001"/>
    <n v="4132889403.6999998"/>
    <n v="941019457.13"/>
    <n v="1654999113.21"/>
    <n v="817752398.79999995"/>
    <n v="1177809905.2"/>
    <n v="3955150904.1999998"/>
    <n v="23661457883.700001"/>
    <n v="-861457883.70000005"/>
    <n v="103.78"/>
    <n v="-3.78"/>
  </r>
  <r>
    <x v="231"/>
    <x v="6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200000000"/>
    <n v="15200000000"/>
    <n v="1423635987"/>
    <n v="899840000"/>
    <n v="1257040198.9000001"/>
    <n v="1454364519"/>
    <n v="541616400"/>
    <n v="1110753059.1199999"/>
    <n v="1646939107.01"/>
    <n v="1550988054.5899999"/>
    <n v="1039259623.9299999"/>
    <n v="1398643200"/>
    <n v="1671629935.5999999"/>
    <n v="1203433390.9400001"/>
    <n v="15198143476.09"/>
    <n v="1856523.91"/>
    <n v="99.99"/>
    <n v="0.01"/>
  </r>
  <r>
    <x v="37"/>
    <x v="6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17000000"/>
    <n v="917000000"/>
    <n v="90781269.230000004"/>
    <n v="91308574.120000005"/>
    <n v="61645601.210000001"/>
    <n v="79253355.420000002"/>
    <n v="100059121.94"/>
    <n v="78850286.200000003"/>
    <n v="88234635.810000002"/>
    <n v="93863975.489999995"/>
    <n v="111874671.54000001"/>
    <n v="56704571.829999998"/>
    <n v="59652829.82"/>
    <n v="87734646.75"/>
    <n v="999963539.36000001"/>
    <n v="-82963539.359999999"/>
    <n v="109.05"/>
    <n v="-9.0500000000000007"/>
  </r>
  <r>
    <x v="244"/>
    <x v="6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32000000"/>
    <n v="132000000"/>
    <n v="0"/>
    <n v="0"/>
    <n v="0"/>
    <n v="0"/>
    <n v="0"/>
    <n v="10765475"/>
    <n v="0"/>
    <n v="0"/>
    <n v="0"/>
    <n v="8065276"/>
    <n v="0"/>
    <n v="0"/>
    <n v="18830751"/>
    <n v="113169249"/>
    <n v="14.27"/>
    <n v="85.73"/>
  </r>
  <r>
    <x v="145"/>
    <x v="6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30500000000"/>
    <n v="130500000000"/>
    <n v="10137268563.42"/>
    <n v="9487901956.6900005"/>
    <n v="8852766171.4300003"/>
    <n v="10024697175.73"/>
    <n v="10429460002.620001"/>
    <n v="9467715399.2000008"/>
    <n v="10883391887.459999"/>
    <n v="10709182471.76"/>
    <n v="12027996435.93"/>
    <n v="13239741188.65"/>
    <n v="13024650670.67"/>
    <n v="12349119826.139999"/>
    <n v="130633891749.7"/>
    <n v="-133891749.7"/>
    <n v="100.1"/>
    <n v="-0.1"/>
  </r>
  <r>
    <x v="40"/>
    <x v="6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4000000000"/>
    <n v="24000000000"/>
    <n v="2153575697.5999999"/>
    <n v="1906924330.54"/>
    <n v="1766943780.1500001"/>
    <n v="2029707415.02"/>
    <n v="1981629071.8699999"/>
    <n v="1769818469.49"/>
    <n v="1844909578.05"/>
    <n v="1930961108.8"/>
    <n v="2192193289.8200002"/>
    <n v="2218665779.4499998"/>
    <n v="1882478014.21"/>
    <n v="2264377414.5100002"/>
    <n v="23942183949.509998"/>
    <n v="57816050.490000002"/>
    <n v="99.76"/>
    <n v="0.24"/>
  </r>
  <r>
    <x v="41"/>
    <x v="6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25000000"/>
    <n v="2625000000"/>
    <n v="260712161.84"/>
    <n v="296111276.37"/>
    <n v="184832048.91"/>
    <n v="222054170.33000001"/>
    <n v="212174646.50999999"/>
    <n v="213216631.06"/>
    <n v="178115439.53999999"/>
    <n v="195020532.50999999"/>
    <n v="199030638.31"/>
    <n v="853533599.80999994"/>
    <n v="1024753438.28"/>
    <n v="263983415.71000001"/>
    <n v="4103537999.1799998"/>
    <n v="-1478537999.1800001"/>
    <n v="156.33000000000001"/>
    <n v="-56.33"/>
  </r>
  <r>
    <x v="42"/>
    <x v="6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3188270"/>
    <n v="13328159.16"/>
    <n v="11281686"/>
    <n v="13495273.5"/>
    <n v="12961921.5"/>
    <n v="13099857"/>
    <n v="11064739.5"/>
    <n v="12118744.5"/>
    <n v="12298105.5"/>
    <n v="17936349.309999999"/>
    <n v="19276950"/>
    <n v="18273318.84"/>
    <n v="168323374.81"/>
    <n v="-10323374.810000001"/>
    <n v="106.53"/>
    <n v="-6.53"/>
  </r>
  <r>
    <x v="245"/>
    <x v="6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887000000"/>
    <n v="887000000"/>
    <n v="0"/>
    <n v="0"/>
    <n v="0"/>
    <n v="0"/>
    <n v="0"/>
    <n v="0"/>
    <n v="0"/>
    <n v="112522109.5"/>
    <n v="124745972.75"/>
    <n v="134809469.47"/>
    <n v="125508415.5"/>
    <n v="107079401.25"/>
    <n v="604665368.47000003"/>
    <n v="282334631.52999997"/>
    <n v="68.17"/>
    <n v="31.83"/>
  </r>
  <r>
    <x v="44"/>
    <x v="6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27780000000"/>
    <n v="27780000000"/>
    <n v="2995221940.6700001"/>
    <n v="2384572672"/>
    <n v="2554157521.0900002"/>
    <n v="2800069819.73"/>
    <n v="1915376643.0999999"/>
    <n v="1959953573.3399999"/>
    <n v="2611812562.27"/>
    <n v="2281836564.7600002"/>
    <n v="1625026378.55"/>
    <n v="1673490006.9200001"/>
    <n v="1828177459.9200001"/>
    <n v="2752346665.3600001"/>
    <n v="27382041807.709999"/>
    <n v="397958192.29000002"/>
    <n v="98.57"/>
    <n v="1.43"/>
  </r>
  <r>
    <x v="246"/>
    <x v="6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713000000"/>
    <n v="713000000"/>
    <n v="0"/>
    <n v="0"/>
    <n v="0"/>
    <n v="0"/>
    <n v="0"/>
    <n v="0"/>
    <n v="0"/>
    <n v="1725900.72"/>
    <n v="1121076.56"/>
    <n v="596359.80000000005"/>
    <n v="629745.25"/>
    <n v="165733978.56"/>
    <n v="169807060.88999999"/>
    <n v="543192939.11000001"/>
    <n v="23.82"/>
    <n v="76.180000000000007"/>
  </r>
  <r>
    <x v="45"/>
    <x v="6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200000000"/>
    <n v="6200000000"/>
    <n v="888858414.07000005"/>
    <n v="518059421.70999998"/>
    <n v="522883580.81"/>
    <n v="472864543.75999999"/>
    <n v="494680957.52999997"/>
    <n v="314387883.38"/>
    <n v="408484281.17000002"/>
    <n v="253290594.65000001"/>
    <n v="311562302.42000002"/>
    <n v="358485260.05000001"/>
    <n v="330931011.38999999"/>
    <n v="395529305.88999999"/>
    <n v="5270017556.8299999"/>
    <n v="929982443.16999996"/>
    <n v="85"/>
    <n v="15"/>
  </r>
  <r>
    <x v="232"/>
    <x v="6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850000000"/>
    <n v="850000000"/>
    <n v="0"/>
    <n v="67411763.299999997"/>
    <n v="63976813.060000002"/>
    <n v="59600150.960000001"/>
    <n v="75763686.950000003"/>
    <n v="90055291.469999999"/>
    <n v="66767585.200000003"/>
    <n v="98804100.950000003"/>
    <n v="72629823.049999997"/>
    <n v="68915589.810000002"/>
    <n v="85036962.900000006"/>
    <n v="117234555.73999999"/>
    <n v="866196323.38999999"/>
    <n v="-16196323.390000001"/>
    <n v="101.91"/>
    <n v="-1.91"/>
  </r>
  <r>
    <x v="247"/>
    <x v="6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3950000000"/>
    <n v="3950000000"/>
    <n v="0"/>
    <n v="298454232.93000001"/>
    <n v="0"/>
    <n v="0"/>
    <n v="866165711.90999997"/>
    <n v="313246232.95999998"/>
    <n v="289903563.98000002"/>
    <n v="331656494.87"/>
    <n v="316432281.70999998"/>
    <n v="320929900.43000001"/>
    <n v="385981485.04000002"/>
    <n v="668630651.28999996"/>
    <n v="3791400555.1199999"/>
    <n v="158599444.88"/>
    <n v="95.98"/>
    <n v="4.0199999999999996"/>
  </r>
  <r>
    <x v="233"/>
    <x v="6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000000000"/>
    <n v="9000000000"/>
    <n v="965932.8"/>
    <n v="674322630.02999997"/>
    <n v="687611121.50999999"/>
    <n v="606605878.41999996"/>
    <n v="773113971.36000001"/>
    <n v="658869573.79999995"/>
    <n v="520747400.32999998"/>
    <n v="599092213.63"/>
    <n v="599951982.79999995"/>
    <n v="637836778.89999998"/>
    <n v="709932246.25"/>
    <n v="1213359987.05"/>
    <n v="7682409716.8800001"/>
    <n v="1317590283.1199999"/>
    <n v="85.36"/>
    <n v="14.64"/>
  </r>
  <r>
    <x v="146"/>
    <x v="6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965000000"/>
    <n v="965000000"/>
    <n v="81234086.120000005"/>
    <n v="60544290.649999999"/>
    <n v="60852986.229999997"/>
    <n v="52310101.420000002"/>
    <n v="76704192.700000003"/>
    <n v="104109460.12"/>
    <n v="98740286.609999999"/>
    <n v="82367011.170000002"/>
    <n v="68403910.25"/>
    <n v="83783407.230000004"/>
    <n v="86551585.739999995"/>
    <n v="67313965.569999993"/>
    <n v="922915283.80999994"/>
    <n v="42084716.189999998"/>
    <n v="95.64"/>
    <n v="4.3600000000000003"/>
  </r>
  <r>
    <x v="47"/>
    <x v="6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150000000"/>
    <n v="5150000000"/>
    <n v="479585807.48000002"/>
    <n v="289085502.48000002"/>
    <n v="740139881.45000005"/>
    <n v="289199239.61000001"/>
    <n v="380256955.19999999"/>
    <n v="306510768.72000003"/>
    <n v="402140592.75"/>
    <n v="520076471.25"/>
    <n v="389546184.75"/>
    <n v="611714233.63999999"/>
    <n v="415628610.56999999"/>
    <n v="683904304.50999999"/>
    <n v="5507788552.4099998"/>
    <n v="-357788552.41000003"/>
    <n v="106.95"/>
    <n v="-6.95"/>
  </r>
  <r>
    <x v="147"/>
    <x v="6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28000000"/>
    <n v="128000000"/>
    <n v="8294678.4100000001"/>
    <n v="9139764.5099999998"/>
    <n v="9055767.3200000003"/>
    <n v="6223"/>
    <n v="25084597.739999998"/>
    <n v="11426529.029999999"/>
    <n v="12640553.57"/>
    <n v="10946859.02"/>
    <n v="12485734.48"/>
    <n v="14854287.49"/>
    <n v="15546083.24"/>
    <n v="28121.25"/>
    <n v="129509199.06"/>
    <n v="-1509199.06"/>
    <n v="101.18"/>
    <n v="-1.18"/>
  </r>
  <r>
    <x v="53"/>
    <x v="6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3000000000"/>
    <n v="23000000000"/>
    <n v="2813725198.5799999"/>
    <n v="1808175026.0799999"/>
    <n v="1735479400.9100001"/>
    <n v="1936156961.7"/>
    <n v="1346237564.54"/>
    <n v="2098257859.1500001"/>
    <n v="1591957018.8900001"/>
    <n v="1361562603.8"/>
    <n v="2215714641.4099998"/>
    <n v="1849435967.47"/>
    <n v="1944591278.21"/>
    <n v="1707962687.9100001"/>
    <n v="22409256208.650002"/>
    <n v="590743791.35000002"/>
    <n v="97.43"/>
    <n v="2.57"/>
  </r>
  <r>
    <x v="54"/>
    <x v="6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2000000000"/>
    <n v="22000000000"/>
    <n v="1636972767.95"/>
    <n v="1680963671.78"/>
    <n v="1788175015.8199999"/>
    <n v="1805992981.49"/>
    <n v="1773395761.6600001"/>
    <n v="1759053973.26"/>
    <n v="1814889319.9200001"/>
    <n v="1900720620.73"/>
    <n v="1879355837.0899999"/>
    <n v="1841595109.8"/>
    <n v="1331510730.8199999"/>
    <n v="1877020379.8900001"/>
    <n v="21089646170.209999"/>
    <n v="910353829.78999996"/>
    <n v="95.86"/>
    <n v="4.1399999999999997"/>
  </r>
  <r>
    <x v="55"/>
    <x v="6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2500000000"/>
    <n v="12500000000"/>
    <n v="1091292564.4200001"/>
    <n v="986648482.47000003"/>
    <n v="984990403.66999996"/>
    <n v="982056257.63999999"/>
    <n v="1097465835.6600001"/>
    <n v="1037499581.25"/>
    <n v="1029408829.63"/>
    <n v="1043297882.85"/>
    <n v="1177452241.28"/>
    <n v="1047835755.74"/>
    <n v="1068661123.22"/>
    <n v="1226903085.99"/>
    <n v="12773512043.82"/>
    <n v="-273512043.81999999"/>
    <n v="102.19"/>
    <n v="-2.19"/>
  </r>
  <r>
    <x v="191"/>
    <x v="6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1319.53"/>
    <n v="179967.02"/>
    <n v="68034.009999999995"/>
    <n v="184980.66"/>
    <n v="200610.06"/>
    <n v="0"/>
    <n v="102118.64"/>
    <n v="71419.3"/>
    <n v="349353.12"/>
    <n v="14783.93"/>
    <n v="122348.92"/>
    <n v="133871.29999999999"/>
    <n v="1438806.49"/>
    <n v="-438806.49"/>
    <n v="143.88"/>
    <n v="-43.88"/>
  </r>
  <r>
    <x v="234"/>
    <x v="6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25000000"/>
    <n v="25000000"/>
    <n v="1321456.6200000001"/>
    <n v="1878543.33"/>
    <n v="2621277.4300000002"/>
    <n v="2300267.31"/>
    <n v="3132359.86"/>
    <n v="2094140.48"/>
    <n v="2067074.66"/>
    <n v="1882617.25"/>
    <n v="2399154.34"/>
    <n v="3304553.73"/>
    <n v="2521173.06"/>
    <n v="2919216.06"/>
    <n v="28441834.129999999"/>
    <n v="-3441834.13"/>
    <n v="113.77"/>
    <n v="-13.77"/>
  </r>
  <r>
    <x v="58"/>
    <x v="6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6000000"/>
    <n v="16000000"/>
    <n v="360750"/>
    <n v="212250"/>
    <n v="1261390.5"/>
    <n v="2934531"/>
    <n v="1223640.5"/>
    <n v="1671640.5"/>
    <n v="1223640.5"/>
    <n v="1671640.5"/>
    <n v="1223640.5"/>
    <n v="1223640.5"/>
    <n v="1209390.5"/>
    <n v="9053640.5"/>
    <n v="23269795.5"/>
    <n v="-7269795.5"/>
    <n v="145.44"/>
    <n v="-45.44"/>
  </r>
  <r>
    <x v="59"/>
    <x v="6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27000000"/>
    <n v="227000000"/>
    <n v="1625476.49"/>
    <n v="21397949.280000001"/>
    <n v="18852930.609999999"/>
    <n v="22858766.59"/>
    <n v="33789059.119999997"/>
    <n v="15203824.640000001"/>
    <n v="12897992.58"/>
    <n v="41261737.100000001"/>
    <n v="42519163.030000001"/>
    <n v="3909794.48"/>
    <n v="18820251.579999998"/>
    <n v="118769753.38"/>
    <n v="351906698.88"/>
    <n v="-124906698.88"/>
    <n v="155.02000000000001"/>
    <n v="-55.02"/>
  </r>
  <r>
    <x v="193"/>
    <x v="6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72000000"/>
    <n v="172000000"/>
    <n v="11744866.390000001"/>
    <n v="22904215.73"/>
    <n v="22391153.18"/>
    <n v="2918840.65"/>
    <n v="4224826.37"/>
    <n v="36701947.240000002"/>
    <n v="34821437.640000001"/>
    <n v="6363605"/>
    <n v="17815930.460000001"/>
    <n v="1375114.71"/>
    <n v="4692133.99"/>
    <n v="25980976.609999999"/>
    <n v="191935047.97"/>
    <n v="-19935047.969999999"/>
    <n v="111.59"/>
    <n v="-11.59"/>
  </r>
  <r>
    <x v="60"/>
    <x v="6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27000000"/>
    <n v="27000000"/>
    <n v="6207667.2999999998"/>
    <n v="9523284.2599999998"/>
    <n v="299253121.02999997"/>
    <n v="270832216.36000001"/>
    <n v="-557067443.94000006"/>
    <n v="-2330955.96"/>
    <n v="27500"/>
    <n v="3741303.34"/>
    <n v="-3692391.56"/>
    <n v="0"/>
    <n v="0"/>
    <n v="12488553.109999999"/>
    <n v="38982853.939999998"/>
    <n v="-11982853.939999999"/>
    <n v="144.38"/>
    <n v="-44.38"/>
  </r>
  <r>
    <x v="61"/>
    <x v="6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120199.23"/>
    <n v="0"/>
    <n v="0"/>
    <n v="0"/>
    <n v="0"/>
    <n v="0"/>
    <n v="120199.23"/>
    <n v="0"/>
    <n v="0"/>
    <n v="0"/>
  </r>
  <r>
    <x v="248"/>
    <x v="6"/>
    <x v="216"/>
    <n v="1"/>
    <x v="0"/>
    <n v="13"/>
    <x v="2"/>
    <n v="131"/>
    <x v="6"/>
    <n v="1312"/>
    <x v="18"/>
    <n v="131209"/>
    <x v="34"/>
    <n v="13120909"/>
    <x v="98"/>
    <n v="131209093"/>
    <x v="29"/>
    <n v="131209093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863891036.76999998"/>
    <n v="863891036.76999998"/>
    <n v="0"/>
    <n v="0"/>
    <n v="0"/>
  </r>
  <r>
    <x v="62"/>
    <x v="6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2250"/>
    <n v="2050"/>
    <n v="3350"/>
    <n v="555149"/>
    <n v="151200"/>
    <n v="1200"/>
    <n v="2200"/>
    <n v="2650"/>
    <n v="1700"/>
    <n v="3300"/>
    <n v="19400"/>
    <n v="2400"/>
    <n v="746849"/>
    <n v="0"/>
    <n v="0"/>
    <n v="0"/>
  </r>
  <r>
    <x v="63"/>
    <x v="6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186000000"/>
    <n v="3186000000"/>
    <n v="266872778.58000001"/>
    <n v="99248549.439999998"/>
    <n v="37894073.390000001"/>
    <n v="35287916.93"/>
    <n v="30989363.510000002"/>
    <n v="16880087"/>
    <n v="16432628.619999999"/>
    <n v="13907311.699999999"/>
    <n v="9574516.0999999996"/>
    <n v="16725921.85"/>
    <n v="251884571.09"/>
    <n v="2423900449.4699998"/>
    <n v="3219598167.6799998"/>
    <n v="-33598167.68"/>
    <n v="101.05"/>
    <n v="-1.05"/>
  </r>
  <r>
    <x v="64"/>
    <x v="6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5000000"/>
    <n v="45000000"/>
    <n v="3839887.12"/>
    <n v="4866366.9800000004"/>
    <n v="2946177.6"/>
    <n v="4557205"/>
    <n v="4832717.5199999996"/>
    <n v="1629939.75"/>
    <n v="4238565.96"/>
    <n v="4482704.24"/>
    <n v="2539301.2999999998"/>
    <n v="4317322.68"/>
    <n v="1905891.36"/>
    <n v="4146610.74"/>
    <n v="44302690.25"/>
    <n v="697309.75"/>
    <n v="98.45"/>
    <n v="1.55"/>
  </r>
  <r>
    <x v="65"/>
    <x v="6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3000000"/>
    <n v="3000000"/>
    <n v="157850"/>
    <n v="76940"/>
    <n v="168810"/>
    <n v="214836"/>
    <n v="272079"/>
    <n v="315592"/>
    <n v="303012"/>
    <n v="420954"/>
    <n v="297639"/>
    <n v="249002"/>
    <n v="124279"/>
    <n v="368261"/>
    <n v="2969254"/>
    <n v="30746"/>
    <n v="98.98"/>
    <n v="1.02"/>
  </r>
  <r>
    <x v="66"/>
    <x v="6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0000000"/>
    <n v="100000000"/>
    <n v="7726772.5"/>
    <n v="7440122.1799999997"/>
    <n v="8229528.5"/>
    <n v="8833966.5"/>
    <n v="7714531.5"/>
    <n v="6188156.0499999998"/>
    <n v="6633322.5"/>
    <n v="7005990.5"/>
    <n v="7548610"/>
    <n v="9279009.4600000009"/>
    <n v="4724621"/>
    <n v="10737604"/>
    <n v="92062234.689999998"/>
    <n v="7937765.3099999996"/>
    <n v="92.06"/>
    <n v="7.94"/>
  </r>
  <r>
    <x v="67"/>
    <x v="6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0000000"/>
    <n v="50000000"/>
    <n v="3379455"/>
    <n v="2423900.9900000002"/>
    <n v="4314378"/>
    <n v="3231645.95"/>
    <n v="4413752"/>
    <n v="5414104"/>
    <n v="7054291"/>
    <n v="4521328"/>
    <n v="4983541"/>
    <n v="2829176.8"/>
    <n v="2888937.7"/>
    <n v="7985965"/>
    <n v="53440475.439999998"/>
    <n v="-3440475.44"/>
    <n v="106.88"/>
    <n v="-6.88"/>
  </r>
  <r>
    <x v="148"/>
    <x v="6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4000000"/>
    <n v="24000000"/>
    <n v="3057000"/>
    <n v="1580000"/>
    <n v="1376000"/>
    <n v="2260700"/>
    <n v="2152072"/>
    <n v="1997265"/>
    <n v="2402000"/>
    <n v="1636000"/>
    <n v="2143000"/>
    <n v="1172000"/>
    <n v="1070000"/>
    <n v="1527965"/>
    <n v="22374002"/>
    <n v="1625998"/>
    <n v="93.23"/>
    <n v="6.77"/>
  </r>
  <r>
    <x v="149"/>
    <x v="6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0000000"/>
    <n v="40000000"/>
    <n v="0"/>
    <n v="4724000"/>
    <n v="16835000"/>
    <n v="244500"/>
    <n v="3352000"/>
    <n v="3646000"/>
    <n v="14500"/>
    <n v="0"/>
    <n v="2360000"/>
    <n v="247000"/>
    <n v="90000"/>
    <n v="1762000"/>
    <n v="33275000"/>
    <n v="6725000"/>
    <n v="83.19"/>
    <n v="16.809999999999999"/>
  </r>
  <r>
    <x v="150"/>
    <x v="6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36000000"/>
    <n v="236000000"/>
    <n v="8050192.2599999998"/>
    <n v="19097124.460000001"/>
    <n v="8357137.4699999997"/>
    <n v="21472514.899999999"/>
    <n v="20039661.73"/>
    <n v="32059734.329999998"/>
    <n v="71411715.730000004"/>
    <n v="19748991.73"/>
    <n v="6657225.7999999998"/>
    <n v="10726132.949999999"/>
    <n v="8500638.9900000002"/>
    <n v="52034733.759999998"/>
    <n v="278155804.11000001"/>
    <n v="-42155804.109999999"/>
    <n v="117.86"/>
    <n v="-17.86"/>
  </r>
  <r>
    <x v="194"/>
    <x v="6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23000000"/>
    <n v="123000000"/>
    <n v="0"/>
    <n v="0"/>
    <n v="0"/>
    <n v="15"/>
    <n v="0"/>
    <n v="0"/>
    <n v="83915473.450000003"/>
    <n v="0"/>
    <n v="0"/>
    <n v="93590.19"/>
    <n v="0"/>
    <n v="78670751.459999993"/>
    <n v="162679830.09999999"/>
    <n v="-39679830.100000001"/>
    <n v="132.26"/>
    <n v="-32.26"/>
  </r>
  <r>
    <x v="151"/>
    <x v="6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409502.48"/>
    <n v="1295"/>
    <n v="50"/>
    <n v="0"/>
    <n v="0"/>
    <n v="5265"/>
    <n v="0"/>
    <n v="72120"/>
    <n v="0"/>
    <n v="7553445"/>
    <n v="870849.57"/>
    <n v="8912527.0500000007"/>
    <n v="-7912527.0499999998"/>
    <n v="891.25"/>
    <n v="-791.25"/>
  </r>
  <r>
    <x v="152"/>
    <x v="6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74000000"/>
    <n v="974000000"/>
    <n v="67988556.950000003"/>
    <n v="23170428.379999999"/>
    <n v="100602613.53"/>
    <n v="49168928.659999996"/>
    <n v="81161410.420000002"/>
    <n v="327409229.63"/>
    <n v="-43651463.890000001"/>
    <n v="101420172.41"/>
    <n v="74777329.799999997"/>
    <n v="40438746.030000001"/>
    <n v="32620855.710000001"/>
    <n v="220801264.59999999"/>
    <n v="1075908072.23"/>
    <n v="-101908072.23"/>
    <n v="110.46"/>
    <n v="-10.46"/>
  </r>
  <r>
    <x v="74"/>
    <x v="6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440000000"/>
    <n v="5440000000"/>
    <n v="338834409"/>
    <n v="470086767"/>
    <n v="257130135"/>
    <n v="365448133.32999998"/>
    <n v="737267082"/>
    <n v="576371699"/>
    <n v="361824599.81"/>
    <n v="460851643"/>
    <n v="398698904.17000002"/>
    <n v="446977650.18000001"/>
    <n v="602412326.29999995"/>
    <n v="877824810.57000005"/>
    <n v="5893728159.3599997"/>
    <n v="-453728159.36000001"/>
    <n v="108.34"/>
    <n v="-8.34"/>
  </r>
  <r>
    <x v="153"/>
    <x v="6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65000000"/>
    <n v="65000000"/>
    <n v="7730570.8300000001"/>
    <n v="35715000"/>
    <n v="1393000"/>
    <n v="1350325.48"/>
    <n v="323484.98"/>
    <n v="0"/>
    <n v="14824777.439999999"/>
    <n v="1730000"/>
    <n v="286094.5"/>
    <n v="-3541533"/>
    <n v="8224287.5099999998"/>
    <n v="13411384.67"/>
    <n v="81447392.409999996"/>
    <n v="-16447392.41"/>
    <n v="125.3"/>
    <n v="-25.3"/>
  </r>
  <r>
    <x v="154"/>
    <x v="6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10000000"/>
    <n v="10000000"/>
    <n v="0"/>
    <n v="0"/>
    <n v="0"/>
    <n v="0"/>
    <n v="0"/>
    <n v="0"/>
    <n v="84275.93"/>
    <n v="-84275.93"/>
    <n v="0"/>
    <n v="0"/>
    <n v="35712555.350000001"/>
    <n v="0"/>
    <n v="35712555.350000001"/>
    <n v="-25712555.350000001"/>
    <n v="357.13"/>
    <n v="-257.13"/>
  </r>
  <r>
    <x v="155"/>
    <x v="6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220000000"/>
    <n v="220000000"/>
    <n v="1593500"/>
    <n v="10823500"/>
    <n v="18861500"/>
    <n v="13476500"/>
    <n v="10182000"/>
    <n v="8395500"/>
    <n v="5929500"/>
    <n v="9310000"/>
    <n v="132513859"/>
    <n v="39201603.060000002"/>
    <n v="130680859"/>
    <n v="32877995"/>
    <n v="413846316.06"/>
    <n v="-193846316.06"/>
    <n v="188.11"/>
    <n v="-88.11"/>
  </r>
  <r>
    <x v="156"/>
    <x v="6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150000000"/>
    <n v="150000000"/>
    <n v="6424761.1299999999"/>
    <n v="6957925.7800000003"/>
    <n v="13999879.6"/>
    <n v="63400651.609999999"/>
    <n v="29964312.710000001"/>
    <n v="3480365.29"/>
    <n v="8788692.1999999993"/>
    <n v="6911127.6799999997"/>
    <n v="1555399.97"/>
    <n v="15169209"/>
    <n v="9972303.5999999996"/>
    <n v="13098683.58"/>
    <n v="179723312.15000001"/>
    <n v="-29723312.149999999"/>
    <n v="119.82"/>
    <n v="-19.82"/>
  </r>
  <r>
    <x v="207"/>
    <x v="6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386933757.54000002"/>
    <n v="386933757.54000002"/>
    <n v="0"/>
    <n v="0"/>
    <n v="0"/>
    <n v="0"/>
    <n v="0"/>
    <n v="0"/>
    <n v="0"/>
    <n v="0"/>
    <n v="0"/>
    <n v="386933757.54000002"/>
    <n v="0"/>
    <n v="0"/>
    <n v="386933757.54000002"/>
    <n v="0"/>
    <n v="100"/>
    <n v="0"/>
  </r>
  <r>
    <x v="195"/>
    <x v="6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120000000"/>
    <n v="120000000"/>
    <n v="528979"/>
    <n v="188300"/>
    <n v="6422854.3799999999"/>
    <n v="16196814.49"/>
    <n v="93181653.370000005"/>
    <n v="775960"/>
    <n v="-609505.57999999996"/>
    <n v="924084.4"/>
    <n v="130000"/>
    <n v="17928987"/>
    <n v="17770696.609999999"/>
    <n v="4500021.5599999996"/>
    <n v="157938845.22999999"/>
    <n v="-37938845.229999997"/>
    <n v="131.62"/>
    <n v="-31.62"/>
  </r>
  <r>
    <x v="80"/>
    <x v="6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5000000"/>
    <n v="65000000"/>
    <n v="0"/>
    <n v="2987515.6"/>
    <n v="1905738.09"/>
    <n v="2017072.88"/>
    <n v="3467564.98"/>
    <n v="1793614.58"/>
    <n v="42946795.490000002"/>
    <n v="984826"/>
    <n v="688881"/>
    <n v="11321660"/>
    <n v="0"/>
    <n v="25095524.719999999"/>
    <n v="93209193.340000004"/>
    <n v="-28209193.34"/>
    <n v="143.4"/>
    <n v="-43.4"/>
  </r>
  <r>
    <x v="157"/>
    <x v="6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6041400000"/>
    <n v="6041400000"/>
    <n v="88210038.519999996"/>
    <n v="178185731.11000001"/>
    <n v="171424209.93000001"/>
    <n v="829860584.41999996"/>
    <n v="309382974.35000002"/>
    <n v="114083397.55"/>
    <n v="188090380.44"/>
    <n v="244672753.90000001"/>
    <n v="175282007.13999999"/>
    <n v="277587267.54000002"/>
    <n v="371848652.56"/>
    <n v="2974848454.8899999"/>
    <n v="5923476452.3500004"/>
    <n v="117923547.65000001"/>
    <n v="98.05"/>
    <n v="1.95"/>
  </r>
  <r>
    <x v="158"/>
    <x v="6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850000000"/>
    <n v="850000000"/>
    <n v="35215734.689999998"/>
    <n v="50924208.909999996"/>
    <n v="43392641.799999997"/>
    <n v="50073436.57"/>
    <n v="54935386.960000001"/>
    <n v="120440065.06"/>
    <n v="75191507.739999995"/>
    <n v="142894673.33000001"/>
    <n v="222113650.24000001"/>
    <n v="125914219.04000001"/>
    <n v="1139782189.9000001"/>
    <n v="-935372957.35000002"/>
    <n v="1125504756.8900001"/>
    <n v="-275504756.88999999"/>
    <n v="132.41"/>
    <n v="-32.409999999999997"/>
  </r>
  <r>
    <x v="159"/>
    <x v="6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4511200000"/>
    <n v="24511200000"/>
    <n v="0"/>
    <n v="0"/>
    <n v="0"/>
    <n v="0"/>
    <n v="0"/>
    <n v="3377040779"/>
    <n v="3422923170"/>
    <n v="0"/>
    <n v="12053299715"/>
    <n v="2059098860"/>
    <n v="2644616092"/>
    <n v="2778713222"/>
    <n v="26335691838"/>
    <n v="-1824491838"/>
    <n v="107.44"/>
    <n v="-7.44"/>
  </r>
  <r>
    <x v="235"/>
    <x v="6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800000000"/>
    <n v="1800000000"/>
    <n v="0"/>
    <n v="0"/>
    <n v="0"/>
    <n v="0"/>
    <n v="0"/>
    <n v="0"/>
    <n v="0"/>
    <n v="0"/>
    <n v="0"/>
    <n v="0"/>
    <n v="0"/>
    <n v="0"/>
    <n v="0"/>
    <n v="1800000000"/>
    <n v="0"/>
    <n v="100"/>
  </r>
  <r>
    <x v="160"/>
    <x v="6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5724158092.6999998"/>
    <n v="5724158092.6999998"/>
    <n v="0"/>
    <n v="0"/>
    <n v="0"/>
    <n v="0"/>
    <n v="495995000"/>
    <n v="0"/>
    <n v="1563318750"/>
    <n v="429425000"/>
    <n v="-395995000"/>
    <n v="866975000"/>
    <n v="507175000"/>
    <n v="1033745000"/>
    <n v="4500638750"/>
    <n v="1223519342.7"/>
    <n v="78.63"/>
    <n v="21.37"/>
  </r>
  <r>
    <x v="196"/>
    <x v="6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300000000"/>
    <n v="300000000"/>
    <n v="0"/>
    <n v="0"/>
    <n v="50000000"/>
    <n v="0"/>
    <n v="100000000"/>
    <n v="0"/>
    <n v="0"/>
    <n v="150000000"/>
    <n v="395995000"/>
    <n v="0"/>
    <n v="0"/>
    <n v="-395995000"/>
    <n v="300000000"/>
    <n v="0"/>
    <n v="100"/>
    <n v="0"/>
  </r>
  <r>
    <x v="208"/>
    <x v="6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7000000000"/>
    <n v="57000000000"/>
    <n v="0"/>
    <n v="2000000000"/>
    <n v="6000000000"/>
    <n v="9579741340"/>
    <n v="6000000000"/>
    <n v="6000000000"/>
    <n v="461150000"/>
    <n v="12036808660"/>
    <n v="0"/>
    <n v="12000000000"/>
    <n v="2922300000"/>
    <n v="0"/>
    <n v="57000000000"/>
    <n v="0"/>
    <n v="100"/>
    <n v="0"/>
  </r>
  <r>
    <x v="209"/>
    <x v="6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423912066"/>
    <n v="19423912066"/>
    <n v="0"/>
    <n v="0"/>
    <n v="4477402029"/>
    <n v="0"/>
    <n v="11980899471"/>
    <n v="2826101878"/>
    <n v="2252778356"/>
    <n v="0"/>
    <n v="-8353952343"/>
    <n v="607289156"/>
    <n v="1921556692"/>
    <n v="1684153773"/>
    <n v="17396229012"/>
    <n v="2027683054"/>
    <n v="89.56"/>
    <n v="10.44"/>
  </r>
  <r>
    <x v="210"/>
    <x v="6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2000000000"/>
    <n v="42000000000"/>
    <n v="0"/>
    <n v="0"/>
    <n v="7000000000"/>
    <n v="0"/>
    <n v="8000000000"/>
    <n v="4000000000"/>
    <n v="4000000000"/>
    <n v="0"/>
    <n v="6000000000"/>
    <n v="3000000000"/>
    <n v="10000000000"/>
    <n v="0"/>
    <n v="42000000000"/>
    <n v="0"/>
    <n v="100"/>
    <n v="0"/>
  </r>
  <r>
    <x v="211"/>
    <x v="6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6701400000"/>
    <n v="6701400000"/>
    <n v="0"/>
    <n v="558453333.33000004"/>
    <n v="558453333.33000004"/>
    <n v="558453333.33000004"/>
    <n v="1091786666.6600001"/>
    <n v="558453333.33000004"/>
    <n v="558453333.35000002"/>
    <n v="558453333.33000004"/>
    <n v="0"/>
    <n v="1116906666.6700001"/>
    <n v="1675360000"/>
    <n v="0"/>
    <n v="7234773333.3299999"/>
    <n v="-533373333.32999998"/>
    <n v="107.96"/>
    <n v="-7.96"/>
  </r>
  <r>
    <x v="212"/>
    <x v="6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300300000"/>
    <n v="2300300000"/>
    <n v="0"/>
    <n v="576319724.05999994"/>
    <n v="81229144.319999993"/>
    <n v="70676847.849999994"/>
    <n v="594621184.04999995"/>
    <n v="76891428"/>
    <n v="88473950"/>
    <n v="80252483"/>
    <n v="0"/>
    <n v="211433917"/>
    <n v="100376780"/>
    <n v="102723062"/>
    <n v="1982998520.28"/>
    <n v="317301479.72000003"/>
    <n v="86.21"/>
    <n v="13.79"/>
  </r>
  <r>
    <x v="92"/>
    <x v="6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5154800000"/>
    <n v="5154800000"/>
    <n v="0"/>
    <n v="0"/>
    <n v="0"/>
    <n v="853760807.88"/>
    <n v="175738679.63"/>
    <n v="176316952.63999999"/>
    <n v="176680920.31"/>
    <n v="189231560.36000001"/>
    <n v="0"/>
    <n v="190374800.90000001"/>
    <n v="372965682.11000001"/>
    <n v="515404947.05000001"/>
    <n v="2650474350.8800001"/>
    <n v="2504325649.1199999"/>
    <n v="51.42"/>
    <n v="48.58"/>
  </r>
  <r>
    <x v="94"/>
    <x v="6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100000"/>
    <n v="3100000"/>
    <n v="0"/>
    <n v="0"/>
    <n v="3100000"/>
    <n v="0"/>
    <n v="0"/>
    <n v="0"/>
    <n v="0"/>
    <n v="0"/>
    <n v="0"/>
    <n v="0"/>
    <n v="0"/>
    <n v="0"/>
    <n v="3100000"/>
    <n v="0"/>
    <n v="100"/>
    <n v="0"/>
  </r>
  <r>
    <x v="164"/>
    <x v="6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6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11700000"/>
    <n v="11700000"/>
    <n v="0"/>
    <n v="0"/>
    <n v="11700000"/>
    <n v="0"/>
    <n v="0"/>
    <n v="0"/>
    <n v="0"/>
    <n v="0"/>
    <n v="0"/>
    <n v="0"/>
    <n v="0"/>
    <n v="0"/>
    <n v="11700000"/>
    <n v="0"/>
    <n v="100"/>
    <n v="0"/>
  </r>
  <r>
    <x v="96"/>
    <x v="6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900000"/>
    <n v="2900000"/>
    <n v="0"/>
    <n v="2900000"/>
    <n v="0"/>
    <n v="0"/>
    <n v="0"/>
    <n v="0"/>
    <n v="0"/>
    <n v="0"/>
    <n v="0"/>
    <n v="0"/>
    <n v="0"/>
    <n v="0"/>
    <n v="2900000"/>
    <n v="0"/>
    <n v="100"/>
    <n v="0"/>
  </r>
  <r>
    <x v="97"/>
    <x v="6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400000"/>
    <n v="9400000"/>
    <n v="0"/>
    <n v="0"/>
    <n v="0"/>
    <n v="9400000"/>
    <n v="0"/>
    <n v="0"/>
    <n v="0"/>
    <n v="0"/>
    <n v="0"/>
    <n v="0"/>
    <n v="0"/>
    <n v="0"/>
    <n v="9400000"/>
    <n v="0"/>
    <n v="100"/>
    <n v="0"/>
  </r>
  <r>
    <x v="165"/>
    <x v="6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197"/>
    <x v="6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21100000"/>
    <n v="21100000"/>
    <n v="0"/>
    <n v="20000000"/>
    <n v="0"/>
    <n v="0"/>
    <n v="0"/>
    <n v="0"/>
    <n v="0"/>
    <n v="0"/>
    <n v="0"/>
    <n v="0"/>
    <n v="0"/>
    <n v="0"/>
    <n v="20000000"/>
    <n v="1100000"/>
    <n v="94.79"/>
    <n v="5.21"/>
  </r>
  <r>
    <x v="98"/>
    <x v="6"/>
    <x v="85"/>
    <n v="1"/>
    <x v="0"/>
    <n v="14"/>
    <x v="3"/>
    <n v="141"/>
    <x v="10"/>
    <n v="1413"/>
    <x v="28"/>
    <n v="141301"/>
    <x v="48"/>
    <n v="14130108"/>
    <x v="42"/>
    <n v="141301080"/>
    <x v="0"/>
    <n v="1413010800"/>
    <x v="0"/>
    <n v="1"/>
    <s v="Ingresos corrientes"/>
    <n v="0"/>
    <n v="0"/>
    <n v="0"/>
    <n v="0"/>
    <n v="0"/>
    <n v="9400000"/>
    <n v="-9400000"/>
    <n v="0"/>
    <n v="0"/>
    <n v="0"/>
    <n v="0"/>
    <n v="0"/>
    <n v="0"/>
    <n v="0"/>
    <n v="0"/>
    <n v="0"/>
    <n v="0"/>
    <n v="0"/>
    <n v="0"/>
  </r>
  <r>
    <x v="166"/>
    <x v="6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500000"/>
    <n v="3500000"/>
    <n v="0"/>
    <n v="0"/>
    <n v="0"/>
    <n v="3500000"/>
    <n v="0"/>
    <n v="0"/>
    <n v="0"/>
    <n v="0"/>
    <n v="0"/>
    <n v="0"/>
    <n v="0"/>
    <n v="0"/>
    <n v="3500000"/>
    <n v="0"/>
    <n v="100"/>
    <n v="0"/>
  </r>
  <r>
    <x v="99"/>
    <x v="6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4700000"/>
    <n v="14700000"/>
    <n v="0"/>
    <n v="0"/>
    <n v="0"/>
    <n v="14700000"/>
    <n v="0"/>
    <n v="0"/>
    <n v="0"/>
    <n v="0"/>
    <n v="0"/>
    <n v="0"/>
    <n v="0"/>
    <n v="0"/>
    <n v="14700000"/>
    <n v="0"/>
    <n v="100"/>
    <n v="0"/>
  </r>
  <r>
    <x v="100"/>
    <x v="6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900000"/>
    <n v="3900000"/>
    <n v="0"/>
    <n v="0"/>
    <n v="0"/>
    <n v="0"/>
    <n v="0"/>
    <n v="0"/>
    <n v="0"/>
    <n v="0"/>
    <n v="0"/>
    <n v="0"/>
    <n v="3900000"/>
    <n v="0"/>
    <n v="3900000"/>
    <n v="0"/>
    <n v="100"/>
    <n v="0"/>
  </r>
  <r>
    <x v="101"/>
    <x v="6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38900000"/>
    <n v="38900000"/>
    <n v="0"/>
    <n v="0"/>
    <n v="0"/>
    <n v="0"/>
    <n v="0"/>
    <n v="0"/>
    <n v="38900000"/>
    <n v="0"/>
    <n v="0"/>
    <n v="0"/>
    <n v="0"/>
    <n v="0"/>
    <n v="38900000"/>
    <n v="0"/>
    <n v="100"/>
    <n v="0"/>
  </r>
  <r>
    <x v="102"/>
    <x v="6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3600000"/>
    <n v="3600000"/>
    <n v="0"/>
    <n v="0"/>
    <n v="0"/>
    <n v="0"/>
    <n v="0"/>
    <n v="0"/>
    <n v="0"/>
    <n v="0"/>
    <n v="0"/>
    <n v="0"/>
    <n v="0"/>
    <n v="3600000"/>
    <n v="3600000"/>
    <n v="0"/>
    <n v="100"/>
    <n v="0"/>
  </r>
  <r>
    <x v="105"/>
    <x v="6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145000000"/>
    <n v="4145000000"/>
    <n v="0"/>
    <n v="0"/>
    <n v="0"/>
    <n v="0"/>
    <n v="4144373149"/>
    <n v="0"/>
    <n v="0"/>
    <n v="0"/>
    <n v="0"/>
    <n v="0"/>
    <n v="0"/>
    <n v="0"/>
    <n v="4144373149"/>
    <n v="626851"/>
    <n v="99.98"/>
    <n v="0.02"/>
  </r>
  <r>
    <x v="167"/>
    <x v="6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398700000"/>
    <n v="398700000"/>
    <n v="0"/>
    <n v="0"/>
    <n v="33223370"/>
    <n v="0"/>
    <n v="33223370"/>
    <n v="0"/>
    <n v="0"/>
    <n v="0"/>
    <n v="33223370"/>
    <n v="0"/>
    <n v="0"/>
    <n v="99670110"/>
    <n v="199340220"/>
    <n v="199359780"/>
    <n v="50"/>
    <n v="50"/>
  </r>
  <r>
    <x v="249"/>
    <x v="6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1600000000"/>
    <n v="1600000000"/>
    <n v="0"/>
    <n v="670000000"/>
    <n v="0"/>
    <n v="0"/>
    <n v="0"/>
    <n v="0"/>
    <n v="0"/>
    <n v="164113623"/>
    <n v="157722416"/>
    <n v="0"/>
    <n v="0"/>
    <n v="0"/>
    <n v="991836039"/>
    <n v="608163961"/>
    <n v="61.99"/>
    <n v="38.01"/>
  </r>
  <r>
    <x v="106"/>
    <x v="6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20000000"/>
    <n v="220000000"/>
    <n v="21631431.609999999"/>
    <n v="6305869.4900000002"/>
    <n v="7573350"/>
    <n v="19040917.07"/>
    <n v="43698015.210000001"/>
    <n v="9588322.8599999994"/>
    <n v="19702625.23"/>
    <n v="22238667.82"/>
    <n v="11345195.560000001"/>
    <n v="27487637.359999999"/>
    <n v="20714399.34"/>
    <n v="37174088.960000001"/>
    <n v="246500520.50999999"/>
    <n v="-26500520.510000002"/>
    <n v="112.05"/>
    <n v="-12.05"/>
  </r>
  <r>
    <x v="107"/>
    <x v="6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8000000"/>
    <n v="48000000"/>
    <n v="0"/>
    <n v="0"/>
    <n v="0"/>
    <n v="48000000"/>
    <n v="0"/>
    <n v="0"/>
    <n v="0"/>
    <n v="0"/>
    <n v="0"/>
    <n v="0"/>
    <n v="0"/>
    <n v="0"/>
    <n v="48000000"/>
    <n v="0"/>
    <n v="100"/>
    <n v="0"/>
  </r>
  <r>
    <x v="108"/>
    <x v="6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2000000"/>
    <n v="92000000"/>
    <n v="0"/>
    <n v="0"/>
    <n v="0"/>
    <n v="0"/>
    <n v="0"/>
    <n v="0"/>
    <n v="0"/>
    <n v="0"/>
    <n v="0"/>
    <n v="0"/>
    <n v="0"/>
    <n v="92000000"/>
    <n v="92000000"/>
    <n v="0"/>
    <n v="100"/>
    <n v="0"/>
  </r>
  <r>
    <x v="109"/>
    <x v="6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8500000"/>
    <n v="8500000"/>
    <n v="0"/>
    <n v="0"/>
    <n v="0"/>
    <n v="8500000"/>
    <n v="0"/>
    <n v="0"/>
    <n v="0"/>
    <n v="0"/>
    <n v="0"/>
    <n v="0"/>
    <n v="0"/>
    <n v="0"/>
    <n v="8500000"/>
    <n v="0"/>
    <n v="100"/>
    <n v="0"/>
  </r>
  <r>
    <x v="110"/>
    <x v="6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0000000"/>
    <n v="10000000"/>
    <n v="0"/>
    <n v="0"/>
    <n v="0"/>
    <n v="0"/>
    <n v="0"/>
    <n v="0"/>
    <n v="0"/>
    <n v="10000000"/>
    <n v="0"/>
    <n v="0"/>
    <n v="0"/>
    <n v="0"/>
    <n v="10000000"/>
    <n v="0"/>
    <n v="100"/>
    <n v="0"/>
  </r>
  <r>
    <x v="111"/>
    <x v="6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8600000"/>
    <n v="18600000"/>
    <n v="0"/>
    <n v="0"/>
    <n v="0"/>
    <n v="0"/>
    <n v="0"/>
    <n v="0"/>
    <n v="0"/>
    <n v="0"/>
    <n v="0"/>
    <n v="0"/>
    <n v="0"/>
    <n v="0"/>
    <n v="0"/>
    <n v="18600000"/>
    <n v="0"/>
    <n v="100"/>
  </r>
  <r>
    <x v="218"/>
    <x v="6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200000"/>
    <n v="2200000"/>
    <n v="0"/>
    <n v="0"/>
    <n v="0"/>
    <n v="0"/>
    <n v="0"/>
    <n v="0"/>
    <n v="0"/>
    <n v="0"/>
    <n v="0"/>
    <n v="0"/>
    <n v="0"/>
    <n v="0"/>
    <n v="0"/>
    <n v="2200000"/>
    <n v="0"/>
    <n v="100"/>
  </r>
  <r>
    <x v="219"/>
    <x v="6"/>
    <x v="181"/>
    <n v="1"/>
    <x v="0"/>
    <n v="14"/>
    <x v="3"/>
    <n v="141"/>
    <x v="10"/>
    <n v="1415"/>
    <x v="30"/>
    <n v="141502"/>
    <x v="66"/>
    <n v="14150200"/>
    <x v="0"/>
    <n v="141502000"/>
    <x v="0"/>
    <n v="1415020000"/>
    <x v="0"/>
    <n v="1"/>
    <s v="Ingresos corrientes"/>
    <n v="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68"/>
    <x v="6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400000"/>
    <n v="269400000"/>
    <n v="0"/>
    <n v="0"/>
    <n v="0"/>
    <n v="0"/>
    <n v="0"/>
    <n v="0"/>
    <n v="0"/>
    <n v="0"/>
    <n v="0"/>
    <n v="0"/>
    <n v="0"/>
    <n v="269400000"/>
    <n v="269400000"/>
    <n v="0"/>
    <n v="100"/>
    <n v="0"/>
  </r>
  <r>
    <x v="169"/>
    <x v="6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3300000"/>
    <n v="43300000"/>
    <n v="3608335"/>
    <n v="3626515"/>
    <n v="3626515"/>
    <n v="3626515"/>
    <n v="3626515"/>
    <n v="3626515"/>
    <n v="3626515"/>
    <n v="3626515"/>
    <n v="3626515"/>
    <n v="3626515"/>
    <n v="3626515"/>
    <n v="3626515"/>
    <n v="43500000"/>
    <n v="-200000"/>
    <n v="100.46"/>
    <n v="-0.46"/>
  </r>
  <r>
    <x v="170"/>
    <x v="6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389800000"/>
    <n v="389800000"/>
    <n v="378400000"/>
    <n v="0"/>
    <n v="0"/>
    <n v="0"/>
    <n v="0"/>
    <n v="0"/>
    <n v="0"/>
    <n v="0"/>
    <n v="0"/>
    <n v="0"/>
    <n v="0"/>
    <n v="389800000"/>
    <n v="768200000"/>
    <n v="-378400000"/>
    <n v="197.08"/>
    <n v="-97.08"/>
  </r>
  <r>
    <x v="171"/>
    <x v="6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8300000"/>
    <n v="8300000"/>
    <n v="0"/>
    <n v="0"/>
    <n v="8300000"/>
    <n v="0"/>
    <n v="0"/>
    <n v="0"/>
    <n v="0"/>
    <n v="0"/>
    <n v="0"/>
    <n v="0"/>
    <n v="0"/>
    <n v="0"/>
    <n v="8300000"/>
    <n v="0"/>
    <n v="100"/>
    <n v="0"/>
  </r>
  <r>
    <x v="172"/>
    <x v="6"/>
    <x v="152"/>
    <n v="1"/>
    <x v="0"/>
    <n v="14"/>
    <x v="3"/>
    <n v="141"/>
    <x v="10"/>
    <n v="1416"/>
    <x v="31"/>
    <n v="141601"/>
    <x v="51"/>
    <n v="14160105"/>
    <x v="74"/>
    <n v="141601050"/>
    <x v="0"/>
    <n v="1416010500"/>
    <x v="0"/>
    <n v="1"/>
    <s v="Ingresos corrientes"/>
    <n v="0"/>
    <n v="0"/>
    <n v="0"/>
    <n v="0"/>
    <n v="0"/>
    <n v="0"/>
    <n v="38900000"/>
    <n v="0"/>
    <n v="0"/>
    <n v="-38900000"/>
    <n v="0"/>
    <n v="0"/>
    <n v="0"/>
    <n v="0"/>
    <n v="0"/>
    <n v="0"/>
    <n v="0"/>
    <n v="0"/>
    <n v="0"/>
  </r>
  <r>
    <x v="198"/>
    <x v="6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900000"/>
    <n v="6900000"/>
    <n v="0"/>
    <n v="0"/>
    <n v="0"/>
    <n v="0"/>
    <n v="0"/>
    <n v="0"/>
    <n v="0"/>
    <n v="0"/>
    <n v="0"/>
    <n v="0"/>
    <n v="0"/>
    <n v="6900000"/>
    <n v="6900000"/>
    <n v="0"/>
    <n v="100"/>
    <n v="0"/>
  </r>
  <r>
    <x v="250"/>
    <x v="6"/>
    <x v="218"/>
    <n v="1"/>
    <x v="0"/>
    <n v="14"/>
    <x v="3"/>
    <n v="143"/>
    <x v="18"/>
    <n v="1431"/>
    <x v="41"/>
    <n v="143103"/>
    <x v="75"/>
    <n v="14310300"/>
    <x v="0"/>
    <n v="143103000"/>
    <x v="0"/>
    <n v="1431030000"/>
    <x v="0"/>
    <n v="1"/>
    <s v="Ingresos corrientes"/>
    <n v="0"/>
    <n v="476444000"/>
    <n v="476444000"/>
    <n v="0"/>
    <n v="0"/>
    <n v="0"/>
    <n v="475503500"/>
    <n v="0"/>
    <n v="0"/>
    <n v="0"/>
    <n v="0"/>
    <n v="0"/>
    <n v="0"/>
    <n v="0"/>
    <n v="0"/>
    <n v="475503500"/>
    <n v="940500"/>
    <n v="99.8"/>
    <n v="0.2"/>
  </r>
  <r>
    <x v="251"/>
    <x v="6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458840000"/>
    <n v="2458840000"/>
    <n v="0"/>
    <n v="0"/>
    <n v="0"/>
    <n v="0"/>
    <n v="0"/>
    <n v="0"/>
    <n v="0"/>
    <n v="0"/>
    <n v="0"/>
    <n v="0"/>
    <n v="0"/>
    <n v="0"/>
    <n v="0"/>
    <n v="2458840000"/>
    <n v="0"/>
    <n v="100"/>
  </r>
  <r>
    <x v="252"/>
    <x v="6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0"/>
    <n v="0"/>
    <n v="0"/>
    <n v="0"/>
    <n v="0"/>
    <n v="0"/>
    <n v="0"/>
    <n v="0"/>
    <n v="0"/>
    <n v="0"/>
    <n v="0"/>
    <n v="0"/>
    <n v="0"/>
    <n v="821032000"/>
    <n v="821032000"/>
    <n v="0"/>
    <n v="0"/>
    <n v="0"/>
  </r>
  <r>
    <x v="253"/>
    <x v="6"/>
    <x v="181"/>
    <n v="2"/>
    <x v="1"/>
    <n v="24"/>
    <x v="4"/>
    <n v="241"/>
    <x v="12"/>
    <n v="2412"/>
    <x v="33"/>
    <n v="241202"/>
    <x v="77"/>
    <n v="24120200"/>
    <x v="0"/>
    <n v="241202000"/>
    <x v="0"/>
    <n v="2412020000"/>
    <x v="0"/>
    <n v="60"/>
    <s v="Proyecto de Desarrollo Agrícola Península de Nicoya (PRODAPEN)"/>
    <n v="0"/>
    <n v="35868771.759999998"/>
    <n v="35868771.759999998"/>
    <n v="0"/>
    <n v="0"/>
    <n v="0"/>
    <n v="0"/>
    <n v="0"/>
    <n v="0"/>
    <n v="0"/>
    <n v="0"/>
    <n v="0"/>
    <n v="0"/>
    <n v="0"/>
    <n v="0"/>
    <n v="0"/>
    <n v="35868771.759999998"/>
    <n v="0"/>
    <n v="100"/>
  </r>
  <r>
    <x v="121"/>
    <x v="6"/>
    <x v="103"/>
    <n v="2"/>
    <x v="1"/>
    <n v="25"/>
    <x v="5"/>
    <n v="251"/>
    <x v="14"/>
    <n v="2510"/>
    <x v="35"/>
    <n v="251000"/>
    <x v="44"/>
    <n v="25100000"/>
    <x v="0"/>
    <n v="251000000"/>
    <x v="0"/>
    <n v="2510000000"/>
    <x v="0"/>
    <n v="121"/>
    <s v="Reintegro e intereses del crédito externo PL-480"/>
    <n v="0"/>
    <n v="292182896.67000002"/>
    <n v="292182896.67000002"/>
    <n v="0"/>
    <n v="0"/>
    <n v="0"/>
    <n v="0"/>
    <n v="0"/>
    <n v="0"/>
    <n v="0"/>
    <n v="0"/>
    <n v="0"/>
    <n v="292182896.67000002"/>
    <n v="0"/>
    <n v="0"/>
    <n v="292182896.67000002"/>
    <n v="0"/>
    <n v="100"/>
    <n v="0"/>
  </r>
  <r>
    <x v="174"/>
    <x v="6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510194512780.57001"/>
    <n v="510194512780.57001"/>
    <n v="4072116044.0100002"/>
    <n v="15420887366.76"/>
    <n v="19636979582.990002"/>
    <n v="22582995919.209999"/>
    <n v="6247606549.0100002"/>
    <n v="23842623809.919998"/>
    <n v="7668673884.4799995"/>
    <n v="17218887990.540001"/>
    <n v="39583373950.260002"/>
    <n v="56690975018.019997"/>
    <n v="100795254749.17999"/>
    <n v="130545533611.42999"/>
    <n v="444305908475.81"/>
    <n v="65888604304.760002"/>
    <n v="87.09"/>
    <n v="12.91"/>
  </r>
  <r>
    <x v="175"/>
    <x v="6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337041243885.6201"/>
    <n v="1337041243885.6201"/>
    <n v="109008865000"/>
    <n v="76119834002.839996"/>
    <n v="168006004983.10001"/>
    <n v="103943339239.49001"/>
    <n v="73459609370.070007"/>
    <n v="117932602556.55"/>
    <n v="66616164200"/>
    <n v="95101386499.169998"/>
    <n v="22116487500"/>
    <n v="40884943339.339996"/>
    <n v="105389312079"/>
    <n v="90745913488.399994"/>
    <n v="1069324462257.96"/>
    <n v="267716781627.66"/>
    <n v="79.98"/>
    <n v="20.02"/>
  </r>
  <r>
    <x v="200"/>
    <x v="6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24901234600"/>
    <n v="24901234600"/>
    <n v="0"/>
    <n v="0"/>
    <n v="0"/>
    <n v="0"/>
    <n v="0"/>
    <n v="0"/>
    <n v="0"/>
    <n v="0"/>
    <n v="0"/>
    <n v="0"/>
    <n v="0"/>
    <n v="18147670000"/>
    <n v="18147670000"/>
    <n v="6753564600"/>
    <n v="72.88"/>
    <n v="27.12"/>
  </r>
  <r>
    <x v="254"/>
    <x v="6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55"/>
    <x v="6"/>
    <x v="222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3"/>
    <s v="Títulos valores de deuda interna (Fideicomiso agropecuario)"/>
    <n v="0"/>
    <n v="20000000000"/>
    <n v="20000000000"/>
    <n v="0"/>
    <n v="0"/>
    <n v="0"/>
    <n v="0"/>
    <n v="0"/>
    <n v="0"/>
    <n v="0"/>
    <n v="0"/>
    <n v="0"/>
    <n v="20000000000"/>
    <n v="0"/>
    <n v="0"/>
    <n v="20000000000"/>
    <n v="0"/>
    <n v="100"/>
    <n v="0"/>
  </r>
  <r>
    <x v="123"/>
    <x v="6"/>
    <x v="105"/>
    <n v="3"/>
    <x v="2"/>
    <n v="32"/>
    <x v="7"/>
    <n v="321"/>
    <x v="16"/>
    <n v="3211"/>
    <x v="37"/>
    <n v="321101"/>
    <x v="54"/>
    <n v="32110103"/>
    <x v="0"/>
    <n v="321101030"/>
    <x v="0"/>
    <n v="3211010300"/>
    <x v="0"/>
    <n v="452"/>
    <s v="Crédito BCIE-1605, Ley N° 8359 Programa para completar el complejo vial Costanera Su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6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9364423856.650002"/>
    <n v="1420367817.1500001"/>
    <n v="0"/>
    <n v="0"/>
    <n v="0"/>
    <n v="0"/>
    <n v="504340000"/>
    <n v="0"/>
    <n v="0"/>
    <n v="232657817.15000001"/>
    <n v="0"/>
    <n v="0"/>
    <n v="683370000"/>
    <n v="0"/>
    <n v="1420367817.1500001"/>
    <n v="0"/>
    <n v="100"/>
    <n v="0"/>
  </r>
  <r>
    <x v="124"/>
    <x v="6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4953629288.9300003"/>
    <n v="2562436873.79"/>
    <n v="0"/>
    <n v="773155435.54999995"/>
    <n v="282712555.47000003"/>
    <n v="0"/>
    <n v="0"/>
    <n v="421481475.89999998"/>
    <n v="0"/>
    <n v="598567604.08000004"/>
    <n v="0"/>
    <n v="125643452.81999999"/>
    <n v="0"/>
    <n v="360876349.97000003"/>
    <n v="2562436873.79"/>
    <n v="0"/>
    <n v="100"/>
    <n v="0"/>
  </r>
  <r>
    <x v="125"/>
    <x v="6"/>
    <x v="107"/>
    <n v="3"/>
    <x v="2"/>
    <n v="32"/>
    <x v="7"/>
    <n v="321"/>
    <x v="16"/>
    <n v="3211"/>
    <x v="37"/>
    <n v="321102"/>
    <x v="55"/>
    <n v="32110210"/>
    <x v="0"/>
    <n v="321102100"/>
    <x v="0"/>
    <n v="3211021000"/>
    <x v="0"/>
    <n v="499"/>
    <s v="Crédito BID 1377/OC-CR, Ley N° 8273 Segunda Etapa del Programa de Modernización de la Administración de Justicia"/>
    <n v="0"/>
    <n v="563658381.22000003"/>
    <n v="563658381.22000003"/>
    <n v="0"/>
    <n v="263858400"/>
    <n v="127461400"/>
    <n v="172338581.22"/>
    <n v="0"/>
    <n v="0"/>
    <n v="0"/>
    <n v="0"/>
    <n v="0"/>
    <n v="0"/>
    <n v="0"/>
    <n v="0"/>
    <n v="563658381.22000003"/>
    <n v="0"/>
    <n v="100"/>
    <n v="0"/>
  </r>
  <r>
    <x v="202"/>
    <x v="6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4502501960.6100006"/>
    <n v="1015265803.8099999"/>
    <n v="0"/>
    <n v="30221625.879999999"/>
    <n v="23309754.329999998"/>
    <n v="34708385.649999999"/>
    <n v="35345067.359999999"/>
    <n v="47756245.850000001"/>
    <n v="37171964.799999997"/>
    <n v="94555765.870000005"/>
    <n v="58141284.140000001"/>
    <n v="90682205.760000005"/>
    <n v="185296791.58000001"/>
    <n v="378076712.58999997"/>
    <n v="1015265803.8099999"/>
    <n v="0"/>
    <n v="100"/>
    <n v="0"/>
  </r>
  <r>
    <x v="221"/>
    <x v="6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45408000000"/>
    <n v="24193920000"/>
    <n v="0"/>
    <n v="0"/>
    <n v="24193920000"/>
    <n v="0"/>
    <n v="0"/>
    <n v="0"/>
    <n v="0"/>
    <n v="0"/>
    <n v="0"/>
    <n v="0"/>
    <n v="0"/>
    <n v="0"/>
    <n v="24193920000"/>
    <n v="0"/>
    <n v="100"/>
    <n v="0"/>
  </r>
  <r>
    <x v="239"/>
    <x v="6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435000000"/>
    <n v="131562339.2"/>
    <n v="0"/>
    <n v="0"/>
    <n v="1260480"/>
    <n v="0"/>
    <n v="0"/>
    <n v="5548180"/>
    <n v="0"/>
    <n v="0"/>
    <n v="0"/>
    <n v="0"/>
    <n v="112578703.93000001"/>
    <n v="12174975.27"/>
    <n v="131562339.2"/>
    <n v="0"/>
    <n v="100"/>
    <n v="0"/>
  </r>
  <r>
    <x v="240"/>
    <x v="6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637750000"/>
    <n v="252155000"/>
    <n v="0"/>
    <n v="0"/>
    <n v="0"/>
    <n v="0"/>
    <n v="252155000"/>
    <n v="0"/>
    <n v="0"/>
    <n v="0"/>
    <n v="0"/>
    <n v="0"/>
    <n v="0"/>
    <n v="0"/>
    <n v="252155000"/>
    <n v="0"/>
    <n v="100"/>
    <n v="0"/>
  </r>
  <r>
    <x v="241"/>
    <x v="6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7180753047.5"/>
    <n v="925082653.05999994"/>
    <n v="0"/>
    <n v="923579803.05999994"/>
    <n v="0"/>
    <n v="0"/>
    <n v="0"/>
    <n v="0"/>
    <n v="0"/>
    <n v="0"/>
    <n v="0"/>
    <n v="0"/>
    <n v="0"/>
    <n v="1502850"/>
    <n v="925082653.05999994"/>
    <n v="0"/>
    <n v="100"/>
    <n v="0"/>
  </r>
  <r>
    <x v="176"/>
    <x v="6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6496336523.0900002"/>
    <n v="3733544625.8299999"/>
    <n v="0"/>
    <n v="0"/>
    <n v="0"/>
    <n v="270876108.49000001"/>
    <n v="942339279.94000006"/>
    <n v="786800590.25999999"/>
    <n v="636980801.82000005"/>
    <n v="0"/>
    <n v="963111426.90999997"/>
    <n v="0"/>
    <n v="29730110.960000001"/>
    <n v="103706307.45"/>
    <n v="3733544625.8299999"/>
    <n v="0"/>
    <n v="100"/>
    <n v="0"/>
  </r>
  <r>
    <x v="203"/>
    <x v="6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8237782636.5"/>
    <n v="5724355199.04"/>
    <n v="0"/>
    <n v="0"/>
    <n v="0"/>
    <n v="0"/>
    <n v="1511107000"/>
    <n v="0"/>
    <n v="0"/>
    <n v="2835949213.9099998"/>
    <n v="0"/>
    <n v="0"/>
    <n v="1377298985.1300001"/>
    <n v="0"/>
    <n v="5724355199.04"/>
    <n v="0"/>
    <n v="100"/>
    <n v="0"/>
  </r>
  <r>
    <x v="204"/>
    <x v="6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6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40387275000"/>
    <n v="1095635712.3800001"/>
    <n v="0"/>
    <n v="0"/>
    <n v="536029220.57999998"/>
    <n v="0"/>
    <n v="0"/>
    <n v="559606491.79999995"/>
    <n v="0"/>
    <n v="0"/>
    <n v="0"/>
    <n v="0"/>
    <n v="0"/>
    <n v="0"/>
    <n v="1095635712.3800001"/>
    <n v="0"/>
    <n v="100"/>
    <n v="0"/>
  </r>
  <r>
    <x v="256"/>
    <x v="6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6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3500460364.190002"/>
    <n v="3359478963.2600002"/>
    <n v="0"/>
    <n v="0"/>
    <n v="0"/>
    <n v="214832758.75999999"/>
    <n v="0"/>
    <n v="260734506.56999999"/>
    <n v="0"/>
    <n v="771421785.12"/>
    <n v="0"/>
    <n v="1020422302.5700001"/>
    <n v="1092067610.24"/>
    <n v="0"/>
    <n v="3359478963.2600002"/>
    <n v="0"/>
    <n v="100"/>
    <n v="0"/>
  </r>
  <r>
    <x v="225"/>
    <x v="6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066822500"/>
    <n v="5201903373.5799999"/>
    <n v="0"/>
    <n v="0"/>
    <n v="0"/>
    <n v="0"/>
    <n v="0"/>
    <n v="0"/>
    <n v="889578259.41999996"/>
    <n v="381636245.36000001"/>
    <n v="510577757.87"/>
    <n v="1549059661.3"/>
    <n v="722013187.95000005"/>
    <n v="1149038261.6800001"/>
    <n v="5201903373.5799999"/>
    <n v="0"/>
    <n v="100"/>
    <n v="0"/>
  </r>
  <r>
    <x v="130"/>
    <x v="6"/>
    <x v="112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2"/>
    <s v="Crédito KFW 2002-65-066, Leyes N° 6979, 7132 y 7109 Programa de Rehabilitación y Mantenimiento de la Red Vial Canton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6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319889860.75"/>
    <n v="572704194.38999999"/>
    <n v="0"/>
    <n v="26525050.600000001"/>
    <n v="0"/>
    <n v="0"/>
    <n v="504153391.64999998"/>
    <n v="0"/>
    <n v="0"/>
    <n v="42025752.140000001"/>
    <n v="0"/>
    <n v="0"/>
    <n v="0"/>
    <n v="0"/>
    <n v="572704194.38999999"/>
    <n v="0"/>
    <n v="100"/>
    <n v="0"/>
  </r>
  <r>
    <x v="242"/>
    <x v="6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951053740000"/>
    <n v="951053740000"/>
    <n v="0"/>
    <n v="341219755186.03998"/>
    <n v="101822558345.92999"/>
    <n v="2515777125.1500001"/>
    <n v="1887320875.79"/>
    <n v="1228771208.27"/>
    <n v="207636292951.76999"/>
    <n v="25940554757.02"/>
    <n v="21912667963.349998"/>
    <n v="159617628873.67001"/>
    <n v="27363566135.400002"/>
    <n v="59908846577.610001"/>
    <n v="951053740000"/>
    <n v="0"/>
    <n v="100"/>
    <n v="0"/>
  </r>
  <r>
    <x v="243"/>
    <x v="6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33000000"/>
    <n v="133000000"/>
    <n v="0"/>
    <n v="133000000"/>
    <n v="0"/>
    <n v="-110792827.09"/>
    <n v="110792827.09"/>
    <n v="0"/>
    <n v="0"/>
    <n v="0"/>
    <n v="0"/>
    <n v="0"/>
    <n v="0"/>
    <n v="0"/>
    <n v="133000000"/>
    <n v="0"/>
    <n v="100"/>
    <n v="0"/>
  </r>
  <r>
    <x v="257"/>
    <x v="6"/>
    <x v="224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6"/>
    <s v="Superávit Asamblea Legislativa"/>
    <n v="0"/>
    <n v="700000000"/>
    <n v="700000000"/>
    <n v="0"/>
    <n v="0"/>
    <n v="0"/>
    <n v="0"/>
    <n v="0"/>
    <n v="0"/>
    <n v="0"/>
    <n v="0"/>
    <n v="0"/>
    <n v="700000000"/>
    <n v="0"/>
    <n v="0"/>
    <n v="700000000"/>
    <n v="0"/>
    <n v="100"/>
    <n v="0"/>
  </r>
  <r>
    <x v="133"/>
    <x v="7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195200000000"/>
    <n v="195200000000"/>
    <n v="14114652617.719999"/>
    <n v="14536169041.27"/>
    <n v="14294375774.639999"/>
    <n v="14363927141.17"/>
    <n v="15425349045.76"/>
    <n v="17048249445.24"/>
    <n v="15913342021.82"/>
    <n v="15512710371.07"/>
    <n v="17393674927.060001"/>
    <n v="16724538046.309999"/>
    <n v="17262431950.57"/>
    <n v="16622231614.879999"/>
    <n v="189211651997.51001"/>
    <n v="5988348002.4899998"/>
    <n v="96.93"/>
    <n v="3.07"/>
  </r>
  <r>
    <x v="134"/>
    <x v="7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17300000000"/>
    <n v="117300000000"/>
    <n v="10500097671.690001"/>
    <n v="9310495709.1299992"/>
    <n v="10292774240.629999"/>
    <n v="11746266514.209999"/>
    <n v="10324626829.040001"/>
    <n v="9558372647.8700008"/>
    <n v="9723177278.6399994"/>
    <n v="10336043210.959999"/>
    <n v="10046419769.17"/>
    <n v="10652012439.030001"/>
    <n v="9674680925.1800003"/>
    <n v="9492713988.6100006"/>
    <n v="121657681224.16"/>
    <n v="-4357681224.1599998"/>
    <n v="103.71"/>
    <n v="-3.71"/>
  </r>
  <r>
    <x v="135"/>
    <x v="7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36796000000"/>
    <n v="36796000000"/>
    <n v="1787862837.2"/>
    <n v="432539096.07999998"/>
    <n v="3228586649.3699999"/>
    <n v="2290983309.3699999"/>
    <n v="485878991.95999998"/>
    <n v="2805125289.6199999"/>
    <n v="3105459427.77"/>
    <n v="900134406.76999998"/>
    <n v="3068960419.4699998"/>
    <n v="2766076259.3200002"/>
    <n v="1508640214.6099999"/>
    <n v="15889120257.27"/>
    <n v="38269367158.809998"/>
    <n v="-1473367158.8099999"/>
    <n v="104"/>
    <n v="-4"/>
  </r>
  <r>
    <x v="180"/>
    <x v="7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1790000000"/>
    <n v="71790000000"/>
    <n v="6062296143.9700003"/>
    <n v="3407713599.6700001"/>
    <n v="4927336274.4499998"/>
    <n v="2862594037.8699999"/>
    <n v="4154911741.46"/>
    <n v="11480925818.969999"/>
    <n v="4730361569.2799997"/>
    <n v="4742760587"/>
    <n v="9807077774.3400002"/>
    <n v="3931132525.6799998"/>
    <n v="3818831250.8099999"/>
    <n v="9160985293.5100002"/>
    <n v="69086926617.009995"/>
    <n v="2703073382.9899998"/>
    <n v="96.23"/>
    <n v="3.77"/>
  </r>
  <r>
    <x v="137"/>
    <x v="7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496290000000"/>
    <n v="496290000000"/>
    <n v="4914273826.2200003"/>
    <n v="7271555005.5600004"/>
    <n v="98974127875.199997"/>
    <n v="18383526352.349998"/>
    <n v="4674773374.4799995"/>
    <n v="84629118552.630005"/>
    <n v="26172109477.209999"/>
    <n v="8484536035.8699999"/>
    <n v="85225736174"/>
    <n v="15211761739.389999"/>
    <n v="12041010448.92"/>
    <n v="138687599192.23001"/>
    <n v="504670128054.06"/>
    <n v="-8380128054.0600004"/>
    <n v="101.69"/>
    <n v="-1.69"/>
  </r>
  <r>
    <x v="181"/>
    <x v="7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4970229"/>
    <n v="283561060.58999997"/>
    <n v="32014072"/>
    <n v="17020766"/>
    <n v="17592619"/>
    <n v="22982440"/>
    <n v="23826443"/>
    <n v="13215290"/>
    <n v="18774787"/>
    <n v="18595559"/>
    <n v="20740833"/>
    <n v="89076004"/>
    <n v="572370102.59000003"/>
    <n v="-122370102.59"/>
    <n v="127.19"/>
    <n v="-27.19"/>
  </r>
  <r>
    <x v="138"/>
    <x v="7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261000000"/>
    <n v="30261000000"/>
    <n v="3501814013.6599998"/>
    <n v="2117761229.72"/>
    <n v="2516258440.8299999"/>
    <n v="1612088829.0999999"/>
    <n v="1911785367.97"/>
    <n v="2014407068.3800001"/>
    <n v="2091394427.49"/>
    <n v="1435998715.47"/>
    <n v="1065105287.67"/>
    <n v="2140376543.8699999"/>
    <n v="3831786880.1700001"/>
    <n v="4098578722.3099999"/>
    <n v="28337355526.639999"/>
    <n v="1923644473.3599999"/>
    <n v="93.64"/>
    <n v="6.36"/>
  </r>
  <r>
    <x v="182"/>
    <x v="7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3200000000"/>
    <n v="43200000000"/>
    <n v="5007133900.9499998"/>
    <n v="3359345164.8099999"/>
    <n v="883981514.25"/>
    <n v="7765359410.3599997"/>
    <n v="2047288442.5999999"/>
    <n v="2299145717.3600001"/>
    <n v="5372952683.3699999"/>
    <n v="2714290211.6700001"/>
    <n v="1396976377.24"/>
    <n v="6990939459.4200001"/>
    <n v="2144420794.5899999"/>
    <n v="1865086672.9300001"/>
    <n v="41846920349.550003"/>
    <n v="1353079650.45"/>
    <n v="96.87"/>
    <n v="3.13"/>
  </r>
  <r>
    <x v="183"/>
    <x v="7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000000000"/>
    <n v="13000000000"/>
    <n v="1192986978.73"/>
    <n v="1031285416.66"/>
    <n v="902699383.75"/>
    <n v="990008267.13"/>
    <n v="1047966080.96"/>
    <n v="944759022.26999998"/>
    <n v="1117709849.3900001"/>
    <n v="1087628754.75"/>
    <n v="955230076.90999997"/>
    <n v="1090656468"/>
    <n v="1037795364.84"/>
    <n v="1723744349.51"/>
    <n v="13122470012.9"/>
    <n v="-122470012.90000001"/>
    <n v="100.94"/>
    <n v="-0.94"/>
  </r>
  <r>
    <x v="184"/>
    <x v="7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87460000000"/>
    <n v="87460000000"/>
    <n v="10902346999.219999"/>
    <n v="5476647598.8699999"/>
    <n v="5555397342.6800003"/>
    <n v="6530734548.9799995"/>
    <n v="6052885009.2399998"/>
    <n v="6709030553.8400002"/>
    <n v="7210850065.1300001"/>
    <n v="8313743919.4300003"/>
    <n v="6042051446.9700003"/>
    <n v="7870634932.5600004"/>
    <n v="6900536808.4499998"/>
    <n v="6750222510.2200003"/>
    <n v="84315081735.589996"/>
    <n v="3144918264.4099998"/>
    <n v="96.4"/>
    <n v="3.6"/>
  </r>
  <r>
    <x v="18"/>
    <x v="7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53000000"/>
    <n v="253000000"/>
    <n v="253493750"/>
    <n v="0"/>
    <n v="0"/>
    <n v="0"/>
    <n v="0"/>
    <n v="0"/>
    <n v="0"/>
    <n v="0"/>
    <n v="0"/>
    <n v="0"/>
    <n v="0"/>
    <n v="126631250"/>
    <n v="380125000"/>
    <n v="-127125000"/>
    <n v="150.25"/>
    <n v="-50.25"/>
  </r>
  <r>
    <x v="186"/>
    <x v="7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300000000"/>
    <n v="4300000000"/>
    <n v="3514843098"/>
    <n v="165752193"/>
    <n v="43617481.899999999"/>
    <n v="46478704"/>
    <n v="25245065"/>
    <n v="15667014"/>
    <n v="20689360"/>
    <n v="10758866"/>
    <n v="21293147"/>
    <n v="61873401"/>
    <n v="43109607"/>
    <n v="43463553"/>
    <n v="4012791489.9000001"/>
    <n v="287208510.10000002"/>
    <n v="93.32"/>
    <n v="6.68"/>
  </r>
  <r>
    <x v="141"/>
    <x v="7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20000000000"/>
    <n v="120000000000"/>
    <n v="7089287505"/>
    <n v="3408760399"/>
    <n v="2011471707.6099999"/>
    <n v="1531516939.3800001"/>
    <n v="1658477444.46"/>
    <n v="1398412399.9200001"/>
    <n v="1116920129"/>
    <n v="931186376.82000005"/>
    <n v="784057515"/>
    <n v="671746036"/>
    <n v="10396232352"/>
    <n v="99002235619"/>
    <n v="130000304423.19"/>
    <n v="-10000304423.190001"/>
    <n v="108.33"/>
    <n v="-8.33"/>
  </r>
  <r>
    <x v="21"/>
    <x v="7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30000000"/>
    <n v="130000000"/>
    <n v="11252487"/>
    <n v="6120545"/>
    <n v="3205354"/>
    <n v="2445533"/>
    <n v="2168245"/>
    <n v="1996301"/>
    <n v="1680108"/>
    <n v="1622661"/>
    <n v="1549260"/>
    <n v="1602215"/>
    <n v="9809175"/>
    <n v="98812858"/>
    <n v="142264742"/>
    <n v="-12264742"/>
    <n v="109.43"/>
    <n v="-9.43"/>
  </r>
  <r>
    <x v="22"/>
    <x v="7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435000000"/>
    <n v="435000000"/>
    <n v="91268"/>
    <n v="6842864.5099999998"/>
    <n v="109084428.89"/>
    <n v="38409031.159999996"/>
    <n v="21176884.170000002"/>
    <n v="7126495.3499999996"/>
    <n v="11004984.84"/>
    <n v="6500765.4299999997"/>
    <n v="7220278.6299999999"/>
    <n v="8463505.4399999995"/>
    <n v="7100832.8499999996"/>
    <n v="6210712.5599999996"/>
    <n v="229232051.83000001"/>
    <n v="205767948.16999999"/>
    <n v="52.7"/>
    <n v="47.3"/>
  </r>
  <r>
    <x v="229"/>
    <x v="7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8500000000"/>
    <n v="38500000000"/>
    <n v="18221695412.110001"/>
    <n v="8514761632.6800003"/>
    <n v="2822737252.4200001"/>
    <n v="1455442247.0799999"/>
    <n v="1784979546.5"/>
    <n v="1123230225"/>
    <n v="1093037100.4000001"/>
    <n v="856950272.80999994"/>
    <n v="811087197.51999998"/>
    <n v="985476708.84000003"/>
    <n v="768379525.97000003"/>
    <n v="874916407.26999998"/>
    <n v="39312693528.599998"/>
    <n v="-812693528.60000002"/>
    <n v="102.11"/>
    <n v="-2.11"/>
  </r>
  <r>
    <x v="23"/>
    <x v="7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3000000000"/>
    <n v="33000000000"/>
    <n v="2328201142"/>
    <n v="2398089532"/>
    <n v="2753065339"/>
    <n v="2175834207"/>
    <n v="2684003131"/>
    <n v="3296210858"/>
    <n v="3062260165"/>
    <n v="2402677978"/>
    <n v="2508498213"/>
    <n v="3319214680"/>
    <n v="2591032812"/>
    <n v="3180721357.3000002"/>
    <n v="32699809414.299999"/>
    <n v="300190585.69999999"/>
    <n v="99.09"/>
    <n v="0.91"/>
  </r>
  <r>
    <x v="24"/>
    <x v="7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16800000000"/>
    <n v="16800000000"/>
    <n v="1664698166"/>
    <n v="1673392001"/>
    <n v="1681202496"/>
    <n v="1359582406"/>
    <n v="1724858714"/>
    <n v="1556079254"/>
    <n v="1595467812"/>
    <n v="1490833014"/>
    <n v="1607206275"/>
    <n v="1750037487"/>
    <n v="1603235466"/>
    <n v="1392671501"/>
    <n v="19099264592"/>
    <n v="-2299264592"/>
    <n v="113.69"/>
    <n v="-13.69"/>
  </r>
  <r>
    <x v="142"/>
    <x v="7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665000000000"/>
    <n v="665000000000"/>
    <n v="70066648517.740005"/>
    <n v="50822001971.870003"/>
    <n v="51461371392.559998"/>
    <n v="57877110367.879997"/>
    <n v="49998494343.809998"/>
    <n v="48557452053.879997"/>
    <n v="53805697492.330002"/>
    <n v="52696541443.129997"/>
    <n v="50690754224.269997"/>
    <n v="51048818745.190002"/>
    <n v="48791448147.610001"/>
    <n v="64126708881.610001"/>
    <n v="649943047581.88"/>
    <n v="15056952418.120001"/>
    <n v="97.74"/>
    <n v="2.2599999999999998"/>
  </r>
  <r>
    <x v="187"/>
    <x v="7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25000000000"/>
    <n v="625000000000"/>
    <n v="49175340267.830002"/>
    <n v="44778603445.529999"/>
    <n v="55027799146.769997"/>
    <n v="49049801470.339996"/>
    <n v="53583167763.709999"/>
    <n v="48504832230.32"/>
    <n v="52532541674.790001"/>
    <n v="50275323426.910004"/>
    <n v="48719276194.239998"/>
    <n v="56721488113.089996"/>
    <n v="57090030908.959999"/>
    <n v="51396322903.730003"/>
    <n v="616854527546.21997"/>
    <n v="8145472453.7799997"/>
    <n v="98.7"/>
    <n v="1.3"/>
  </r>
  <r>
    <x v="188"/>
    <x v="7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2480571638.1599998"/>
    <n v="1264258878.74"/>
    <n v="1676217839.4000001"/>
    <n v="5102541144.3500004"/>
    <n v="729102925.28999996"/>
    <n v="652540628.99000001"/>
    <n v="1098389056.26"/>
    <n v="1764699535.0699999"/>
    <n v="1413476703.3699999"/>
    <n v="1523376397.6700001"/>
    <n v="1691960749.3699999"/>
    <n v="2221865919.46"/>
    <n v="21619001416.130001"/>
    <n v="1380998583.8699999"/>
    <n v="94"/>
    <n v="6"/>
  </r>
  <r>
    <x v="189"/>
    <x v="7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72400000000"/>
    <n v="172400000000"/>
    <n v="12294815739.799999"/>
    <n v="12568918263.01"/>
    <n v="16899389922.42"/>
    <n v="14471242963.07"/>
    <n v="15317334170.870001"/>
    <n v="12620606726.75"/>
    <n v="14056181061.68"/>
    <n v="12635314143.440001"/>
    <n v="13687024855.209999"/>
    <n v="16365361995.379999"/>
    <n v="18329889257.130001"/>
    <n v="14972680304.700001"/>
    <n v="174218759403.45999"/>
    <n v="-1818759403.46"/>
    <n v="101.05"/>
    <n v="-1.05"/>
  </r>
  <r>
    <x v="30"/>
    <x v="7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30450000000"/>
    <n v="230450000000"/>
    <n v="0"/>
    <n v="25339143325"/>
    <n v="17497119073"/>
    <n v="26062481571"/>
    <n v="18622892349"/>
    <n v="18865808161"/>
    <n v="20830960137"/>
    <n v="8173577975"/>
    <n v="30699990765"/>
    <n v="20319047649"/>
    <n v="19021650467"/>
    <n v="19678594676"/>
    <n v="225111266148"/>
    <n v="5338733852"/>
    <n v="97.68"/>
    <n v="2.3199999999999998"/>
  </r>
  <r>
    <x v="31"/>
    <x v="7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8550000000"/>
    <n v="188550000000"/>
    <n v="23258691506.889999"/>
    <n v="8209143842.0699997"/>
    <n v="23535701635.119999"/>
    <n v="22367304614.310001"/>
    <n v="14492178086.08"/>
    <n v="8893025861.8199997"/>
    <n v="7822523837.7799997"/>
    <n v="21284410882.59"/>
    <n v="14870086386.93"/>
    <n v="15741285467.700001"/>
    <n v="8214694044.4099998"/>
    <n v="11101007105.98"/>
    <n v="179790053271.67999"/>
    <n v="8759946728.3199997"/>
    <n v="95.35"/>
    <n v="4.6500000000000004"/>
  </r>
  <r>
    <x v="32"/>
    <x v="7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8320000000"/>
    <n v="28320000000"/>
    <n v="3314269594.29"/>
    <n v="1858899450.99"/>
    <n v="2076707000.21"/>
    <n v="2804223019.4400001"/>
    <n v="1958305309.25"/>
    <n v="2119565282.0799999"/>
    <n v="2130899799.1900001"/>
    <n v="1911231672.3499999"/>
    <n v="2297227257.9699998"/>
    <n v="2431044675.25"/>
    <n v="2222888379.6199999"/>
    <n v="3190311127.8800001"/>
    <n v="28315572568.52"/>
    <n v="4427431.4800000004"/>
    <n v="99.98"/>
    <n v="0.02"/>
  </r>
  <r>
    <x v="33"/>
    <x v="7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080000000"/>
    <n v="7080000000"/>
    <n v="579156164.78999996"/>
    <n v="478092806.75"/>
    <n v="692749149.64999998"/>
    <n v="602752883.45000005"/>
    <n v="519583630.74000001"/>
    <n v="588943494.78999996"/>
    <n v="469967696.38"/>
    <n v="466458938.54000002"/>
    <n v="729088520.03999996"/>
    <n v="797619272"/>
    <n v="964939454.05999994"/>
    <n v="1088274165.8299999"/>
    <n v="7977626177.0200005"/>
    <n v="-897626177.01999998"/>
    <n v="112.68"/>
    <n v="-12.68"/>
  </r>
  <r>
    <x v="34"/>
    <x v="7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500000000"/>
    <n v="34500000000"/>
    <n v="3177250305.0900002"/>
    <n v="2392043724.46"/>
    <n v="2407689303.8200002"/>
    <n v="2724209426.9299998"/>
    <n v="2761912060"/>
    <n v="2480566238"/>
    <n v="2449267805.5999999"/>
    <n v="2618019744.7199998"/>
    <n v="2559946635.3000002"/>
    <n v="2532254740.4699998"/>
    <n v="2513726073.8699999"/>
    <n v="2700024266.0100002"/>
    <n v="31316910324.27"/>
    <n v="3183089675.73"/>
    <n v="90.77"/>
    <n v="9.23"/>
  </r>
  <r>
    <x v="35"/>
    <x v="7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00000000"/>
    <n v="3000000000"/>
    <n v="272123156.22000003"/>
    <n v="231555481.38"/>
    <n v="277827758.57999998"/>
    <n v="311579983.88"/>
    <n v="375926026.33999997"/>
    <n v="308521145.47000003"/>
    <n v="332115372.81"/>
    <n v="266703634.19"/>
    <n v="283996362.19"/>
    <n v="276407958.14999998"/>
    <n v="277597147.49000001"/>
    <n v="342388923.01999998"/>
    <n v="3556742949.7199998"/>
    <n v="-556742949.72000003"/>
    <n v="118.56"/>
    <n v="-18.559999999999999"/>
  </r>
  <r>
    <x v="190"/>
    <x v="7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760000000"/>
    <n v="1760000000"/>
    <n v="162512582.33000001"/>
    <n v="138394971.49000001"/>
    <n v="218343749.27000001"/>
    <n v="115041250.95"/>
    <n v="93972610.590000004"/>
    <n v="109612508.33"/>
    <n v="119279247.70999999"/>
    <n v="109282692.94"/>
    <n v="136416501.83000001"/>
    <n v="80791482.430000007"/>
    <n v="93598055.530000001"/>
    <n v="115553923.65000001"/>
    <n v="1492799577.05"/>
    <n v="267200422.94999999"/>
    <n v="84.82"/>
    <n v="15.18"/>
  </r>
  <r>
    <x v="144"/>
    <x v="7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35000000"/>
    <n v="235000000"/>
    <n v="22738298.710000001"/>
    <n v="28032180.670000002"/>
    <n v="0"/>
    <n v="25928441.620000001"/>
    <n v="68112040.090000004"/>
    <n v="45456022.009999998"/>
    <n v="26790454.77"/>
    <n v="44117425.109999999"/>
    <n v="27024547.870000001"/>
    <n v="25740843.620000001"/>
    <n v="0"/>
    <n v="26135923.969999999"/>
    <n v="340076178.44"/>
    <n v="-105076178.44"/>
    <n v="144.71"/>
    <n v="-44.71"/>
  </r>
  <r>
    <x v="230"/>
    <x v="7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160000000"/>
    <n v="20160000000"/>
    <n v="9894"/>
    <n v="840809114.91999996"/>
    <n v="1495154734.5"/>
    <n v="6559107516"/>
    <n v="7119856"/>
    <n v="9517577.1500000004"/>
    <n v="923513555.70000005"/>
    <n v="1554144714.4000001"/>
    <n v="1205525720.2"/>
    <n v="1363418636"/>
    <n v="1577652077"/>
    <n v="2092233233"/>
    <n v="17628206628.869999"/>
    <n v="2531793371.1300001"/>
    <n v="87.44"/>
    <n v="12.56"/>
  </r>
  <r>
    <x v="231"/>
    <x v="7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840000000"/>
    <n v="15840000000"/>
    <n v="1378396960.02"/>
    <n v="1004378731.73"/>
    <n v="1350479640"/>
    <n v="1490246339"/>
    <n v="1241695914.8900001"/>
    <n v="1263937584"/>
    <n v="1032648480"/>
    <n v="1062039884"/>
    <n v="1411191131.3699999"/>
    <n v="772524380.39999998"/>
    <n v="1341900400"/>
    <n v="1299134248.6400001"/>
    <n v="14648573694.049999"/>
    <n v="1191426305.95"/>
    <n v="92.48"/>
    <n v="7.52"/>
  </r>
  <r>
    <x v="37"/>
    <x v="7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960000000"/>
    <n v="960000000"/>
    <n v="64682215.509999998"/>
    <n v="116652947.64"/>
    <n v="95584224.079999998"/>
    <n v="117131325.7"/>
    <n v="57654093.450000003"/>
    <n v="47370935.390000001"/>
    <n v="79866907.049999997"/>
    <n v="55060674.119999997"/>
    <n v="42126393.68"/>
    <n v="101145090.62"/>
    <n v="68090944.560000002"/>
    <n v="51490851.850000001"/>
    <n v="896856603.64999998"/>
    <n v="63143396.350000001"/>
    <n v="93.42"/>
    <n v="6.58"/>
  </r>
  <r>
    <x v="244"/>
    <x v="7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120000000"/>
    <n v="120000000"/>
    <n v="8062250"/>
    <n v="0"/>
    <n v="0"/>
    <n v="0"/>
    <n v="0"/>
    <n v="0"/>
    <n v="4270500"/>
    <n v="0"/>
    <n v="0"/>
    <n v="19207575"/>
    <n v="5406450"/>
    <n v="5691450"/>
    <n v="42638225"/>
    <n v="77361775"/>
    <n v="35.53"/>
    <n v="64.47"/>
  </r>
  <r>
    <x v="145"/>
    <x v="7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47000000000"/>
    <n v="147000000000"/>
    <n v="9967659520.7099991"/>
    <n v="10087636647.66"/>
    <n v="12258695918.85"/>
    <n v="10892021667.59"/>
    <n v="12497616759.76"/>
    <n v="10602200396.889999"/>
    <n v="11934237922.93"/>
    <n v="11527595841.35"/>
    <n v="11789757386.23"/>
    <n v="13785712657.84"/>
    <n v="14036188380.27"/>
    <n v="12846200398.780001"/>
    <n v="142225523498.85999"/>
    <n v="4774476501.1400003"/>
    <n v="96.75"/>
    <n v="3.25"/>
  </r>
  <r>
    <x v="40"/>
    <x v="7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5600000000"/>
    <n v="25600000000"/>
    <n v="2224915986.1300001"/>
    <n v="1936431282.45"/>
    <n v="2462377176.3299999"/>
    <n v="2133416719.8900001"/>
    <n v="2411779207.5"/>
    <n v="1982507081.9000001"/>
    <n v="2408260648.3200002"/>
    <n v="2337657191.9200001"/>
    <n v="2105816271.54"/>
    <n v="2369665403.8099999"/>
    <n v="2264258325.3699999"/>
    <n v="2257248771.4200001"/>
    <n v="26894334066.580002"/>
    <n v="-1294334066.5799999"/>
    <n v="105.06"/>
    <n v="-5.0599999999999996"/>
  </r>
  <r>
    <x v="41"/>
    <x v="7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651000000"/>
    <n v="2651000000"/>
    <n v="233470784.06999999"/>
    <n v="198430480.83000001"/>
    <n v="263772837.96000001"/>
    <n v="271987178.23000002"/>
    <n v="340160151.81"/>
    <n v="286584346.07999998"/>
    <n v="256377767.91999999"/>
    <n v="210989332.72999999"/>
    <n v="248365321.91"/>
    <n v="300310757.42000002"/>
    <n v="226020308.56999999"/>
    <n v="230749255.33000001"/>
    <n v="3067218522.8600001"/>
    <n v="-416218522.86000001"/>
    <n v="115.7"/>
    <n v="-15.7"/>
  </r>
  <r>
    <x v="42"/>
    <x v="7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58000000"/>
    <n v="158000000"/>
    <n v="14351235"/>
    <n v="11907880.5"/>
    <n v="15036405"/>
    <n v="15444733.5"/>
    <n v="18858517.5"/>
    <n v="16005939"/>
    <n v="14688538.5"/>
    <n v="12278370"/>
    <n v="14225514"/>
    <n v="17000373"/>
    <n v="12867484.5"/>
    <n v="13213822.5"/>
    <n v="175878813"/>
    <n v="-17878813"/>
    <n v="111.32"/>
    <n v="-11.32"/>
  </r>
  <r>
    <x v="245"/>
    <x v="7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2092000000"/>
    <n v="2092000000"/>
    <n v="115693359.75"/>
    <n v="119259710.41"/>
    <n v="136389019"/>
    <n v="129656788.5"/>
    <n v="158962387.75"/>
    <n v="144413506.25"/>
    <n v="144858487.5"/>
    <n v="133056656"/>
    <n v="135097406.5"/>
    <n v="138214706.75"/>
    <n v="134346159"/>
    <n v="120232831.75"/>
    <n v="1610181019.1600001"/>
    <n v="481818980.83999997"/>
    <n v="76.97"/>
    <n v="23.03"/>
  </r>
  <r>
    <x v="44"/>
    <x v="7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1500000000"/>
    <n v="31500000000"/>
    <n v="3136078421.8600001"/>
    <n v="2819029801.9699998"/>
    <n v="3268439484.46"/>
    <n v="3152628650.6900001"/>
    <n v="2290749647.8699999"/>
    <n v="2401293283.5799999"/>
    <n v="2949310252.0799999"/>
    <n v="2572848226.3699999"/>
    <n v="2034492306.8399999"/>
    <n v="1759396598.2"/>
    <n v="1991319819.8399999"/>
    <n v="3008655279.2800002"/>
    <n v="31384241773.040001"/>
    <n v="115758226.95999999"/>
    <n v="99.63"/>
    <n v="0.37"/>
  </r>
  <r>
    <x v="246"/>
    <x v="7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854000000"/>
    <n v="2854000000"/>
    <n v="22347783.48"/>
    <n v="8599481"/>
    <n v="30630918.649999999"/>
    <n v="228922402.75"/>
    <n v="158467771.77000001"/>
    <n v="138510022.24000001"/>
    <n v="194084970.69999999"/>
    <n v="152233886.09999999"/>
    <n v="156140123.05000001"/>
    <n v="131450268.61"/>
    <n v="151546479.16999999"/>
    <n v="383827141.31999999"/>
    <n v="1756761248.8399999"/>
    <n v="1097238751.1600001"/>
    <n v="61.55"/>
    <n v="38.450000000000003"/>
  </r>
  <r>
    <x v="45"/>
    <x v="7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6600000000"/>
    <n v="6600000000"/>
    <n v="723272136.19000006"/>
    <n v="519853548.11000001"/>
    <n v="341019287.98000002"/>
    <n v="87503001.090000004"/>
    <n v="531956903.81999999"/>
    <n v="345965786.83999997"/>
    <n v="441312672.81999999"/>
    <n v="221697972.66999999"/>
    <n v="235057608.97999999"/>
    <n v="231877676.28"/>
    <n v="198797772.44999999"/>
    <n v="262571566.61000001"/>
    <n v="4140885933.8400002"/>
    <n v="2459114066.1599998"/>
    <n v="62.74"/>
    <n v="37.26"/>
  </r>
  <r>
    <x v="232"/>
    <x v="7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50000000"/>
    <n v="950000000"/>
    <n v="0"/>
    <n v="67824213.319999993"/>
    <n v="73345343.030000001"/>
    <n v="84270065.849999994"/>
    <n v="69563054.900000006"/>
    <n v="80128937.260000005"/>
    <n v="74364773.609999999"/>
    <n v="82881205.510000005"/>
    <n v="75361724.819999993"/>
    <n v="92224834.620000005"/>
    <n v="90183927.219999999"/>
    <n v="131937328.02"/>
    <n v="922085408.15999997"/>
    <n v="27914591.84"/>
    <n v="97.06"/>
    <n v="2.94"/>
  </r>
  <r>
    <x v="247"/>
    <x v="7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290000000"/>
    <n v="4290000000"/>
    <n v="2852130.32"/>
    <n v="359274856.56"/>
    <n v="374551882.95999998"/>
    <n v="420003104.77999997"/>
    <n v="334111790.63"/>
    <n v="406997989.06"/>
    <n v="367559495.30000001"/>
    <n v="1088745315.47"/>
    <n v="369320353.25999999"/>
    <n v="425357090.66000003"/>
    <n v="477070189.20999998"/>
    <n v="815323516"/>
    <n v="5441167714.21"/>
    <n v="-1151167714.21"/>
    <n v="126.83"/>
    <n v="-26.83"/>
  </r>
  <r>
    <x v="233"/>
    <x v="7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9720000000"/>
    <n v="9720000000"/>
    <n v="3845121.53"/>
    <n v="639267021.37"/>
    <n v="679142716"/>
    <n v="738158540.26999998"/>
    <n v="614201195.40999997"/>
    <n v="714715339.82000005"/>
    <n v="708447699.38"/>
    <n v="14681308.550000001"/>
    <n v="697308199.40999997"/>
    <n v="749187837.04999995"/>
    <n v="821725011.99000001"/>
    <n v="1418121395.54"/>
    <n v="7798801386.3199997"/>
    <n v="1921198613.6800001"/>
    <n v="80.23"/>
    <n v="19.77"/>
  </r>
  <r>
    <x v="146"/>
    <x v="7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065000000"/>
    <n v="1065000000"/>
    <n v="83521692.290000007"/>
    <n v="54534826.149999999"/>
    <n v="98057535.579999998"/>
    <n v="107299569.33"/>
    <n v="130567008.66"/>
    <n v="91498619.569999993"/>
    <n v="101174246.43000001"/>
    <n v="131115987.14"/>
    <n v="81888802.609999999"/>
    <n v="105725491.8"/>
    <n v="63165783.729999997"/>
    <n v="67918592.420000002"/>
    <n v="1116468155.71"/>
    <n v="-51468155.710000001"/>
    <n v="104.83"/>
    <n v="-4.83"/>
  </r>
  <r>
    <x v="47"/>
    <x v="7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400000000"/>
    <n v="5400000000"/>
    <n v="289855953.36000001"/>
    <n v="366254688.37"/>
    <n v="480268877.49000001"/>
    <n v="537738323.16999996"/>
    <n v="418079610.12"/>
    <n v="302928790.20999998"/>
    <n v="548200828.38999999"/>
    <n v="267349519.24000001"/>
    <n v="548493389.22000003"/>
    <n v="400891905.19999999"/>
    <n v="493143732.13"/>
    <n v="351737744.00999999"/>
    <n v="5004943360.9099998"/>
    <n v="395056639.08999997"/>
    <n v="92.68"/>
    <n v="7.32"/>
  </r>
  <r>
    <x v="147"/>
    <x v="7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35000000"/>
    <n v="135000000"/>
    <n v="4269.25"/>
    <n v="7572.8"/>
    <n v="17545"/>
    <n v="53608954.979999997"/>
    <n v="15679.75"/>
    <n v="32666226.620000001"/>
    <n v="17206990.699999999"/>
    <n v="11898.5"/>
    <n v="15246.75"/>
    <n v="49899593.729999997"/>
    <n v="22519.13"/>
    <n v="31427876.23"/>
    <n v="184904373.44"/>
    <n v="-49904373.439999998"/>
    <n v="136.97"/>
    <n v="-36.97"/>
  </r>
  <r>
    <x v="53"/>
    <x v="7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000000000"/>
    <n v="26000000000"/>
    <n v="1961685466.52"/>
    <n v="2978360840.5900002"/>
    <n v="2210469610.6300001"/>
    <n v="457164715.97000003"/>
    <n v="495714269.06"/>
    <n v="543691962.54999995"/>
    <n v="515292474.43000001"/>
    <n v="467032646.77999997"/>
    <n v="458437567.10000002"/>
    <n v="501678462.00999999"/>
    <n v="2294669436.6100001"/>
    <n v="2467638715.9899998"/>
    <n v="15351836168.24"/>
    <n v="10648163831.76"/>
    <n v="59.05"/>
    <n v="40.950000000000003"/>
  </r>
  <r>
    <x v="54"/>
    <x v="7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3850000000"/>
    <n v="23850000000"/>
    <n v="1829045808.9000001"/>
    <n v="1846702910.6300001"/>
    <n v="1863692671.8699999"/>
    <n v="1952448638.6800001"/>
    <n v="1876518720.8699999"/>
    <n v="1870014406.8800001"/>
    <n v="1924266610.45"/>
    <n v="1923454076.4100001"/>
    <n v="1956748886.05"/>
    <n v="1943251507.6600001"/>
    <n v="1707187495.74"/>
    <n v="1710180294.78"/>
    <n v="22403512028.919998"/>
    <n v="1446487971.0799999"/>
    <n v="93.94"/>
    <n v="6.06"/>
  </r>
  <r>
    <x v="55"/>
    <x v="7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4200000000"/>
    <n v="14200000000"/>
    <n v="1168396710.72"/>
    <n v="1055775182.64"/>
    <n v="1065347732.34"/>
    <n v="2340701369.9299998"/>
    <n v="2546046295.0599999"/>
    <n v="2445932015.6500001"/>
    <n v="2354328959.2600002"/>
    <n v="2503332767.1999998"/>
    <n v="2374054807.0999999"/>
    <n v="2546778009.1500001"/>
    <n v="903965759.60000002"/>
    <n v="846784062.66999996"/>
    <n v="22151443671.32"/>
    <n v="-7951443671.3199997"/>
    <n v="156"/>
    <n v="-56"/>
  </r>
  <r>
    <x v="56"/>
    <x v="7"/>
    <x v="50"/>
    <n v="1"/>
    <x v="0"/>
    <n v="13"/>
    <x v="2"/>
    <n v="131"/>
    <x v="6"/>
    <n v="1311"/>
    <x v="17"/>
    <n v="131109"/>
    <x v="32"/>
    <n v="13110901"/>
    <x v="22"/>
    <n v="131109010"/>
    <x v="0"/>
    <n v="1311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7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54848.67"/>
    <n v="59650.05"/>
    <n v="33081.25"/>
    <n v="105690.2"/>
    <n v="259661.76"/>
    <n v="113414.88"/>
    <n v="83843.45"/>
    <n v="263537.51"/>
    <n v="259836.02"/>
    <n v="179938.44"/>
    <n v="141128.82"/>
    <n v="136939.69"/>
    <n v="1691570.74"/>
    <n v="-691570.74"/>
    <n v="169.16"/>
    <n v="-69.16"/>
  </r>
  <r>
    <x v="234"/>
    <x v="7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19000000"/>
    <n v="19000000"/>
    <n v="1761172.66"/>
    <n v="2578930.98"/>
    <n v="3117696.75"/>
    <n v="3937611.45"/>
    <n v="2726515.56"/>
    <n v="2396449.6"/>
    <n v="2582089"/>
    <n v="1931599.24"/>
    <n v="2398058.6"/>
    <n v="4086901.77"/>
    <n v="1363665.74"/>
    <n v="4023102.52"/>
    <n v="32903793.870000001"/>
    <n v="-13903793.869999999"/>
    <n v="173.18"/>
    <n v="-73.180000000000007"/>
  </r>
  <r>
    <x v="58"/>
    <x v="7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26000000"/>
    <n v="26000000"/>
    <n v="1153757.78"/>
    <n v="1778000"/>
    <n v="11035474.25"/>
    <n v="1603100"/>
    <n v="1108200"/>
    <n v="440000"/>
    <n v="641135"/>
    <n v="588665"/>
    <n v="623331"/>
    <n v="805794.75"/>
    <n v="445784"/>
    <n v="1578500"/>
    <n v="21801741.780000001"/>
    <n v="4198258.22"/>
    <n v="83.85"/>
    <n v="16.149999999999999"/>
  </r>
  <r>
    <x v="192"/>
    <x v="7"/>
    <x v="167"/>
    <n v="1"/>
    <x v="0"/>
    <n v="13"/>
    <x v="2"/>
    <n v="131"/>
    <x v="6"/>
    <n v="1312"/>
    <x v="18"/>
    <n v="131209"/>
    <x v="34"/>
    <n v="13120901"/>
    <x v="76"/>
    <n v="131209011"/>
    <x v="27"/>
    <n v="1312090110"/>
    <x v="0"/>
    <n v="1"/>
    <s v="Ingresos corrientes"/>
    <n v="0"/>
    <n v="9000000"/>
    <n v="9000000"/>
    <n v="0"/>
    <n v="0"/>
    <n v="9612599.9900000002"/>
    <n v="0"/>
    <n v="0"/>
    <n v="0"/>
    <n v="0"/>
    <n v="0"/>
    <n v="0"/>
    <n v="0"/>
    <n v="0"/>
    <n v="0"/>
    <n v="9612599.9900000002"/>
    <n v="-612599.99"/>
    <n v="106.81"/>
    <n v="-6.81"/>
  </r>
  <r>
    <x v="59"/>
    <x v="7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158000000"/>
    <n v="158000000"/>
    <n v="3173041.97"/>
    <n v="16419191.98"/>
    <n v="3840940.2"/>
    <n v="38605842.82"/>
    <n v="-30478052.170000002"/>
    <n v="27694384.399999999"/>
    <n v="-38846276.57"/>
    <n v="4470491.3899999997"/>
    <n v="658281.31999999995"/>
    <n v="1075211.46"/>
    <n v="1911110.66"/>
    <n v="2650774.89"/>
    <n v="31174942.350000001"/>
    <n v="126825057.65000001"/>
    <n v="19.73"/>
    <n v="80.27"/>
  </r>
  <r>
    <x v="193"/>
    <x v="7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80000000"/>
    <n v="180000000"/>
    <n v="24662570.960000001"/>
    <n v="1458194"/>
    <n v="18242329.850000001"/>
    <n v="16241166.960000001"/>
    <n v="16916153.300000001"/>
    <n v="15368687.68"/>
    <n v="13322748"/>
    <n v="15318064.289999999"/>
    <n v="4644538.5999999996"/>
    <n v="5382813.7300000004"/>
    <n v="1830250.12"/>
    <n v="3043979.2"/>
    <n v="136431496.69"/>
    <n v="43568503.310000002"/>
    <n v="75.8"/>
    <n v="24.2"/>
  </r>
  <r>
    <x v="258"/>
    <x v="7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2000000"/>
    <n v="12000000"/>
    <n v="0"/>
    <n v="0"/>
    <n v="11956785"/>
    <n v="104890.67"/>
    <n v="126720.43"/>
    <n v="104186.93"/>
    <n v="196005.08"/>
    <n v="206807.97"/>
    <n v="40239.35"/>
    <n v="254392.25"/>
    <n v="179112.9"/>
    <n v="2722665.18"/>
    <n v="15891805.76"/>
    <n v="-3891805.76"/>
    <n v="132.43"/>
    <n v="-32.43"/>
  </r>
  <r>
    <x v="60"/>
    <x v="7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0"/>
    <n v="70400"/>
    <n v="-70400"/>
    <n v="0"/>
    <n v="0"/>
    <n v="0"/>
    <n v="0"/>
    <n v="0"/>
    <n v="0"/>
    <n v="600"/>
    <n v="625"/>
    <n v="0"/>
    <n v="1225"/>
    <n v="0"/>
    <n v="0"/>
    <n v="0"/>
  </r>
  <r>
    <x v="61"/>
    <x v="7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649217.68000000005"/>
    <n v="0"/>
    <n v="0"/>
    <n v="97138.31"/>
    <n v="0"/>
    <n v="0"/>
    <n v="0"/>
    <n v="0"/>
    <n v="746355.99"/>
    <n v="0"/>
    <n v="0"/>
    <n v="0"/>
  </r>
  <r>
    <x v="248"/>
    <x v="7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93000000"/>
    <n v="293000000"/>
    <n v="0"/>
    <n v="0"/>
    <n v="292788054.30000001"/>
    <n v="0"/>
    <n v="0"/>
    <n v="0"/>
    <n v="0"/>
    <n v="0"/>
    <n v="0"/>
    <n v="0"/>
    <n v="0"/>
    <n v="0"/>
    <n v="292788054.30000001"/>
    <n v="211945.7"/>
    <n v="99.93"/>
    <n v="7.0000000000000007E-2"/>
  </r>
  <r>
    <x v="62"/>
    <x v="7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67499.759999999995"/>
    <n v="2650"/>
    <n v="1500"/>
    <n v="2200"/>
    <n v="1200"/>
    <n v="800"/>
    <n v="2255"/>
    <n v="600"/>
    <n v="5600"/>
    <n v="450"/>
    <n v="475"/>
    <n v="400"/>
    <n v="85629.759999999995"/>
    <n v="0"/>
    <n v="0"/>
    <n v="0"/>
  </r>
  <r>
    <x v="63"/>
    <x v="7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3505000000"/>
    <n v="3505000000"/>
    <n v="185270369.88"/>
    <n v="88300531.840000004"/>
    <n v="48812887.450000003"/>
    <n v="106651808.15000001"/>
    <n v="114240734.13"/>
    <n v="22238128.34"/>
    <n v="13545369"/>
    <n v="17849677"/>
    <n v="10106039.300000001"/>
    <n v="10069587.02"/>
    <n v="256253875.97"/>
    <n v="2820085607.71"/>
    <n v="3693424615.79"/>
    <n v="-188424615.78999999"/>
    <n v="105.38"/>
    <n v="-5.38"/>
  </r>
  <r>
    <x v="64"/>
    <x v="7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48000000"/>
    <n v="48000000"/>
    <n v="4159087.42"/>
    <n v="4481059.04"/>
    <n v="5293750.92"/>
    <n v="3509046.22"/>
    <n v="3763290.28"/>
    <n v="2572810.56"/>
    <n v="3256187.44"/>
    <n v="3384829.34"/>
    <n v="3125874.2"/>
    <n v="3925672.09"/>
    <n v="1791042"/>
    <n v="4690419.09"/>
    <n v="43953068.600000001"/>
    <n v="4046931.4"/>
    <n v="91.57"/>
    <n v="8.43"/>
  </r>
  <r>
    <x v="65"/>
    <x v="7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4000000"/>
    <n v="4000000"/>
    <n v="230733.3"/>
    <n v="457510"/>
    <n v="141595"/>
    <n v="245456"/>
    <n v="270586"/>
    <n v="214176"/>
    <n v="206576"/>
    <n v="277360"/>
    <n v="292394"/>
    <n v="247454"/>
    <n v="159820"/>
    <n v="271541"/>
    <n v="3015201.3"/>
    <n v="984798.7"/>
    <n v="75.38"/>
    <n v="24.62"/>
  </r>
  <r>
    <x v="66"/>
    <x v="7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05000000"/>
    <n v="105000000"/>
    <n v="9636729"/>
    <n v="7548853.5"/>
    <n v="9564159.6500000004"/>
    <n v="8697065.0999999996"/>
    <n v="8357595"/>
    <n v="7353093.5"/>
    <n v="8648611.5"/>
    <n v="8012758.6799999997"/>
    <n v="7225599.9199999999"/>
    <n v="8524366.5999999996"/>
    <n v="7988600.9500000002"/>
    <n v="9722544.0700000003"/>
    <n v="101279977.47"/>
    <n v="3720022.53"/>
    <n v="96.46"/>
    <n v="3.54"/>
  </r>
  <r>
    <x v="67"/>
    <x v="7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3000000"/>
    <n v="53000000"/>
    <n v="2453675"/>
    <n v="4103308"/>
    <n v="4864805"/>
    <n v="3140655"/>
    <n v="3488290"/>
    <n v="4656078"/>
    <n v="6429410"/>
    <n v="3751662"/>
    <n v="4584551"/>
    <n v="5914747.5999999996"/>
    <n v="5622442"/>
    <n v="5664122"/>
    <n v="54673745.600000001"/>
    <n v="-1673745.6"/>
    <n v="103.16"/>
    <n v="-3.16"/>
  </r>
  <r>
    <x v="148"/>
    <x v="7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5000000"/>
    <n v="25000000"/>
    <n v="2859000"/>
    <n v="1736640"/>
    <n v="1830452.41"/>
    <n v="1429000"/>
    <n v="1940000"/>
    <n v="2007969.22"/>
    <n v="2333000"/>
    <n v="1479000"/>
    <n v="1750568.93"/>
    <n v="1698821"/>
    <n v="2083171.94"/>
    <n v="980901"/>
    <n v="22128524.5"/>
    <n v="2871475.5"/>
    <n v="88.51"/>
    <n v="11.49"/>
  </r>
  <r>
    <x v="149"/>
    <x v="7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2000000"/>
    <n v="42000000"/>
    <n v="7748000"/>
    <n v="4620000"/>
    <n v="30000"/>
    <n v="8545250"/>
    <n v="1866000"/>
    <n v="135000"/>
    <n v="2880000"/>
    <n v="3646000"/>
    <n v="1500000"/>
    <n v="240000"/>
    <n v="366000"/>
    <n v="1756000"/>
    <n v="33332250"/>
    <n v="8667750"/>
    <n v="79.36"/>
    <n v="20.64"/>
  </r>
  <r>
    <x v="259"/>
    <x v="7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259782837.11000001"/>
    <n v="259782837.11000001"/>
    <n v="0"/>
    <n v="0"/>
    <n v="0"/>
  </r>
  <r>
    <x v="150"/>
    <x v="7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248000000"/>
    <n v="248000000"/>
    <n v="9046824.6199999992"/>
    <n v="37890903.810000002"/>
    <n v="42802371.530000001"/>
    <n v="10005333.029999999"/>
    <n v="45590711.850000001"/>
    <n v="554016826.03999996"/>
    <n v="67817451.379999995"/>
    <n v="10760035.74"/>
    <n v="26113178.879999999"/>
    <n v="54601517.479999997"/>
    <n v="12401925.92"/>
    <n v="35426685.299999997"/>
    <n v="906473765.58000004"/>
    <n v="-658473765.58000004"/>
    <n v="365.51"/>
    <n v="-265.51"/>
  </r>
  <r>
    <x v="194"/>
    <x v="7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48000000"/>
    <n v="148000000"/>
    <n v="0"/>
    <n v="0"/>
    <n v="600"/>
    <n v="0"/>
    <n v="0"/>
    <n v="0"/>
    <n v="91681151.920000002"/>
    <n v="0"/>
    <n v="0"/>
    <n v="0"/>
    <n v="0"/>
    <n v="0"/>
    <n v="91681751.920000002"/>
    <n v="56318248.079999998"/>
    <n v="61.95"/>
    <n v="38.049999999999997"/>
  </r>
  <r>
    <x v="151"/>
    <x v="7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000000"/>
    <n v="1000000"/>
    <n v="0"/>
    <n v="328607674"/>
    <n v="253694667.09"/>
    <n v="224008817.88"/>
    <n v="214287263.12"/>
    <n v="-95676588.939999998"/>
    <n v="355023550.70999998"/>
    <n v="179625186"/>
    <n v="155865553"/>
    <n v="198152513.28999999"/>
    <n v="184342312"/>
    <n v="265374704.34999999"/>
    <n v="2263305652.5"/>
    <n v="-2262305652.5"/>
    <n v="226330.57"/>
    <n v="-226230.57"/>
  </r>
  <r>
    <x v="152"/>
    <x v="7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9000000"/>
    <n v="999000000"/>
    <n v="13407357.74"/>
    <n v="99470087.950000003"/>
    <n v="55654229.659999996"/>
    <n v="59798529.530000001"/>
    <n v="58913076.600000001"/>
    <n v="79962289.650000006"/>
    <n v="41339959.75"/>
    <n v="126425889.89"/>
    <n v="77732180.680000007"/>
    <n v="101929787.58"/>
    <n v="96927521.930000007"/>
    <n v="166185824.22999999"/>
    <n v="977746735.19000006"/>
    <n v="21253264.809999999"/>
    <n v="97.87"/>
    <n v="2.13"/>
  </r>
  <r>
    <x v="74"/>
    <x v="7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5730000000"/>
    <n v="5730000000"/>
    <n v="564375602"/>
    <n v="1207193486.27"/>
    <n v="636803247.73000002"/>
    <n v="442114679.51999998"/>
    <n v="385300170"/>
    <n v="461347043"/>
    <n v="800934870"/>
    <n v="542461586"/>
    <n v="650511596.25"/>
    <n v="395356318"/>
    <n v="481828428"/>
    <n v="2903017407"/>
    <n v="9471244433.7700005"/>
    <n v="-3741244433.77"/>
    <n v="165.29"/>
    <n v="-65.290000000000006"/>
  </r>
  <r>
    <x v="153"/>
    <x v="7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70000000"/>
    <n v="70000000"/>
    <n v="2555054.4300000002"/>
    <n v="2734634.58"/>
    <n v="0"/>
    <n v="0"/>
    <n v="6795310.5199999996"/>
    <n v="13988661.5"/>
    <n v="9435000"/>
    <n v="16925000"/>
    <n v="3317676.4"/>
    <n v="3000000"/>
    <n v="37535"/>
    <n v="0"/>
    <n v="58788872.43"/>
    <n v="11211127.57"/>
    <n v="83.98"/>
    <n v="16.02"/>
  </r>
  <r>
    <x v="154"/>
    <x v="7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26000000"/>
    <n v="26000000"/>
    <n v="0"/>
    <n v="0"/>
    <n v="0"/>
    <n v="0"/>
    <n v="0"/>
    <n v="0"/>
    <n v="0"/>
    <n v="0"/>
    <n v="0"/>
    <n v="0"/>
    <n v="0"/>
    <n v="0"/>
    <n v="0"/>
    <n v="26000000"/>
    <n v="0"/>
    <n v="100"/>
  </r>
  <r>
    <x v="155"/>
    <x v="7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191000000"/>
    <n v="191000000"/>
    <n v="12037825"/>
    <n v="18053779"/>
    <n v="14210500"/>
    <n v="124016859"/>
    <n v="3910910"/>
    <n v="22882000"/>
    <n v="43860500"/>
    <n v="37244600"/>
    <n v="15118550"/>
    <n v="28921500"/>
    <n v="453357246"/>
    <n v="4367000"/>
    <n v="777981269"/>
    <n v="-586981269"/>
    <n v="407.32"/>
    <n v="-307.32"/>
  </r>
  <r>
    <x v="156"/>
    <x v="7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48000000"/>
    <n v="248000000"/>
    <n v="3751526.3"/>
    <n v="-2091575.47"/>
    <n v="34705620.329999998"/>
    <n v="12607199.130000001"/>
    <n v="10610133.17"/>
    <n v="18753088.300000001"/>
    <n v="16622362.970000001"/>
    <n v="101039407.17"/>
    <n v="1997468.75"/>
    <n v="135156456.75"/>
    <n v="26972671.469999999"/>
    <n v="77095924.099999994"/>
    <n v="437220282.97000003"/>
    <n v="-189220282.97"/>
    <n v="176.3"/>
    <n v="-76.3"/>
  </r>
  <r>
    <x v="207"/>
    <x v="7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133616181.2"/>
    <n v="0"/>
    <n v="133616181.2"/>
    <n v="0"/>
    <n v="0"/>
    <n v="0"/>
  </r>
  <r>
    <x v="195"/>
    <x v="7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15000000"/>
    <n v="215000000"/>
    <n v="478128.82"/>
    <n v="15904870.67"/>
    <n v="2078763.17"/>
    <n v="5420770.1699999999"/>
    <n v="11605382.880000001"/>
    <n v="0"/>
    <n v="120237052.23"/>
    <n v="3501819.98"/>
    <n v="373815"/>
    <n v="5571822.2800000003"/>
    <n v="4098296.76"/>
    <n v="4583768.2"/>
    <n v="173854490.16"/>
    <n v="41145509.840000004"/>
    <n v="80.86"/>
    <n v="19.14"/>
  </r>
  <r>
    <x v="80"/>
    <x v="7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68000000"/>
    <n v="68000000"/>
    <n v="447906"/>
    <n v="0"/>
    <n v="0"/>
    <n v="16342565.68"/>
    <n v="5804990.3600000003"/>
    <n v="23021926.890000001"/>
    <n v="6249893.3200000003"/>
    <n v="7919906.1699999999"/>
    <n v="8358675.54"/>
    <n v="6678738.25"/>
    <n v="10036886.24"/>
    <n v="55840"/>
    <n v="84917328.450000003"/>
    <n v="-16917328.449999999"/>
    <n v="124.88"/>
    <n v="-24.88"/>
  </r>
  <r>
    <x v="260"/>
    <x v="7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338172228.51999998"/>
    <n v="-147659392.71000001"/>
    <n v="28601665"/>
    <n v="24915358"/>
    <n v="32290155"/>
    <n v="30364940"/>
    <n v="50675671"/>
    <n v="357360624.81"/>
    <n v="0"/>
    <n v="0"/>
    <n v="0"/>
  </r>
  <r>
    <x v="157"/>
    <x v="7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3700000000"/>
    <n v="3700000000"/>
    <n v="194298461.59999999"/>
    <n v="301699128.11000001"/>
    <n v="367823479"/>
    <n v="182582275.02000001"/>
    <n v="185375963.25999999"/>
    <n v="897947714.66999996"/>
    <n v="191294785.25999999"/>
    <n v="708178703.34000003"/>
    <n v="512002651.27999997"/>
    <n v="-471575977.06"/>
    <n v="333784191.64999998"/>
    <n v="176787260.63999999"/>
    <n v="3580198636.77"/>
    <n v="119801363.23"/>
    <n v="96.76"/>
    <n v="3.24"/>
  </r>
  <r>
    <x v="158"/>
    <x v="7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705000000"/>
    <n v="705000000"/>
    <n v="90333938.430000007"/>
    <n v="66420874.060000002"/>
    <n v="145521711.34"/>
    <n v="201347994.84999999"/>
    <n v="94561380.530000001"/>
    <n v="102369785.39"/>
    <n v="129120932.75"/>
    <n v="164363350.53"/>
    <n v="141174541.33000001"/>
    <n v="86056288.920000002"/>
    <n v="322425536.39999998"/>
    <n v="1535602349.0799999"/>
    <n v="3079298683.6100001"/>
    <n v="-2374298683.6100001"/>
    <n v="436.78"/>
    <n v="-336.78"/>
  </r>
  <r>
    <x v="159"/>
    <x v="7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6639798500.52"/>
    <n v="26639798500.52"/>
    <n v="0"/>
    <n v="0"/>
    <n v="0"/>
    <n v="798455529"/>
    <n v="713560050"/>
    <n v="1596930825"/>
    <n v="4860521108.9499998"/>
    <n v="4169006788.71"/>
    <n v="6011900875.1400003"/>
    <n v="6297344715.1999998"/>
    <n v="0"/>
    <n v="2234501489"/>
    <n v="26682221381"/>
    <n v="-42422880.479999997"/>
    <n v="100.16"/>
    <n v="-0.16"/>
  </r>
  <r>
    <x v="235"/>
    <x v="7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1518000000"/>
    <n v="1518000000"/>
    <n v="0"/>
    <n v="0"/>
    <n v="0"/>
    <n v="1517554180.04"/>
    <n v="0"/>
    <n v="0"/>
    <n v="0"/>
    <n v="0"/>
    <n v="0"/>
    <n v="0"/>
    <n v="0"/>
    <n v="0"/>
    <n v="1517554180.04"/>
    <n v="445819.96"/>
    <n v="99.97"/>
    <n v="0.03"/>
  </r>
  <r>
    <x v="160"/>
    <x v="7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8136000000"/>
    <n v="8136000000"/>
    <n v="0"/>
    <n v="0"/>
    <n v="0"/>
    <n v="1490143750"/>
    <n v="921480000"/>
    <n v="554370000"/>
    <n v="0"/>
    <n v="1283065000"/>
    <n v="0"/>
    <n v="1522075000"/>
    <n v="859290000"/>
    <n v="987090000"/>
    <n v="7617513750"/>
    <n v="518486250"/>
    <n v="93.63"/>
    <n v="6.37"/>
  </r>
  <r>
    <x v="196"/>
    <x v="7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1000000000"/>
    <n v="1000000000"/>
    <n v="0"/>
    <n v="0"/>
    <n v="375000000"/>
    <n v="0"/>
    <n v="125000000"/>
    <n v="0"/>
    <n v="0"/>
    <n v="400000000"/>
    <n v="0"/>
    <n v="0"/>
    <n v="0"/>
    <n v="0"/>
    <n v="900000000"/>
    <n v="100000000"/>
    <n v="90"/>
    <n v="10"/>
  </r>
  <r>
    <x v="208"/>
    <x v="7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59850000000"/>
    <n v="59850000000"/>
    <n v="0"/>
    <n v="5999999500"/>
    <n v="6000000000"/>
    <n v="6000000000"/>
    <n v="6000000000"/>
    <n v="5925000000"/>
    <n v="0"/>
    <n v="5999999500"/>
    <n v="6000000000"/>
    <n v="6000000000"/>
    <n v="6000000000"/>
    <n v="5925000000"/>
    <n v="59849999000"/>
    <n v="1000"/>
    <n v="100"/>
    <n v="0"/>
  </r>
  <r>
    <x v="209"/>
    <x v="7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20395000000"/>
    <n v="20395000000"/>
    <n v="0"/>
    <n v="0"/>
    <n v="0"/>
    <n v="5008476686.0900002"/>
    <n v="5467488226.54"/>
    <n v="9638085115.7000008"/>
    <n v="1132484423.6700001"/>
    <n v="1929312"/>
    <n v="0"/>
    <n v="0"/>
    <n v="0"/>
    <n v="0"/>
    <n v="21248463764"/>
    <n v="-853463764"/>
    <n v="104.18"/>
    <n v="-4.18"/>
  </r>
  <r>
    <x v="210"/>
    <x v="7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0"/>
    <n v="0"/>
    <n v="7350000000"/>
    <n v="3750000000"/>
    <n v="7800000000"/>
    <n v="3900000000"/>
    <n v="6500000000"/>
    <n v="5200000000"/>
    <n v="5200000000"/>
    <n v="0"/>
    <n v="8800000000"/>
    <n v="48500000000"/>
    <n v="0"/>
    <n v="100"/>
    <n v="0"/>
  </r>
  <r>
    <x v="211"/>
    <x v="7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6000000"/>
    <n v="7036000000"/>
    <n v="0"/>
    <n v="500000000"/>
    <n v="500000000"/>
    <n v="600000000"/>
    <n v="600000000"/>
    <n v="2044000000"/>
    <n v="903000000"/>
    <n v="200000000"/>
    <n v="400000000"/>
    <n v="200000000"/>
    <n v="1289512000"/>
    <n v="0"/>
    <n v="7236512000"/>
    <n v="-200512000"/>
    <n v="102.85"/>
    <n v="-2.85"/>
  </r>
  <r>
    <x v="212"/>
    <x v="7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470000000"/>
    <n v="2470000000"/>
    <n v="0"/>
    <n v="138294648"/>
    <n v="102110313"/>
    <n v="315784330"/>
    <n v="90500881"/>
    <n v="0"/>
    <n v="87243467"/>
    <n v="0"/>
    <n v="0"/>
    <n v="318258941"/>
    <n v="184406379"/>
    <n v="0"/>
    <n v="1236598959"/>
    <n v="1233401041"/>
    <n v="50.06"/>
    <n v="49.94"/>
  </r>
  <r>
    <x v="92"/>
    <x v="7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2276000000"/>
    <n v="2276000000"/>
    <n v="0"/>
    <n v="0"/>
    <n v="561598459.77999997"/>
    <n v="0"/>
    <n v="198850814.56"/>
    <n v="197399756.34"/>
    <n v="201576738.66"/>
    <n v="396001604.92000002"/>
    <n v="0"/>
    <n v="214187358.15000001"/>
    <n v="0"/>
    <n v="598716433.29999995"/>
    <n v="2368331165.71"/>
    <n v="-92331165.709999993"/>
    <n v="104.06"/>
    <n v="-4.0599999999999996"/>
  </r>
  <r>
    <x v="93"/>
    <x v="7"/>
    <x v="80"/>
    <n v="1"/>
    <x v="0"/>
    <n v="14"/>
    <x v="3"/>
    <n v="141"/>
    <x v="10"/>
    <n v="1412"/>
    <x v="27"/>
    <n v="141204"/>
    <x v="47"/>
    <n v="14120400"/>
    <x v="0"/>
    <n v="141204000"/>
    <x v="0"/>
    <n v="1412040000"/>
    <x v="0"/>
    <n v="1"/>
    <s v="Ingresos corrientes"/>
    <n v="0"/>
    <n v="602000000"/>
    <n v="602000000"/>
    <n v="0"/>
    <n v="0"/>
    <n v="0"/>
    <n v="0"/>
    <n v="602207295.47000003"/>
    <n v="0"/>
    <n v="0"/>
    <n v="0"/>
    <n v="0"/>
    <n v="0"/>
    <n v="0"/>
    <n v="0"/>
    <n v="602207295.47000003"/>
    <n v="-207295.47"/>
    <n v="100.03"/>
    <n v="-0.03"/>
  </r>
  <r>
    <x v="94"/>
    <x v="7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3000000"/>
    <n v="3000000"/>
    <n v="0"/>
    <n v="3000000"/>
    <n v="0"/>
    <n v="0"/>
    <n v="0"/>
    <n v="0"/>
    <n v="0"/>
    <n v="0"/>
    <n v="0"/>
    <n v="0"/>
    <n v="0"/>
    <n v="0"/>
    <n v="3000000"/>
    <n v="0"/>
    <n v="100"/>
    <n v="0"/>
  </r>
  <r>
    <x v="164"/>
    <x v="7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100000"/>
    <n v="100000"/>
    <n v="0"/>
    <n v="0"/>
    <n v="300000"/>
    <n v="0"/>
    <n v="0"/>
    <n v="0"/>
    <n v="0"/>
    <n v="0"/>
    <n v="0"/>
    <n v="0"/>
    <n v="0"/>
    <n v="0"/>
    <n v="300000"/>
    <n v="-200000"/>
    <n v="300"/>
    <n v="-200"/>
  </r>
  <r>
    <x v="95"/>
    <x v="7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5600000"/>
    <n v="35600000"/>
    <n v="0"/>
    <n v="0"/>
    <n v="0"/>
    <n v="0"/>
    <n v="0"/>
    <n v="0"/>
    <n v="0"/>
    <n v="11700000"/>
    <n v="0"/>
    <n v="0"/>
    <n v="0"/>
    <n v="0"/>
    <n v="11700000"/>
    <n v="23900000"/>
    <n v="32.869999999999997"/>
    <n v="67.13"/>
  </r>
  <r>
    <x v="96"/>
    <x v="7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2700000"/>
    <n v="2700000"/>
    <n v="2700000"/>
    <n v="0"/>
    <n v="0"/>
    <n v="0"/>
    <n v="0"/>
    <n v="0"/>
    <n v="0"/>
    <n v="0"/>
    <n v="0"/>
    <n v="0"/>
    <n v="0"/>
    <n v="0"/>
    <n v="2700000"/>
    <n v="0"/>
    <n v="100"/>
    <n v="0"/>
  </r>
  <r>
    <x v="97"/>
    <x v="7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9300000"/>
    <n v="9300000"/>
    <n v="0"/>
    <n v="9300000"/>
    <n v="0"/>
    <n v="0"/>
    <n v="0"/>
    <n v="0"/>
    <n v="0"/>
    <n v="0"/>
    <n v="0"/>
    <n v="0"/>
    <n v="0"/>
    <n v="0"/>
    <n v="9300000"/>
    <n v="0"/>
    <n v="100"/>
    <n v="0"/>
  </r>
  <r>
    <x v="165"/>
    <x v="7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10300000"/>
    <n v="10300000"/>
    <n v="10300000"/>
    <n v="0"/>
    <n v="0"/>
    <n v="0"/>
    <n v="0"/>
    <n v="0"/>
    <n v="0"/>
    <n v="0"/>
    <n v="0"/>
    <n v="0"/>
    <n v="0"/>
    <n v="0"/>
    <n v="10300000"/>
    <n v="0"/>
    <n v="100"/>
    <n v="0"/>
  </r>
  <r>
    <x v="197"/>
    <x v="7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18400000"/>
    <n v="0"/>
    <n v="18400000"/>
    <n v="0"/>
    <n v="100"/>
    <n v="0"/>
  </r>
  <r>
    <x v="166"/>
    <x v="7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3000000"/>
    <n v="3000000"/>
    <n v="0"/>
    <n v="0"/>
    <n v="3000000"/>
    <n v="0"/>
    <n v="0"/>
    <n v="0"/>
    <n v="0"/>
    <n v="0"/>
    <n v="0"/>
    <n v="0"/>
    <n v="0"/>
    <n v="0"/>
    <n v="3000000"/>
    <n v="0"/>
    <n v="100"/>
    <n v="0"/>
  </r>
  <r>
    <x v="99"/>
    <x v="7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15400000"/>
    <n v="15400000"/>
    <n v="0"/>
    <n v="0"/>
    <n v="0"/>
    <n v="15400000"/>
    <n v="0"/>
    <n v="0"/>
    <n v="0"/>
    <n v="0"/>
    <n v="0"/>
    <n v="0"/>
    <n v="0"/>
    <n v="0"/>
    <n v="15400000"/>
    <n v="0"/>
    <n v="100"/>
    <n v="0"/>
  </r>
  <r>
    <x v="100"/>
    <x v="7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3700000"/>
    <n v="3700000"/>
    <n v="0"/>
    <n v="15400000"/>
    <n v="0"/>
    <n v="-15400000"/>
    <n v="0"/>
    <n v="0"/>
    <n v="3700000"/>
    <n v="0"/>
    <n v="0"/>
    <n v="0"/>
    <n v="0"/>
    <n v="0"/>
    <n v="3700000"/>
    <n v="0"/>
    <n v="100"/>
    <n v="0"/>
  </r>
  <r>
    <x v="101"/>
    <x v="7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50300000"/>
    <n v="50300000"/>
    <n v="0"/>
    <n v="0"/>
    <n v="50300000"/>
    <n v="0"/>
    <n v="0"/>
    <n v="0"/>
    <n v="0"/>
    <n v="0"/>
    <n v="0"/>
    <n v="0"/>
    <n v="0"/>
    <n v="0"/>
    <n v="50300000"/>
    <n v="0"/>
    <n v="100"/>
    <n v="0"/>
  </r>
  <r>
    <x v="102"/>
    <x v="7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2200000"/>
    <n v="12200000"/>
    <n v="0"/>
    <n v="0"/>
    <n v="0"/>
    <n v="0"/>
    <n v="0"/>
    <n v="0"/>
    <n v="0"/>
    <n v="0"/>
    <n v="0"/>
    <n v="0"/>
    <n v="0"/>
    <n v="12850000"/>
    <n v="12850000"/>
    <n v="-650000"/>
    <n v="105.33"/>
    <n v="-5.33"/>
  </r>
  <r>
    <x v="105"/>
    <x v="7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648000000"/>
    <n v="4648000000"/>
    <n v="0"/>
    <n v="0"/>
    <n v="0"/>
    <n v="0"/>
    <n v="4647601956"/>
    <n v="0"/>
    <n v="0"/>
    <n v="0"/>
    <n v="0"/>
    <n v="0"/>
    <n v="0"/>
    <n v="0"/>
    <n v="4647601956"/>
    <n v="398044"/>
    <n v="99.99"/>
    <n v="0.01"/>
  </r>
  <r>
    <x v="167"/>
    <x v="7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17000000"/>
    <n v="617000000"/>
    <n v="0"/>
    <n v="0"/>
    <n v="51398716.329999998"/>
    <n v="51398342.630000003"/>
    <n v="102797432.66"/>
    <n v="51398716.329999998"/>
    <n v="51398716.329999998"/>
    <n v="51398716.329999998"/>
    <n v="51398716.329999998"/>
    <n v="51398716.329999998"/>
    <n v="51398716.329999998"/>
    <n v="102797432.66"/>
    <n v="616784222.25999999"/>
    <n v="215777.74"/>
    <n v="99.97"/>
    <n v="0.03"/>
  </r>
  <r>
    <x v="249"/>
    <x v="7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560000000"/>
    <n v="560000000"/>
    <n v="0"/>
    <n v="0"/>
    <n v="0"/>
    <n v="0"/>
    <n v="386339422.5"/>
    <n v="0"/>
    <n v="0"/>
    <n v="0"/>
    <n v="0"/>
    <n v="173660577.5"/>
    <n v="0"/>
    <n v="0"/>
    <n v="560000000"/>
    <n v="0"/>
    <n v="100"/>
    <n v="0"/>
  </r>
  <r>
    <x v="106"/>
    <x v="7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231000000"/>
    <n v="231000000"/>
    <n v="15324115.210000001"/>
    <n v="9293479.9000000004"/>
    <n v="10516050.57"/>
    <n v="12372637.48"/>
    <n v="75213142.25"/>
    <n v="62330506.659999996"/>
    <n v="85468854.209999993"/>
    <n v="96758473.400000006"/>
    <n v="97976684.609999999"/>
    <n v="8963836.2300000004"/>
    <n v="87615779.760000005"/>
    <n v="88023389.959999993"/>
    <n v="649856950.24000001"/>
    <n v="-418856950.24000001"/>
    <n v="281.32"/>
    <n v="-181.32"/>
  </r>
  <r>
    <x v="107"/>
    <x v="7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44600000"/>
    <n v="44600000"/>
    <n v="0"/>
    <n v="44600000"/>
    <n v="0"/>
    <n v="0"/>
    <n v="0"/>
    <n v="0"/>
    <n v="0"/>
    <n v="0"/>
    <n v="0"/>
    <n v="0"/>
    <n v="0"/>
    <n v="0"/>
    <n v="44600000"/>
    <n v="0"/>
    <n v="100"/>
    <n v="0"/>
  </r>
  <r>
    <x v="108"/>
    <x v="7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91400000"/>
    <n v="91400000"/>
    <n v="0"/>
    <n v="0"/>
    <n v="0"/>
    <n v="91400000"/>
    <n v="0"/>
    <n v="0"/>
    <n v="0"/>
    <n v="0"/>
    <n v="0"/>
    <n v="0"/>
    <n v="0"/>
    <n v="0"/>
    <n v="91400000"/>
    <n v="0"/>
    <n v="100"/>
    <n v="0"/>
  </r>
  <r>
    <x v="109"/>
    <x v="7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9600000"/>
    <n v="9600000"/>
    <n v="0"/>
    <n v="0"/>
    <n v="0"/>
    <n v="9600000"/>
    <n v="0"/>
    <n v="0"/>
    <n v="0"/>
    <n v="0"/>
    <n v="0"/>
    <n v="0"/>
    <n v="0"/>
    <n v="0"/>
    <n v="9600000"/>
    <n v="0"/>
    <n v="100"/>
    <n v="0"/>
  </r>
  <r>
    <x v="110"/>
    <x v="7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2300000"/>
    <n v="12300000"/>
    <n v="0"/>
    <n v="0"/>
    <n v="12300000"/>
    <n v="0"/>
    <n v="0"/>
    <n v="0"/>
    <n v="0"/>
    <n v="0"/>
    <n v="0"/>
    <n v="0"/>
    <n v="0"/>
    <n v="0"/>
    <n v="12300000"/>
    <n v="0"/>
    <n v="100"/>
    <n v="0"/>
  </r>
  <r>
    <x v="111"/>
    <x v="7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5700000"/>
    <n v="15700000"/>
    <n v="0"/>
    <n v="0"/>
    <n v="0"/>
    <n v="0"/>
    <n v="0"/>
    <n v="0"/>
    <n v="0"/>
    <n v="0"/>
    <n v="0"/>
    <n v="0"/>
    <n v="0"/>
    <n v="0"/>
    <n v="0"/>
    <n v="15700000"/>
    <n v="0"/>
    <n v="100"/>
  </r>
  <r>
    <x v="218"/>
    <x v="7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2400000"/>
    <n v="2400000"/>
    <n v="0"/>
    <n v="0"/>
    <n v="0"/>
    <n v="0"/>
    <n v="0"/>
    <n v="0"/>
    <n v="0"/>
    <n v="0"/>
    <n v="0"/>
    <n v="0"/>
    <n v="0"/>
    <n v="0"/>
    <n v="0"/>
    <n v="2400000"/>
    <n v="0"/>
    <n v="100"/>
  </r>
  <r>
    <x v="168"/>
    <x v="7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269600000"/>
    <n v="269600000"/>
    <n v="0"/>
    <n v="0"/>
    <n v="0"/>
    <n v="0"/>
    <n v="0"/>
    <n v="0"/>
    <n v="0"/>
    <n v="0"/>
    <n v="0"/>
    <n v="0"/>
    <n v="0"/>
    <n v="0"/>
    <n v="0"/>
    <n v="269600000"/>
    <n v="0"/>
    <n v="100"/>
  </r>
  <r>
    <x v="169"/>
    <x v="7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47300000"/>
    <n v="47300000"/>
    <n v="3941666.66"/>
    <n v="3941666.66"/>
    <n v="3941666.66"/>
    <n v="0"/>
    <n v="7883333.3200000003"/>
    <n v="3941666.66"/>
    <n v="3941666.66"/>
    <n v="3941666.66"/>
    <n v="3941666.66"/>
    <n v="3941666.66"/>
    <n v="3941666.66"/>
    <n v="3941666.74"/>
    <n v="47300000"/>
    <n v="0"/>
    <n v="100"/>
    <n v="0"/>
  </r>
  <r>
    <x v="170"/>
    <x v="7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401300000"/>
    <n v="401300000"/>
    <n v="0"/>
    <n v="0"/>
    <n v="0"/>
    <n v="0"/>
    <n v="0"/>
    <n v="0"/>
    <n v="0"/>
    <n v="0"/>
    <n v="0"/>
    <n v="0"/>
    <n v="0"/>
    <n v="401300000"/>
    <n v="401300000"/>
    <n v="0"/>
    <n v="100"/>
    <n v="0"/>
  </r>
  <r>
    <x v="171"/>
    <x v="7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16000000"/>
    <n v="16000000"/>
    <n v="0"/>
    <n v="0"/>
    <n v="0"/>
    <n v="0"/>
    <n v="0"/>
    <n v="0"/>
    <n v="0"/>
    <n v="0"/>
    <n v="0"/>
    <n v="0"/>
    <n v="0"/>
    <n v="0"/>
    <n v="0"/>
    <n v="16000000"/>
    <n v="0"/>
    <n v="100"/>
  </r>
  <r>
    <x v="198"/>
    <x v="7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6800000"/>
    <n v="6800000"/>
    <n v="0"/>
    <n v="0"/>
    <n v="0"/>
    <n v="6800000"/>
    <n v="0"/>
    <n v="0"/>
    <n v="0"/>
    <n v="0"/>
    <n v="0"/>
    <n v="0"/>
    <n v="0"/>
    <n v="0"/>
    <n v="6800000"/>
    <n v="0"/>
    <n v="100"/>
    <n v="0"/>
  </r>
  <r>
    <x v="261"/>
    <x v="7"/>
    <x v="228"/>
    <n v="1"/>
    <x v="0"/>
    <n v="14"/>
    <x v="3"/>
    <n v="142"/>
    <x v="11"/>
    <n v="1423"/>
    <x v="32"/>
    <n v="142300"/>
    <x v="79"/>
    <n v="14230000"/>
    <x v="0"/>
    <n v="142300000"/>
    <x v="0"/>
    <n v="1423000000"/>
    <x v="0"/>
    <n v="1"/>
    <s v="Ingresos corrientes"/>
    <n v="0"/>
    <n v="0"/>
    <n v="0"/>
    <n v="0"/>
    <n v="0"/>
    <n v="0"/>
    <n v="0"/>
    <n v="0"/>
    <n v="0"/>
    <n v="0"/>
    <n v="0"/>
    <n v="0"/>
    <n v="0"/>
    <n v="1268218.2"/>
    <n v="0"/>
    <n v="1268218.2"/>
    <n v="0"/>
    <n v="0"/>
    <n v="0"/>
  </r>
  <r>
    <x v="262"/>
    <x v="7"/>
    <x v="229"/>
    <n v="1"/>
    <x v="0"/>
    <n v="14"/>
    <x v="3"/>
    <n v="142"/>
    <x v="11"/>
    <n v="1424"/>
    <x v="32"/>
    <n v="142400"/>
    <x v="80"/>
    <n v="14240000"/>
    <x v="0"/>
    <n v="142400000"/>
    <x v="0"/>
    <n v="1424000000"/>
    <x v="0"/>
    <n v="1"/>
    <s v="Ingresos corrientes"/>
    <n v="0"/>
    <n v="0"/>
    <n v="0"/>
    <n v="0"/>
    <n v="0"/>
    <n v="0"/>
    <n v="0"/>
    <n v="0"/>
    <n v="0"/>
    <n v="0"/>
    <n v="0"/>
    <n v="0"/>
    <n v="0"/>
    <n v="2037132.69"/>
    <n v="0"/>
    <n v="2037132.69"/>
    <n v="0"/>
    <n v="0"/>
    <n v="0"/>
  </r>
  <r>
    <x v="251"/>
    <x v="7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2842000000"/>
    <n v="2842000000"/>
    <n v="0"/>
    <n v="0"/>
    <n v="0"/>
    <n v="0"/>
    <n v="0"/>
    <n v="3030687360"/>
    <n v="0"/>
    <n v="0"/>
    <n v="0"/>
    <n v="0"/>
    <n v="0"/>
    <n v="0"/>
    <n v="3030687360"/>
    <n v="-188687360"/>
    <n v="106.64"/>
    <n v="-6.64"/>
  </r>
  <r>
    <x v="252"/>
    <x v="7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Venta de terrenos"/>
    <n v="0"/>
    <n v="780500000"/>
    <n v="780500000"/>
    <n v="0"/>
    <n v="0"/>
    <n v="0"/>
    <n v="0"/>
    <n v="0"/>
    <n v="0"/>
    <n v="780500000"/>
    <n v="0"/>
    <n v="0"/>
    <n v="0"/>
    <n v="0"/>
    <n v="0"/>
    <n v="780500000"/>
    <n v="0"/>
    <n v="100"/>
    <n v="0"/>
  </r>
  <r>
    <x v="263"/>
    <x v="7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0"/>
    <n v="0"/>
    <n v="0"/>
    <n v="0"/>
    <n v="0"/>
    <n v="0"/>
    <n v="0"/>
    <n v="0"/>
    <n v="0"/>
    <n v="0"/>
    <n v="816016014.49000001"/>
    <n v="816016014.49000001"/>
    <n v="0"/>
    <n v="0"/>
    <n v="0"/>
  </r>
  <r>
    <x v="238"/>
    <x v="7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864367358.14999998"/>
    <n v="864367358.14999998"/>
    <n v="0"/>
    <n v="0"/>
    <n v="0"/>
    <n v="0"/>
    <n v="0"/>
    <n v="0"/>
    <n v="0"/>
    <n v="0"/>
    <n v="620732858.13999999"/>
    <n v="0"/>
    <n v="0"/>
    <n v="242797500"/>
    <n v="863530358.13999999"/>
    <n v="837000.01"/>
    <n v="99.9"/>
    <n v="0.1"/>
  </r>
  <r>
    <x v="174"/>
    <x v="7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608194000000"/>
    <n v="608194000000"/>
    <n v="59792025.079999998"/>
    <n v="17377986299.700001"/>
    <n v="17580396549.209999"/>
    <n v="16648589492.469999"/>
    <n v="4637661035.75"/>
    <n v="23819738911.080002"/>
    <n v="15357180480.93"/>
    <n v="27484181331.599998"/>
    <n v="22414689152.560001"/>
    <n v="48463658278.279999"/>
    <n v="45419306333.019997"/>
    <n v="195492963546.79999"/>
    <n v="434756143436.47998"/>
    <n v="173437856563.51999"/>
    <n v="71.48"/>
    <n v="28.52"/>
  </r>
  <r>
    <x v="175"/>
    <x v="7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1691604532054.52"/>
    <n v="1691604532054.52"/>
    <n v="108474214330.7"/>
    <n v="75445876165.369995"/>
    <n v="208222228491.59"/>
    <n v="81067998280"/>
    <n v="108299217526"/>
    <n v="83110248520"/>
    <n v="102355706696.64999"/>
    <n v="92451994909.210007"/>
    <n v="95536858150.960007"/>
    <n v="136713328949.78999"/>
    <n v="111820482071.49001"/>
    <n v="128947038720.12"/>
    <n v="1332445192811.8799"/>
    <n v="359159339242.64001"/>
    <n v="78.77"/>
    <n v="21.23"/>
  </r>
  <r>
    <x v="254"/>
    <x v="7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7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44056039.5"/>
    <n v="5800431919.9499998"/>
    <n v="0"/>
    <n v="423512000"/>
    <n v="0"/>
    <n v="0"/>
    <n v="1216106939.8"/>
    <n v="1353897244.2"/>
    <n v="0"/>
    <n v="0"/>
    <n v="1186092750"/>
    <n v="0"/>
    <n v="0"/>
    <n v="1620822985.95"/>
    <n v="5800431919.9499998"/>
    <n v="0"/>
    <n v="100"/>
    <n v="0"/>
  </r>
  <r>
    <x v="124"/>
    <x v="7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2391192415.1399999"/>
    <n v="425353675.57999998"/>
    <n v="0"/>
    <n v="0"/>
    <n v="425353675.57999998"/>
    <n v="0"/>
    <n v="0"/>
    <n v="0"/>
    <n v="0"/>
    <n v="0"/>
    <n v="0"/>
    <n v="0"/>
    <n v="0"/>
    <n v="0"/>
    <n v="425353675.57999998"/>
    <n v="0"/>
    <n v="100"/>
    <n v="0"/>
  </r>
  <r>
    <x v="202"/>
    <x v="7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3487236156.7999997"/>
    <n v="1701985092.74"/>
    <n v="0"/>
    <n v="277673080.24000001"/>
    <n v="162538335.11000001"/>
    <n v="52507245.469999999"/>
    <n v="218624759.36000001"/>
    <n v="55785343.280000001"/>
    <n v="91714181.530000001"/>
    <n v="108091841.73"/>
    <n v="70952417.420000002"/>
    <n v="160738330.94"/>
    <n v="230590986.12"/>
    <n v="272768571.54000002"/>
    <n v="1701985092.74"/>
    <n v="0"/>
    <n v="100"/>
    <n v="0"/>
  </r>
  <r>
    <x v="221"/>
    <x v="7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121214080000"/>
    <n v="45294410000"/>
    <n v="0"/>
    <n v="16817410000"/>
    <n v="0"/>
    <n v="0"/>
    <n v="8398200000"/>
    <n v="0"/>
    <n v="6526800000"/>
    <n v="0"/>
    <n v="0"/>
    <n v="0"/>
    <n v="8153400000"/>
    <n v="5398600000"/>
    <n v="45294410000"/>
    <n v="0"/>
    <n v="100"/>
    <n v="0"/>
  </r>
  <r>
    <x v="239"/>
    <x v="7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30303437660.799999"/>
    <n v="2449331312.0100002"/>
    <n v="0"/>
    <n v="19733234.079999998"/>
    <n v="42825382.43"/>
    <n v="123066796.45"/>
    <n v="135947253.11000001"/>
    <n v="58200908.030000001"/>
    <n v="147372590.62"/>
    <n v="172721965.75"/>
    <n v="427344615.75999999"/>
    <n v="189536763.75"/>
    <n v="355256833.60000002"/>
    <n v="777324968.42999995"/>
    <n v="2449331312.0100002"/>
    <n v="0"/>
    <n v="100"/>
    <n v="0"/>
  </r>
  <r>
    <x v="240"/>
    <x v="7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9385595000"/>
    <n v="1069994460"/>
    <n v="0"/>
    <n v="0"/>
    <n v="0"/>
    <n v="0"/>
    <n v="0"/>
    <n v="250000000"/>
    <n v="275000000"/>
    <n v="0"/>
    <n v="544994460"/>
    <n v="0"/>
    <n v="0"/>
    <n v="0"/>
    <n v="1069994460"/>
    <n v="0"/>
    <n v="100"/>
    <n v="0"/>
  </r>
  <r>
    <x v="241"/>
    <x v="7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6255670394.439995"/>
    <n v="5284800000"/>
    <n v="0"/>
    <n v="5284800000"/>
    <n v="0"/>
    <n v="0"/>
    <n v="0"/>
    <n v="0"/>
    <n v="0"/>
    <n v="0"/>
    <n v="0"/>
    <n v="0"/>
    <n v="0"/>
    <n v="0"/>
    <n v="5284800000"/>
    <n v="0"/>
    <n v="100"/>
    <n v="0"/>
  </r>
  <r>
    <x v="264"/>
    <x v="7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412400000"/>
    <n v="13059301.51"/>
    <n v="0"/>
    <n v="0"/>
    <n v="0"/>
    <n v="0"/>
    <n v="0"/>
    <n v="0"/>
    <n v="0"/>
    <n v="0"/>
    <n v="0"/>
    <n v="3633731.25"/>
    <n v="3771942.5"/>
    <n v="5653627.7599999998"/>
    <n v="13059301.51"/>
    <n v="0"/>
    <n v="100"/>
    <n v="0"/>
  </r>
  <r>
    <x v="176"/>
    <x v="7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762791897.2600002"/>
    <n v="86286859.739999995"/>
    <n v="0"/>
    <n v="0"/>
    <n v="86286859.739999995"/>
    <n v="0"/>
    <n v="0"/>
    <n v="0"/>
    <n v="0"/>
    <n v="0"/>
    <n v="0"/>
    <n v="0"/>
    <n v="0"/>
    <n v="0"/>
    <n v="86286859.739999995"/>
    <n v="0"/>
    <n v="100"/>
    <n v="0"/>
  </r>
  <r>
    <x v="203"/>
    <x v="7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2513427437.46"/>
    <n v="1257503530"/>
    <n v="0"/>
    <n v="0"/>
    <n v="0"/>
    <n v="0"/>
    <n v="0"/>
    <n v="1257503530"/>
    <n v="0"/>
    <n v="0"/>
    <n v="0"/>
    <n v="0"/>
    <n v="0"/>
    <n v="0"/>
    <n v="1257503530"/>
    <n v="0"/>
    <n v="100"/>
    <n v="0"/>
  </r>
  <r>
    <x v="204"/>
    <x v="7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7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39291639287.620003"/>
    <n v="2406477528.75"/>
    <n v="0"/>
    <n v="0"/>
    <n v="2406477528.75"/>
    <n v="0"/>
    <n v="0"/>
    <n v="0"/>
    <n v="0"/>
    <n v="0"/>
    <n v="0"/>
    <n v="0"/>
    <n v="0"/>
    <n v="0"/>
    <n v="2406477528.75"/>
    <n v="0"/>
    <n v="100"/>
    <n v="0"/>
  </r>
  <r>
    <x v="256"/>
    <x v="7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00052000000"/>
    <n v="6157647579.1700001"/>
    <n v="0"/>
    <n v="0"/>
    <n v="0"/>
    <n v="0"/>
    <n v="710895200"/>
    <n v="0"/>
    <n v="0"/>
    <n v="0"/>
    <n v="0"/>
    <n v="3895298910"/>
    <n v="0"/>
    <n v="1551453469.1700001"/>
    <n v="6157647579.1700001"/>
    <n v="0"/>
    <n v="100"/>
    <n v="0"/>
  </r>
  <r>
    <x v="224"/>
    <x v="7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60140981400.93"/>
    <n v="14491627754.16"/>
    <n v="0"/>
    <n v="3510065646.3699999"/>
    <n v="127260006.83"/>
    <n v="1273777193.6700001"/>
    <n v="0"/>
    <n v="427626585.58999997"/>
    <n v="49522967.350000001"/>
    <n v="1055971665.13"/>
    <n v="47901770.840000004"/>
    <n v="1745367151.8499999"/>
    <n v="2667109250.0100002"/>
    <n v="3587025516.52"/>
    <n v="14491627754.16"/>
    <n v="0"/>
    <n v="100"/>
    <n v="0"/>
  </r>
  <r>
    <x v="225"/>
    <x v="7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27663511611.369999"/>
    <n v="9341641412.5200005"/>
    <n v="0"/>
    <n v="992778552.25"/>
    <n v="210834276.31999999"/>
    <n v="1558628038.74"/>
    <n v="1460865097.8499999"/>
    <n v="1547312385.98"/>
    <n v="426516680.42000002"/>
    <n v="457912601.35000002"/>
    <n v="354265921.44999999"/>
    <n v="0"/>
    <n v="979158847.25999999"/>
    <n v="1353369010.9000001"/>
    <n v="9341641412.5200005"/>
    <n v="0"/>
    <n v="100"/>
    <n v="0"/>
  </r>
  <r>
    <x v="177"/>
    <x v="7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747185666.3599999"/>
    <n v="697862746.87"/>
    <n v="0"/>
    <n v="7551379.9100000001"/>
    <n v="0"/>
    <n v="20662628.559999999"/>
    <n v="157533207.36000001"/>
    <n v="171084666.18000001"/>
    <n v="0"/>
    <n v="0"/>
    <n v="0"/>
    <n v="4870206.68"/>
    <n v="336160658.18000001"/>
    <n v="0"/>
    <n v="697862746.87"/>
    <n v="0"/>
    <n v="100"/>
    <n v="0"/>
  </r>
  <r>
    <x v="242"/>
    <x v="7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3954900000"/>
    <n v="533954900000"/>
    <n v="0"/>
    <n v="0"/>
    <n v="0"/>
    <n v="0"/>
    <n v="552090000000"/>
    <n v="0"/>
    <n v="0"/>
    <n v="0"/>
    <n v="0"/>
    <n v="0"/>
    <n v="0"/>
    <n v="0"/>
    <n v="552090000000"/>
    <n v="-18135100000"/>
    <n v="103.4"/>
    <n v="-3.4"/>
  </r>
  <r>
    <x v="243"/>
    <x v="7"/>
    <x v="211"/>
    <n v="3"/>
    <x v="2"/>
    <n v="33"/>
    <x v="8"/>
    <n v="331"/>
    <x v="17"/>
    <n v="3311"/>
    <x v="35"/>
    <n v="331106"/>
    <x v="44"/>
    <n v="33110600"/>
    <x v="0"/>
    <n v="331106000"/>
    <x v="0"/>
    <n v="3311060000"/>
    <x v="0"/>
    <n v="905"/>
    <s v="Superávit Contraloría"/>
    <n v="0"/>
    <n v="17000000"/>
    <n v="17000000"/>
    <n v="17000000"/>
    <n v="0"/>
    <n v="0"/>
    <n v="0"/>
    <n v="0"/>
    <n v="0"/>
    <n v="0"/>
    <n v="0"/>
    <n v="0"/>
    <n v="0"/>
    <n v="0"/>
    <n v="0"/>
    <n v="17000000"/>
    <n v="0"/>
    <n v="100"/>
    <n v="0"/>
  </r>
  <r>
    <x v="265"/>
    <x v="7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15531480475.23"/>
    <n v="15531480475.23"/>
    <n v="0"/>
    <n v="0"/>
    <n v="0"/>
    <n v="0"/>
    <n v="15531480475.23"/>
    <n v="0"/>
    <n v="0"/>
    <n v="0"/>
    <n v="0"/>
    <n v="0"/>
    <n v="0"/>
    <n v="0"/>
    <n v="15531480475.23"/>
    <n v="0"/>
    <n v="100"/>
    <n v="0"/>
  </r>
  <r>
    <x v="133"/>
    <x v="8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000000000"/>
    <n v="214000000000"/>
    <n v="16003956300.309999"/>
    <n v="15529946327.74"/>
    <n v="16214476545.75"/>
    <n v="16511734659.200001"/>
    <n v="16810781192.68"/>
    <n v="20674104745.880001"/>
    <n v="16824142189.799999"/>
    <n v="17094683925.540001"/>
    <n v="17082416539.530001"/>
    <n v="17286922107.299999"/>
    <n v="19457914688.59"/>
    <n v="17956546103.09"/>
    <n v="207447625325.41"/>
    <n v="6552374674.5900002"/>
    <n v="96.94"/>
    <n v="3.06"/>
  </r>
  <r>
    <x v="134"/>
    <x v="8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28050000000"/>
    <n v="128050000000"/>
    <n v="11118243753.459999"/>
    <n v="10326077258.92"/>
    <n v="10897325008.809999"/>
    <n v="13690968755.040001"/>
    <n v="10959108049.68"/>
    <n v="10368791432.639999"/>
    <n v="10689614620.940001"/>
    <n v="10360882474.450001"/>
    <n v="9875032918.9300003"/>
    <n v="10766323922.219999"/>
    <n v="10079425627.440001"/>
    <n v="10817547269.98"/>
    <n v="129949341092.50999"/>
    <n v="-1899341092.51"/>
    <n v="101.48"/>
    <n v="-1.48"/>
  </r>
  <r>
    <x v="135"/>
    <x v="8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0145000000"/>
    <n v="40145000000"/>
    <n v="1447696324"/>
    <n v="1081969457.95"/>
    <n v="3834942609.3600001"/>
    <n v="2325584759.02"/>
    <n v="1116276765.97"/>
    <n v="3686041477.04"/>
    <n v="3079510566.3000002"/>
    <n v="1218862177.24"/>
    <n v="4133776571.6500001"/>
    <n v="3065951135.54"/>
    <n v="1999233714"/>
    <n v="21854507491.43"/>
    <n v="48844353049.5"/>
    <n v="-8699353049.5"/>
    <n v="121.67"/>
    <n v="-21.67"/>
  </r>
  <r>
    <x v="180"/>
    <x v="8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78400000000"/>
    <n v="78400000000"/>
    <n v="5918389346.8800001"/>
    <n v="3021035596.1700001"/>
    <n v="18406552342.130001"/>
    <n v="5274360060.1000004"/>
    <n v="4719636372"/>
    <n v="11732622088.360001"/>
    <n v="5924390265.9200001"/>
    <n v="5733063957.0500002"/>
    <n v="12122807773.709999"/>
    <n v="2385678980.9200001"/>
    <n v="4690415443.0799999"/>
    <n v="10227628690.959999"/>
    <n v="90156580917.279999"/>
    <n v="-11756580917.280001"/>
    <n v="115"/>
    <n v="-15"/>
  </r>
  <r>
    <x v="137"/>
    <x v="8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37850000000"/>
    <n v="537850000000"/>
    <n v="6957122094.4799995"/>
    <n v="8138683753.3800001"/>
    <n v="128476370472.86"/>
    <n v="17581318726.189999"/>
    <n v="7435193566.4399996"/>
    <n v="98182939267.630005"/>
    <n v="26616733568.369999"/>
    <n v="8901255026.8799992"/>
    <n v="97572783723.960007"/>
    <n v="21143006713.060001"/>
    <n v="12638383820.07"/>
    <n v="136150485514.58"/>
    <n v="569794276247.90002"/>
    <n v="-31944276247.900002"/>
    <n v="105.94"/>
    <n v="-5.94"/>
  </r>
  <r>
    <x v="181"/>
    <x v="8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450000000"/>
    <n v="450000000"/>
    <n v="18783186"/>
    <n v="294582413"/>
    <n v="53161418"/>
    <n v="30328910"/>
    <n v="21240059"/>
    <n v="20695616"/>
    <n v="23298280"/>
    <n v="21324302"/>
    <n v="21398466"/>
    <n v="34367487"/>
    <n v="18307128"/>
    <n v="97769297"/>
    <n v="655256562"/>
    <n v="-205256562"/>
    <n v="145.61000000000001"/>
    <n v="-45.61"/>
  </r>
  <r>
    <x v="138"/>
    <x v="8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2790000000"/>
    <n v="32790000000"/>
    <n v="3696224982.5500002"/>
    <n v="1159747848.8099999"/>
    <n v="2457331547.1199999"/>
    <n v="3227176728.9699998"/>
    <n v="1152211091.75"/>
    <n v="1679601149.26"/>
    <n v="1919952843.1600001"/>
    <n v="1961930903.8599999"/>
    <n v="1194042272.95"/>
    <n v="2205351397.3600001"/>
    <n v="2625794417.4400001"/>
    <n v="4655425302.3999996"/>
    <n v="27934790485.630001"/>
    <n v="4855209514.3699999"/>
    <n v="85.19"/>
    <n v="14.81"/>
  </r>
  <r>
    <x v="182"/>
    <x v="8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9840000000"/>
    <n v="49840000000"/>
    <n v="4575326106.8100004"/>
    <n v="2566098145.6799998"/>
    <n v="1267525925.1700001"/>
    <n v="5661441934.1400003"/>
    <n v="2648055329.6900001"/>
    <n v="2928657263.54"/>
    <n v="4581681172.7799997"/>
    <n v="2472560061.21"/>
    <n v="1545179262.3699999"/>
    <n v="6843026011.5100002"/>
    <n v="2587450755.5300002"/>
    <n v="3904056073.5799999"/>
    <n v="41581058042.010002"/>
    <n v="8258941957.9899998"/>
    <n v="83.43"/>
    <n v="16.57"/>
  </r>
  <r>
    <x v="183"/>
    <x v="8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5000000000"/>
    <n v="15000000000"/>
    <n v="1309383545.29"/>
    <n v="1151425044.0599999"/>
    <n v="1052723973.75"/>
    <n v="1004410898.1900001"/>
    <n v="1125227434.6600001"/>
    <n v="1496038815.55"/>
    <n v="1334389067.1800001"/>
    <n v="1374416135.97"/>
    <n v="1339488380.7"/>
    <n v="1640364457.72"/>
    <n v="1970772865.26"/>
    <n v="1587490388.74"/>
    <n v="16386131007.07"/>
    <n v="-1386131007.0699999"/>
    <n v="109.24"/>
    <n v="-9.24"/>
  </r>
  <r>
    <x v="184"/>
    <x v="8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96200000000"/>
    <n v="96200000000"/>
    <n v="11438571159.25"/>
    <n v="6354107017.9499998"/>
    <n v="5733577653.9399996"/>
    <n v="6566573723.3800001"/>
    <n v="6516411289.6499996"/>
    <n v="7207183401.5"/>
    <n v="10041439247.59"/>
    <n v="9186522223.9599991"/>
    <n v="8573317963.0900002"/>
    <n v="10739558242.52"/>
    <n v="18928265291.310001"/>
    <n v="13273490265.34"/>
    <n v="114559017479.48"/>
    <n v="-18359017479.48"/>
    <n v="119.08"/>
    <n v="-19.079999999999998"/>
  </r>
  <r>
    <x v="18"/>
    <x v="8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275000000"/>
    <n v="275000000"/>
    <n v="0"/>
    <n v="0"/>
    <n v="0"/>
    <n v="0"/>
    <n v="0"/>
    <n v="0"/>
    <n v="0"/>
    <n v="0"/>
    <n v="0"/>
    <n v="0"/>
    <n v="0"/>
    <n v="0"/>
    <n v="0"/>
    <n v="275000000"/>
    <n v="0"/>
    <n v="100"/>
  </r>
  <r>
    <x v="186"/>
    <x v="8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000000000"/>
    <n v="4000000000"/>
    <n v="3578134894"/>
    <n v="179145982.31999999"/>
    <n v="51101000"/>
    <n v="28996579"/>
    <n v="31847736"/>
    <n v="6461790"/>
    <n v="8999188"/>
    <n v="23040166"/>
    <n v="49819926"/>
    <n v="22252363"/>
    <n v="22005763"/>
    <n v="74632336"/>
    <n v="4076437723.3200002"/>
    <n v="-76437723.319999993"/>
    <n v="101.91"/>
    <n v="-1.91"/>
  </r>
  <r>
    <x v="141"/>
    <x v="8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32000000000"/>
    <n v="132000000000"/>
    <n v="7566216730.5"/>
    <n v="2536982621"/>
    <n v="2261368473"/>
    <n v="2211687404"/>
    <n v="2160759366.0799999"/>
    <n v="1644229148"/>
    <n v="1422020820"/>
    <n v="1226639287"/>
    <n v="951528204.37"/>
    <n v="761934966"/>
    <n v="669820967"/>
    <n v="122480881420"/>
    <n v="145894069406.95001"/>
    <n v="-13894069406.950001"/>
    <n v="110.53"/>
    <n v="-10.53"/>
  </r>
  <r>
    <x v="21"/>
    <x v="8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42000000"/>
    <n v="142000000"/>
    <n v="32798233.379999999"/>
    <n v="3798845"/>
    <n v="10717720"/>
    <n v="2774585"/>
    <n v="2525267"/>
    <n v="4419052"/>
    <n v="2057726"/>
    <n v="1904306"/>
    <n v="1775727"/>
    <n v="1758359"/>
    <n v="-37024250"/>
    <n v="120599567"/>
    <n v="148105137.38"/>
    <n v="-6105137.3799999999"/>
    <n v="104.3"/>
    <n v="-4.3"/>
  </r>
  <r>
    <x v="22"/>
    <x v="8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245000000"/>
    <n v="245000000"/>
    <n v="7390735.7400000002"/>
    <n v="8111112.29"/>
    <n v="7352902.2199999997"/>
    <n v="32478029.039999999"/>
    <n v="11238880.880000001"/>
    <n v="6665685.9800000004"/>
    <n v="6711680.4699999997"/>
    <n v="6864485.0300000003"/>
    <n v="492459244.97000003"/>
    <n v="10130426.310000001"/>
    <n v="14182190.24"/>
    <n v="-12759639.5"/>
    <n v="590825733.66999996"/>
    <n v="-345825733.67000002"/>
    <n v="241.15"/>
    <n v="-141.15"/>
  </r>
  <r>
    <x v="229"/>
    <x v="8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42000000000"/>
    <n v="42000000000"/>
    <n v="15469389071.43"/>
    <n v="5844882038.8599997"/>
    <n v="2293133088.75"/>
    <n v="1483236489.53"/>
    <n v="1245374840.9300001"/>
    <n v="1159399202.3"/>
    <n v="0"/>
    <n v="-209171.19"/>
    <n v="0"/>
    <n v="3507477711.6199999"/>
    <n v="740524025.63"/>
    <n v="782708817.07000005"/>
    <n v="32525916114.93"/>
    <n v="9474083885.0699997"/>
    <n v="77.44"/>
    <n v="22.56"/>
  </r>
  <r>
    <x v="23"/>
    <x v="8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8500000000"/>
    <n v="38500000000"/>
    <n v="2316403163"/>
    <n v="2347144054.2600002"/>
    <n v="2970896580"/>
    <n v="2463674585"/>
    <n v="2778665373"/>
    <n v="3031032286"/>
    <n v="3454817125"/>
    <n v="2652457902"/>
    <n v="2601709339"/>
    <n v="3211602959"/>
    <n v="2665332997"/>
    <n v="2763862616.8099999"/>
    <n v="33257598980.07"/>
    <n v="5242401019.9300003"/>
    <n v="86.38"/>
    <n v="13.62"/>
  </r>
  <r>
    <x v="24"/>
    <x v="8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1000000000"/>
    <n v="21000000000"/>
    <n v="1816974653"/>
    <n v="1872678171"/>
    <n v="1962934361"/>
    <n v="1646779741"/>
    <n v="1662525281"/>
    <n v="1849906112"/>
    <n v="1867132556.0999999"/>
    <n v="1753941005"/>
    <n v="1788996555.1600001"/>
    <n v="1718308285"/>
    <n v="1756686607"/>
    <n v="1302001248"/>
    <n v="20998864575.259998"/>
    <n v="1135424.74"/>
    <n v="99.99"/>
    <n v="0.01"/>
  </r>
  <r>
    <x v="142"/>
    <x v="8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27000000000"/>
    <n v="727000000000"/>
    <n v="68038208543.239998"/>
    <n v="60295090138.010002"/>
    <n v="60302803893.169998"/>
    <n v="55420024625.610001"/>
    <n v="48773091727.309998"/>
    <n v="54532135526.970001"/>
    <n v="55533173423.239998"/>
    <n v="55950899166.760002"/>
    <n v="55560812300.440002"/>
    <n v="54559140858.160004"/>
    <n v="55470410421.010002"/>
    <n v="76059330553.369995"/>
    <n v="700495121177.29004"/>
    <n v="26504878822.709999"/>
    <n v="96.35"/>
    <n v="3.65"/>
  </r>
  <r>
    <x v="187"/>
    <x v="8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94000000000"/>
    <n v="694000000000"/>
    <n v="46672701143.050003"/>
    <n v="45620756529.889999"/>
    <n v="53073173753.989998"/>
    <n v="53745854463.339996"/>
    <n v="47203595135.050003"/>
    <n v="52049056710.970001"/>
    <n v="57329668507.059998"/>
    <n v="50273569613.139999"/>
    <n v="52183541342.139999"/>
    <n v="58636545341.839996"/>
    <n v="64211381999.400002"/>
    <n v="54579870287.400002"/>
    <n v="635579714827.27002"/>
    <n v="58420285172.730003"/>
    <n v="91.58"/>
    <n v="8.42"/>
  </r>
  <r>
    <x v="188"/>
    <x v="8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5170000000"/>
    <n v="25170000000"/>
    <n v="3008550473.6199999"/>
    <n v="1046191967.71"/>
    <n v="1315289683.53"/>
    <n v="4509711552.6099997"/>
    <n v="1432366529.97"/>
    <n v="747141587.48000002"/>
    <n v="1323788316.72"/>
    <n v="1365611098.4400001"/>
    <n v="1702520991.9300001"/>
    <n v="1585846246.28"/>
    <n v="1790336371.49"/>
    <n v="1653341910.4400001"/>
    <n v="21480696730.220001"/>
    <n v="3689303269.7800002"/>
    <n v="85.34"/>
    <n v="14.66"/>
  </r>
  <r>
    <x v="189"/>
    <x v="8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190000000000"/>
    <n v="190000000000"/>
    <n v="13527022998.17"/>
    <n v="13618261827.27"/>
    <n v="18386499394.290001"/>
    <n v="17562001253.290001"/>
    <n v="15538992737.33"/>
    <n v="15836909292.66"/>
    <n v="18106132671.57"/>
    <n v="15464234661.790001"/>
    <n v="15040367679.969999"/>
    <n v="19331252514.119999"/>
    <n v="22867128418.220001"/>
    <n v="17830467334"/>
    <n v="203109270782.67999"/>
    <n v="-13109270782.68"/>
    <n v="106.9"/>
    <n v="-6.9"/>
  </r>
  <r>
    <x v="30"/>
    <x v="8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4750000000"/>
    <n v="244750000000"/>
    <n v="22273085099"/>
    <n v="26847531679"/>
    <n v="20567194919"/>
    <n v="18220568311"/>
    <n v="28241265301"/>
    <n v="18414328666"/>
    <n v="9701262581"/>
    <n v="33247757395"/>
    <n v="19129711021"/>
    <n v="20007584016"/>
    <n v="29295497824"/>
    <n v="18970190485"/>
    <n v="264915977297"/>
    <n v="-20165977297"/>
    <n v="108.24"/>
    <n v="-8.24"/>
  </r>
  <r>
    <x v="31"/>
    <x v="8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200250000000"/>
    <n v="200250000000"/>
    <n v="17549820336.32"/>
    <n v="19003655359.439999"/>
    <n v="15225280066.92"/>
    <n v="14539323021.41"/>
    <n v="14935621741.290001"/>
    <n v="8310383437.9700003"/>
    <n v="20344031898.5"/>
    <n v="20164692602.560001"/>
    <n v="15941737063.76"/>
    <n v="15702133068.129999"/>
    <n v="10166383298.67"/>
    <n v="21028072511.639999"/>
    <n v="192911134406.60999"/>
    <n v="7338865593.3900003"/>
    <n v="96.34"/>
    <n v="3.66"/>
  </r>
  <r>
    <x v="32"/>
    <x v="8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29600000000"/>
    <n v="29600000000"/>
    <n v="4651089542.3500004"/>
    <n v="3429615451.7600002"/>
    <n v="2120312090.3"/>
    <n v="3135206946.3299999"/>
    <n v="2149444085.1900001"/>
    <n v="2341403865.73"/>
    <n v="2466396096.8600001"/>
    <n v="2220736505.0500002"/>
    <n v="1936385322.6199999"/>
    <n v="2474676056.7600002"/>
    <n v="2613303146.73"/>
    <n v="2615754720.1199999"/>
    <n v="32154323829.799999"/>
    <n v="-2554323829.8000002"/>
    <n v="108.63"/>
    <n v="-8.6300000000000008"/>
  </r>
  <r>
    <x v="33"/>
    <x v="8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400000000"/>
    <n v="7400000000"/>
    <n v="681409019.30999994"/>
    <n v="674182632.32000005"/>
    <n v="1094295840.03"/>
    <n v="748461541.47000003"/>
    <n v="668259350.5"/>
    <n v="836761315.13"/>
    <n v="676574748.44000006"/>
    <n v="578430952.32000005"/>
    <n v="893830695.33000004"/>
    <n v="1268325509.4400001"/>
    <n v="1234535357.77"/>
    <n v="1585528538.55"/>
    <n v="10940595500.610001"/>
    <n v="-3540595500.6100001"/>
    <n v="147.85"/>
    <n v="-47.85"/>
  </r>
  <r>
    <x v="34"/>
    <x v="8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775000000"/>
    <n v="34775000000"/>
    <n v="3505012561.3000002"/>
    <n v="2532734946.1399999"/>
    <n v="2470734955.4000001"/>
    <n v="3058636192.9499998"/>
    <n v="2581323345.4200001"/>
    <n v="2690453149.9400001"/>
    <n v="2631087917.8299999"/>
    <n v="2890969843.4699998"/>
    <n v="2660337577.27"/>
    <n v="2635001839.96"/>
    <n v="2856549660.5999999"/>
    <n v="2845049777.8600001"/>
    <n v="33357891768.139999"/>
    <n v="1417108231.8599999"/>
    <n v="95.92"/>
    <n v="4.08"/>
  </r>
  <r>
    <x v="35"/>
    <x v="8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025000000"/>
    <n v="3025000000"/>
    <n v="264145023.09999999"/>
    <n v="233654273.80000001"/>
    <n v="243587613.78"/>
    <n v="246827858.41"/>
    <n v="256901930.18000001"/>
    <n v="253513068.44"/>
    <n v="262542428.81"/>
    <n v="203051857.71000001"/>
    <n v="228030348.22999999"/>
    <n v="223596447.38999999"/>
    <n v="268535486.58999997"/>
    <n v="310520349.29000002"/>
    <n v="2994906685.73"/>
    <n v="30093314.27"/>
    <n v="99.01"/>
    <n v="0.99"/>
  </r>
  <r>
    <x v="190"/>
    <x v="8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1800000000"/>
    <n v="1800000000"/>
    <n v="154612389.53999999"/>
    <n v="166351135.08000001"/>
    <n v="207964414.81"/>
    <n v="189270357"/>
    <n v="208614810.86000001"/>
    <n v="217399212.63"/>
    <n v="262646613.61000001"/>
    <n v="240302998.06"/>
    <n v="224484597.94"/>
    <n v="242671920.38999999"/>
    <n v="228875028.41999999"/>
    <n v="218768744.03"/>
    <n v="2561962222.3699999"/>
    <n v="-761962222.37"/>
    <n v="142.33000000000001"/>
    <n v="-42.33"/>
  </r>
  <r>
    <x v="144"/>
    <x v="8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400000000"/>
    <n v="400000000"/>
    <n v="23981453.960000001"/>
    <n v="45497845.609999999"/>
    <n v="25601939.949999999"/>
    <n v="0"/>
    <n v="25333509.219999999"/>
    <n v="25878820.530000001"/>
    <n v="26397988.239999998"/>
    <n v="27191566.800000001"/>
    <n v="0"/>
    <n v="52423518.520000003"/>
    <n v="0"/>
    <n v="51513226.700000003"/>
    <n v="303819869.52999997"/>
    <n v="96180130.469999999"/>
    <n v="75.95"/>
    <n v="24.05"/>
  </r>
  <r>
    <x v="230"/>
    <x v="8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1170000000"/>
    <n v="21170000000"/>
    <n v="3001296224.0999999"/>
    <n v="434527177.5"/>
    <n v="948839328"/>
    <n v="5169998451.6999998"/>
    <n v="1016688882.5"/>
    <n v="96443700"/>
    <n v="927841914.5"/>
    <n v="878679791"/>
    <n v="1572636167.5"/>
    <n v="1484185983"/>
    <n v="1621269430"/>
    <n v="1221668520"/>
    <n v="18374075569.799999"/>
    <n v="2795924430.1999998"/>
    <n v="86.79"/>
    <n v="13.21"/>
  </r>
  <r>
    <x v="231"/>
    <x v="8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6630000000"/>
    <n v="16630000000"/>
    <n v="972250928"/>
    <n v="1355276010.6500001"/>
    <n v="1620975591.1700001"/>
    <n v="1350846600"/>
    <n v="871347312"/>
    <n v="1274599735"/>
    <n v="1312452093.5"/>
    <n v="1476850215"/>
    <n v="1137279300"/>
    <n v="1891333890"/>
    <n v="410871000"/>
    <n v="1632652770"/>
    <n v="15306735445.32"/>
    <n v="1323264554.6800001"/>
    <n v="92.04"/>
    <n v="7.96"/>
  </r>
  <r>
    <x v="37"/>
    <x v="8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040000000"/>
    <n v="1040000000"/>
    <n v="150189387.53999999"/>
    <n v="147266174.66999999"/>
    <n v="203476687.38"/>
    <n v="150161775.11000001"/>
    <n v="93081891.5"/>
    <n v="107616272.15000001"/>
    <n v="131590480"/>
    <n v="99099975.280000001"/>
    <n v="93610085.019999996"/>
    <n v="99619964.109999999"/>
    <n v="98205921.909999996"/>
    <n v="17993655.120000001"/>
    <n v="1391912269.79"/>
    <n v="-351912269.79000002"/>
    <n v="133.84"/>
    <n v="-33.840000000000003"/>
  </r>
  <r>
    <x v="244"/>
    <x v="8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25000000"/>
    <n v="25000000"/>
    <n v="11382900"/>
    <n v="5691450"/>
    <n v="11390809"/>
    <n v="0"/>
    <n v="0"/>
    <n v="11496900"/>
    <n v="0"/>
    <n v="0"/>
    <n v="5748450"/>
    <n v="0"/>
    <n v="0"/>
    <n v="17394974"/>
    <n v="63105483"/>
    <n v="-38105483"/>
    <n v="252.42"/>
    <n v="-152.41999999999999"/>
  </r>
  <r>
    <x v="145"/>
    <x v="8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62000000000"/>
    <n v="162000000000"/>
    <n v="10502171015.610001"/>
    <n v="10410639620.559999"/>
    <n v="11844371368.209999"/>
    <n v="10525401822.389999"/>
    <n v="11078077351.719999"/>
    <n v="11397617088.92"/>
    <n v="13292357601.139999"/>
    <n v="11242105273.299999"/>
    <n v="13587717115.52"/>
    <n v="14485744824.219999"/>
    <n v="15553625017.68"/>
    <n v="14746266114.889999"/>
    <n v="148666094214.16"/>
    <n v="13333905785.84"/>
    <n v="91.77"/>
    <n v="8.23"/>
  </r>
  <r>
    <x v="40"/>
    <x v="8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30000000000"/>
    <n v="30000000000"/>
    <n v="2039404017.5599999"/>
    <n v="1843163560.5599999"/>
    <n v="2205200390.1300001"/>
    <n v="2066259377.97"/>
    <n v="1988434502.77"/>
    <n v="2064625359.79"/>
    <n v="2391230739.3099999"/>
    <n v="2000611605.01"/>
    <n v="2168940115.9899998"/>
    <n v="2291260980.0799999"/>
    <n v="2578191522.6399999"/>
    <n v="2264750336.8200002"/>
    <n v="25902072508.630001"/>
    <n v="4097927491.3699999"/>
    <n v="86.34"/>
    <n v="13.66"/>
  </r>
  <r>
    <x v="41"/>
    <x v="8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3041000000"/>
    <n v="3041000000"/>
    <n v="217271335.19"/>
    <n v="161287784.08000001"/>
    <n v="212770017.80000001"/>
    <n v="215844547.56"/>
    <n v="285037171.61000001"/>
    <n v="254899764.37"/>
    <n v="212340283.21000001"/>
    <n v="200273961.97999999"/>
    <n v="227388117.13"/>
    <n v="256296137.91"/>
    <n v="225565134.78999999"/>
    <n v="231865277.55000001"/>
    <n v="2700839533.1799998"/>
    <n v="340160466.81999999"/>
    <n v="88.81"/>
    <n v="11.19"/>
  </r>
  <r>
    <x v="42"/>
    <x v="8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12501775.5"/>
    <n v="9343629"/>
    <n v="12295341"/>
    <n v="12560280"/>
    <n v="16474468.5"/>
    <n v="14718528"/>
    <n v="12411739.5"/>
    <n v="11630442"/>
    <n v="13234186.5"/>
    <n v="14657457"/>
    <n v="13050033"/>
    <n v="13443817.5"/>
    <n v="156321697.5"/>
    <n v="4678302.5"/>
    <n v="97.09"/>
    <n v="2.91"/>
  </r>
  <r>
    <x v="245"/>
    <x v="8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80000000"/>
    <n v="1780000000"/>
    <n v="125647183.5"/>
    <n v="126468552"/>
    <n v="139468818"/>
    <n v="125235484.5"/>
    <n v="139945824"/>
    <n v="143459504"/>
    <n v="146306282.5"/>
    <n v="131515598.75"/>
    <n v="132827164"/>
    <n v="142670832.75"/>
    <n v="133791418.25"/>
    <n v="123499770.25"/>
    <n v="1610836432.5"/>
    <n v="169163567.5"/>
    <n v="90.5"/>
    <n v="9.5"/>
  </r>
  <r>
    <x v="44"/>
    <x v="8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35000000000"/>
    <n v="35000000000"/>
    <n v="3560257601.0100002"/>
    <n v="3015637927.4699998"/>
    <n v="3835959120.27"/>
    <n v="3119892044.77"/>
    <n v="2277801885.6300001"/>
    <n v="2777460182.1199999"/>
    <n v="3048375909.7199998"/>
    <n v="2800180171.7199998"/>
    <n v="2294207540.4699998"/>
    <n v="1958238452.04"/>
    <n v="2473183987.1500001"/>
    <n v="3735702054.8400002"/>
    <n v="34896896877.209999"/>
    <n v="103103122.79000001"/>
    <n v="99.71"/>
    <n v="0.28999999999999998"/>
  </r>
  <r>
    <x v="246"/>
    <x v="8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230000000"/>
    <n v="2230000000"/>
    <n v="230477816.72"/>
    <n v="169575450.40000001"/>
    <n v="233662003.75"/>
    <n v="168114668.65000001"/>
    <n v="149558531.40000001"/>
    <n v="157741758.25"/>
    <n v="206140260.25"/>
    <n v="153778798.69999999"/>
    <n v="160914231.84999999"/>
    <n v="143448804.5"/>
    <n v="168428442.69999999"/>
    <n v="393607128.55000001"/>
    <n v="2335447895.7199998"/>
    <n v="-105447895.72"/>
    <n v="104.73"/>
    <n v="-4.7300000000000004"/>
  </r>
  <r>
    <x v="45"/>
    <x v="8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4860000000"/>
    <n v="4860000000"/>
    <n v="313418984.5"/>
    <n v="263381067.31999999"/>
    <n v="321415194.66000003"/>
    <n v="276106172.25"/>
    <n v="300849859.58999997"/>
    <n v="323032385.94"/>
    <n v="196310053.46000001"/>
    <n v="219788411.71000001"/>
    <n v="210243464.63999999"/>
    <n v="46418287.210000001"/>
    <n v="526597647.04000002"/>
    <n v="327135702.87"/>
    <n v="3324697231.1900001"/>
    <n v="1535302768.8099999"/>
    <n v="68.41"/>
    <n v="31.59"/>
  </r>
  <r>
    <x v="232"/>
    <x v="8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995000000"/>
    <n v="995000000"/>
    <n v="0"/>
    <n v="71542453.099999994"/>
    <n v="75594772.75"/>
    <n v="73694299.430000007"/>
    <n v="81753747.049999997"/>
    <n v="84702053.920000002"/>
    <n v="113772800.26000001"/>
    <n v="121693549.73999999"/>
    <n v="109068647.33"/>
    <n v="0"/>
    <n v="235877586.59999999"/>
    <n v="126252257.73999999"/>
    <n v="1093952167.9200001"/>
    <n v="-98952167.920000002"/>
    <n v="109.94"/>
    <n v="-9.94"/>
  </r>
  <r>
    <x v="247"/>
    <x v="8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4300000000"/>
    <n v="4300000000"/>
    <n v="5140366.1500000004"/>
    <n v="452202977.75999999"/>
    <n v="435441531.41000003"/>
    <n v="431733008.18000001"/>
    <n v="438938708.69"/>
    <n v="400994710.24000001"/>
    <n v="478127530.85000002"/>
    <n v="504798906.51999998"/>
    <n v="483093078.27999997"/>
    <n v="6695217.7199999997"/>
    <n v="978269372.65999997"/>
    <n v="612282639.25"/>
    <n v="5227718047.71"/>
    <n v="-927718047.71000004"/>
    <n v="121.57"/>
    <n v="-21.57"/>
  </r>
  <r>
    <x v="233"/>
    <x v="8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705000000"/>
    <n v="8705000000"/>
    <n v="8047870.1699999999"/>
    <n v="786536172.5"/>
    <n v="788669534.10000002"/>
    <n v="910246456.32000005"/>
    <n v="714223673.58000004"/>
    <n v="798307742.13"/>
    <n v="823829072.13"/>
    <n v="851968949.08000004"/>
    <n v="788877236.51999998"/>
    <n v="7437743.0199999996"/>
    <n v="1755149752.55"/>
    <n v="1025174126.5"/>
    <n v="9258468328.6000004"/>
    <n v="-553468328.60000002"/>
    <n v="106.36"/>
    <n v="-6.36"/>
  </r>
  <r>
    <x v="146"/>
    <x v="8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18000000"/>
    <n v="1118000000"/>
    <n v="91482770.530000001"/>
    <n v="84006917.439999998"/>
    <n v="94515690.560000002"/>
    <n v="65057834.530000001"/>
    <n v="75006231.75"/>
    <n v="118312275.97"/>
    <n v="99616070.189999998"/>
    <n v="100654467.23999999"/>
    <n v="85011845.25"/>
    <n v="91689730.859999999"/>
    <n v="82441290.840000004"/>
    <n v="83334094.349999994"/>
    <n v="1071129219.51"/>
    <n v="46870780.490000002"/>
    <n v="95.81"/>
    <n v="4.1900000000000004"/>
  </r>
  <r>
    <x v="47"/>
    <x v="8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5600000000"/>
    <n v="5600000000"/>
    <n v="308958473.86000001"/>
    <n v="276996238.61000001"/>
    <n v="343767402.49000001"/>
    <n v="387704349.07999998"/>
    <n v="91847156.159999996"/>
    <n v="427768386.56999999"/>
    <n v="761039848.12"/>
    <n v="298934525.44"/>
    <n v="280085430.74000001"/>
    <n v="740139659.78999996"/>
    <n v="488035487.56"/>
    <n v="455501796.17000002"/>
    <n v="4860778754.5900002"/>
    <n v="739221245.40999997"/>
    <n v="86.8"/>
    <n v="13.2"/>
  </r>
  <r>
    <x v="147"/>
    <x v="8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60000000"/>
    <n v="160000000"/>
    <n v="14019071.140000001"/>
    <n v="16668056.91"/>
    <n v="22052.5"/>
    <n v="35203256.229999997"/>
    <n v="58093.45"/>
    <n v="29163.75"/>
    <n v="35091.449999999997"/>
    <n v="43318.34"/>
    <n v="168305.47"/>
    <n v="37268.47"/>
    <n v="28355.1"/>
    <n v="58978.82"/>
    <n v="66371011.630000003"/>
    <n v="93628988.370000005"/>
    <n v="41.48"/>
    <n v="58.52"/>
  </r>
  <r>
    <x v="53"/>
    <x v="8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26700000000"/>
    <n v="26700000000"/>
    <n v="2273034776.1199999"/>
    <n v="2391323512.3400002"/>
    <n v="3053408190.27"/>
    <n v="2513651195.8000002"/>
    <n v="2378302853.9699998"/>
    <n v="2469668891.6500001"/>
    <n v="2757425746.5599999"/>
    <n v="2504422571.29"/>
    <n v="2517745147.0599999"/>
    <n v="2497748356.5799999"/>
    <n v="2664619918.0500002"/>
    <n v="2598907789.6799998"/>
    <n v="30620258949.369999"/>
    <n v="-3920258949.3699999"/>
    <n v="114.68"/>
    <n v="-14.68"/>
  </r>
  <r>
    <x v="54"/>
    <x v="8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50000000"/>
    <n v="24150000000"/>
    <n v="1668087883.0699999"/>
    <n v="1638358333.4100001"/>
    <n v="1708699008.2"/>
    <n v="138819919.97999999"/>
    <n v="1719486507.0899999"/>
    <n v="1680984302.1199999"/>
    <n v="1687106562.75"/>
    <n v="1690232884.1099999"/>
    <n v="1694181304.6600001"/>
    <n v="1733801872.8"/>
    <n v="151878941.78999999"/>
    <n v="-13793165791.16"/>
    <n v="1718471728.8199999"/>
    <n v="22431528271.18"/>
    <n v="7.12"/>
    <n v="92.88"/>
  </r>
  <r>
    <x v="55"/>
    <x v="8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15000000000"/>
    <n v="15000000000"/>
    <n v="2175968324.3200002"/>
    <n v="959936258.19000006"/>
    <n v="998557760.35000002"/>
    <n v="2558232023.7399998"/>
    <n v="883108815.62"/>
    <n v="966032767.25"/>
    <n v="973225561.15999997"/>
    <n v="910774310.03999996"/>
    <n v="859795654.65999997"/>
    <n v="859789708.07000005"/>
    <n v="2528073478.8299999"/>
    <n v="16446067219.049999"/>
    <n v="31119561881.279999"/>
    <n v="-16119561881.280001"/>
    <n v="207.46"/>
    <n v="-107.46"/>
  </r>
  <r>
    <x v="191"/>
    <x v="8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1000000"/>
    <n v="1000000"/>
    <n v="128704.78"/>
    <n v="147579.24"/>
    <n v="140787.45000000001"/>
    <n v="232650.58"/>
    <n v="796788.84"/>
    <n v="223387.74"/>
    <n v="242161.24"/>
    <n v="198604.21"/>
    <n v="196017.68"/>
    <n v="169121.59"/>
    <n v="222448.45"/>
    <n v="101397.26"/>
    <n v="2799649.06"/>
    <n v="-1799649.06"/>
    <n v="279.95999999999998"/>
    <n v="-179.96"/>
  </r>
  <r>
    <x v="234"/>
    <x v="8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5000000"/>
    <n v="35000000"/>
    <n v="2385130.9900000002"/>
    <n v="2955985.41"/>
    <n v="2641383.14"/>
    <n v="4518211.3099999996"/>
    <n v="2689777.09"/>
    <n v="2894569.47"/>
    <n v="1233514.49"/>
    <n v="2450850.98"/>
    <n v="13396143.220000001"/>
    <n v="2833142.71"/>
    <n v="3520095.37"/>
    <n v="2978658.58"/>
    <n v="44497462.759999998"/>
    <n v="-9497462.7599999998"/>
    <n v="127.14"/>
    <n v="-27.14"/>
  </r>
  <r>
    <x v="58"/>
    <x v="8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18000000"/>
    <n v="18000000"/>
    <n v="440200"/>
    <n v="440000"/>
    <n v="440000"/>
    <n v="720400"/>
    <n v="720000"/>
    <n v="720000"/>
    <n v="3633900"/>
    <n v="720000"/>
    <n v="957656.02"/>
    <n v="1070800"/>
    <n v="350500"/>
    <n v="428923.58"/>
    <n v="10642379.6"/>
    <n v="7357620.4000000004"/>
    <n v="59.12"/>
    <n v="40.880000000000003"/>
  </r>
  <r>
    <x v="59"/>
    <x v="8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37000000"/>
    <n v="37000000"/>
    <n v="420692.7"/>
    <n v="1400555.52"/>
    <n v="1651501.99"/>
    <n v="2363556.86"/>
    <n v="1764012.37"/>
    <n v="4069908.38"/>
    <n v="6240929.3300000001"/>
    <n v="2323965.2000000002"/>
    <n v="7328259.7000000002"/>
    <n v="2032586.26"/>
    <n v="2736433.6"/>
    <n v="3960272.73"/>
    <n v="36292674.640000001"/>
    <n v="707325.36"/>
    <n v="98.09"/>
    <n v="1.91"/>
  </r>
  <r>
    <x v="193"/>
    <x v="8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68000000"/>
    <n v="168000000"/>
    <n v="11570673.6"/>
    <n v="11810020.4"/>
    <n v="11824584.029999999"/>
    <n v="21069164.27"/>
    <n v="28189748.510000002"/>
    <n v="3373014.25"/>
    <n v="36524913.880000003"/>
    <n v="4573966"/>
    <n v="14768693.74"/>
    <n v="8100929.8499999996"/>
    <n v="22063819.449999999"/>
    <n v="24271536.420000002"/>
    <n v="198141064.40000001"/>
    <n v="-30141064.399999999"/>
    <n v="117.94"/>
    <n v="-17.940000000000001"/>
  </r>
  <r>
    <x v="266"/>
    <x v="8"/>
    <x v="233"/>
    <n v="1"/>
    <x v="0"/>
    <n v="13"/>
    <x v="2"/>
    <n v="131"/>
    <x v="6"/>
    <n v="1312"/>
    <x v="18"/>
    <n v="131209"/>
    <x v="34"/>
    <n v="13120902"/>
    <x v="100"/>
    <n v="131209023"/>
    <x v="0"/>
    <n v="1312090230"/>
    <x v="0"/>
    <n v="1"/>
    <s v="Ingresos corrientes"/>
    <n v="0"/>
    <n v="12000000"/>
    <n v="12000000"/>
    <n v="0"/>
    <n v="0"/>
    <n v="0"/>
    <n v="0"/>
    <n v="0"/>
    <n v="0"/>
    <n v="0"/>
    <n v="0"/>
    <n v="0"/>
    <n v="0"/>
    <n v="0"/>
    <n v="0"/>
    <n v="0"/>
    <n v="12000000"/>
    <n v="0"/>
    <n v="100"/>
  </r>
  <r>
    <x v="258"/>
    <x v="8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26716.13"/>
    <n v="203722.63"/>
    <n v="28245"/>
    <n v="84517"/>
    <n v="33681"/>
    <n v="167715.25"/>
    <n v="4452181.41"/>
    <n v="170921.2"/>
    <n v="233502.41"/>
    <n v="267744.99"/>
    <n v="342722.44"/>
    <n v="140545.1"/>
    <n v="6152214.5599999996"/>
    <n v="3847785.44"/>
    <n v="61.52"/>
    <n v="38.479999999999997"/>
  </r>
  <r>
    <x v="60"/>
    <x v="8"/>
    <x v="54"/>
    <n v="1"/>
    <x v="0"/>
    <n v="13"/>
    <x v="2"/>
    <n v="131"/>
    <x v="6"/>
    <n v="1312"/>
    <x v="18"/>
    <n v="131209"/>
    <x v="34"/>
    <n v="13120909"/>
    <x v="26"/>
    <n v="131209091"/>
    <x v="12"/>
    <n v="1312090910"/>
    <x v="0"/>
    <n v="1"/>
    <s v="Ingresos corrientes"/>
    <n v="0"/>
    <n v="0"/>
    <n v="0"/>
    <n v="90875"/>
    <n v="3135"/>
    <n v="0"/>
    <n v="0"/>
    <n v="0"/>
    <n v="0"/>
    <n v="0"/>
    <n v="0"/>
    <n v="0"/>
    <n v="0"/>
    <n v="0"/>
    <n v="0"/>
    <n v="94010"/>
    <n v="0"/>
    <n v="0"/>
    <n v="0"/>
  </r>
  <r>
    <x v="61"/>
    <x v="8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072.76999999999"/>
    <n v="0"/>
    <n v="0"/>
    <n v="0"/>
    <n v="0"/>
    <n v="0"/>
    <n v="0"/>
    <n v="0"/>
    <n v="0"/>
    <n v="0"/>
    <n v="180716.23"/>
    <n v="318789"/>
    <n v="0"/>
    <n v="0"/>
    <n v="0"/>
  </r>
  <r>
    <x v="248"/>
    <x v="8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30000000"/>
    <n v="230000000"/>
    <n v="230041415.03"/>
    <n v="0"/>
    <n v="0"/>
    <n v="0"/>
    <n v="0"/>
    <n v="0"/>
    <n v="0"/>
    <n v="0"/>
    <n v="0"/>
    <n v="0"/>
    <n v="0"/>
    <n v="0"/>
    <n v="230041415.03"/>
    <n v="-41415.03"/>
    <n v="100.02"/>
    <n v="-0.02"/>
  </r>
  <r>
    <x v="267"/>
    <x v="8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2771088"/>
    <n v="3622128"/>
    <n v="3238272"/>
    <n v="3044224"/>
    <n v="0"/>
    <n v="0"/>
    <n v="0"/>
    <n v="12675712"/>
    <n v="0"/>
    <n v="0"/>
    <n v="0"/>
  </r>
  <r>
    <x v="62"/>
    <x v="8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00"/>
    <n v="450"/>
    <n v="400"/>
    <n v="820"/>
    <n v="400"/>
    <n v="0"/>
    <n v="800"/>
    <n v="1000"/>
    <n v="200"/>
    <n v="0"/>
    <n v="0"/>
    <n v="600"/>
    <n v="5070"/>
    <n v="0"/>
    <n v="0"/>
    <n v="0"/>
  </r>
  <r>
    <x v="63"/>
    <x v="8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055000000"/>
    <n v="4055000000"/>
    <n v="275402405.97000003"/>
    <n v="97984283.659999996"/>
    <n v="55561087.530000001"/>
    <n v="29592034.5"/>
    <n v="33408871.699999999"/>
    <n v="19117959.690000001"/>
    <n v="18865426.850000001"/>
    <n v="13111221.300000001"/>
    <n v="14920484.050000001"/>
    <n v="9846254.4800000004"/>
    <n v="61444791.649999999"/>
    <n v="4078179140.1900001"/>
    <n v="4707433961.5699997"/>
    <n v="-652433961.57000005"/>
    <n v="116.09"/>
    <n v="-16.09"/>
  </r>
  <r>
    <x v="64"/>
    <x v="8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50000000"/>
    <n v="50000000"/>
    <n v="3748590.4"/>
    <n v="3221079.68"/>
    <n v="3051731.62"/>
    <n v="3732058.24"/>
    <n v="2892797.4"/>
    <n v="3850273.22"/>
    <n v="2774114"/>
    <n v="1854523.46"/>
    <n v="1905739"/>
    <n v="3306639"/>
    <n v="2975580"/>
    <n v="2180709"/>
    <n v="35493835.020000003"/>
    <n v="14506164.98"/>
    <n v="70.989999999999995"/>
    <n v="29.01"/>
  </r>
  <r>
    <x v="65"/>
    <x v="8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450718.3"/>
    <n v="181930"/>
    <n v="731170"/>
    <n v="69390"/>
    <n v="213189"/>
    <n v="254302"/>
    <n v="334954"/>
    <n v="121180"/>
    <n v="478940"/>
    <n v="306110"/>
    <n v="302040"/>
    <n v="157030"/>
    <n v="3600953.3"/>
    <n v="1399046.7"/>
    <n v="72.02"/>
    <n v="27.98"/>
  </r>
  <r>
    <x v="66"/>
    <x v="8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0000000"/>
    <n v="110000000"/>
    <n v="10328338.9"/>
    <n v="8417650.5"/>
    <n v="9104950.0500000007"/>
    <n v="11176618.140000001"/>
    <n v="7730771.1799999997"/>
    <n v="8034703.5899999999"/>
    <n v="7594421.6600000001"/>
    <n v="6357248"/>
    <n v="9233135.5800000001"/>
    <n v="8897344.3800000008"/>
    <n v="7900132.54"/>
    <n v="9581457.7599999998"/>
    <n v="104356772.28"/>
    <n v="5643227.7199999997"/>
    <n v="94.87"/>
    <n v="5.13"/>
  </r>
  <r>
    <x v="67"/>
    <x v="8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5000000"/>
    <n v="55000000"/>
    <n v="3619218"/>
    <n v="2909188"/>
    <n v="5204744"/>
    <n v="2706009"/>
    <n v="2937938.7"/>
    <n v="5743030"/>
    <n v="6876336"/>
    <n v="3004526"/>
    <n v="4666895"/>
    <n v="6302593"/>
    <n v="5511148"/>
    <n v="7804195.3600000003"/>
    <n v="57285821.060000002"/>
    <n v="-2285821.06"/>
    <n v="104.16"/>
    <n v="-4.16"/>
  </r>
  <r>
    <x v="148"/>
    <x v="8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6000000"/>
    <n v="26000000"/>
    <n v="1021000"/>
    <n v="1906589.8"/>
    <n v="3557786"/>
    <n v="2251911.1"/>
    <n v="1751458.5"/>
    <n v="1609535"/>
    <n v="2103136.7200000002"/>
    <n v="2186587"/>
    <n v="1111318.0900000001"/>
    <n v="1648871"/>
    <n v="1736467.5"/>
    <n v="566477.05000000005"/>
    <n v="21451137.760000002"/>
    <n v="4548862.24"/>
    <n v="82.5"/>
    <n v="17.5"/>
  </r>
  <r>
    <x v="149"/>
    <x v="8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44000000"/>
    <n v="44000000"/>
    <n v="7784750"/>
    <n v="3143000"/>
    <n v="13746000"/>
    <n v="0"/>
    <n v="3586000"/>
    <n v="32000"/>
    <n v="330000"/>
    <n v="797000"/>
    <n v="4000"/>
    <n v="0"/>
    <n v="0"/>
    <n v="2872000"/>
    <n v="32294750"/>
    <n v="11705250"/>
    <n v="73.400000000000006"/>
    <n v="26.6"/>
  </r>
  <r>
    <x v="259"/>
    <x v="8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26000000"/>
    <n v="526000000"/>
    <n v="75027000"/>
    <n v="1549200"/>
    <n v="3315000"/>
    <n v="7170094"/>
    <n v="2819873.42"/>
    <n v="2675009.3199999998"/>
    <n v="14475471.689999999"/>
    <n v="2658393.35"/>
    <n v="1923685.48"/>
    <n v="3943731.34"/>
    <n v="39772242.579999998"/>
    <n v="141354889.43000001"/>
    <n v="296684590.61000001"/>
    <n v="229315409.38999999"/>
    <n v="56.4"/>
    <n v="43.6"/>
  </r>
  <r>
    <x v="268"/>
    <x v="8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4729000000"/>
    <n v="14729000000"/>
    <n v="0"/>
    <n v="0"/>
    <n v="0"/>
    <n v="11211430490.26"/>
    <n v="0"/>
    <n v="0"/>
    <n v="0"/>
    <n v="0"/>
    <n v="0"/>
    <n v="0"/>
    <n v="0"/>
    <n v="0"/>
    <n v="11211430490.26"/>
    <n v="3517569509.7399998"/>
    <n v="76.12"/>
    <n v="23.88"/>
  </r>
  <r>
    <x v="150"/>
    <x v="8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440000000"/>
    <n v="440000000"/>
    <n v="80837651.609999999"/>
    <n v="19508408.859999999"/>
    <n v="20086907.129999999"/>
    <n v="12683802.359999999"/>
    <n v="6560419.7300000004"/>
    <n v="13972263.48"/>
    <n v="17296540.879999999"/>
    <n v="4149365.44"/>
    <n v="14354569.02"/>
    <n v="7271534.0499999998"/>
    <n v="4862550.1100000003"/>
    <n v="21435097.850000001"/>
    <n v="223019110.52000001"/>
    <n v="216980889.47999999"/>
    <n v="50.69"/>
    <n v="49.31"/>
  </r>
  <r>
    <x v="194"/>
    <x v="8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64000000"/>
    <n v="164000000"/>
    <n v="11978815.09"/>
    <n v="0"/>
    <n v="0"/>
    <n v="0"/>
    <n v="0"/>
    <n v="0"/>
    <n v="101644471.09999999"/>
    <n v="0"/>
    <n v="0"/>
    <n v="0"/>
    <n v="0"/>
    <n v="0"/>
    <n v="113623286.19"/>
    <n v="50376713.810000002"/>
    <n v="69.28"/>
    <n v="30.72"/>
  </r>
  <r>
    <x v="151"/>
    <x v="8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1690000000"/>
    <n v="1690000000"/>
    <n v="282362996"/>
    <n v="200153946"/>
    <n v="253848045.94999999"/>
    <n v="295371773.12"/>
    <n v="216049300"/>
    <n v="203112704.02000001"/>
    <n v="198961583"/>
    <n v="195519380"/>
    <n v="192774363"/>
    <n v="182287645"/>
    <n v="137942057.31999999"/>
    <n v="1771014114"/>
    <n v="4129397907.4099998"/>
    <n v="-2439397907.4099998"/>
    <n v="244.34"/>
    <n v="-144.34"/>
  </r>
  <r>
    <x v="152"/>
    <x v="8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560000000"/>
    <n v="560000000"/>
    <n v="20862285.34"/>
    <n v="122842781.36"/>
    <n v="70489298.700000003"/>
    <n v="155431539.46000001"/>
    <n v="93971681.459999993"/>
    <n v="115422425.83"/>
    <n v="132078652.42"/>
    <n v="78247272.780000001"/>
    <n v="112673039.84999999"/>
    <n v="119683200.19"/>
    <n v="94374566.689999998"/>
    <n v="9184232.0500000007"/>
    <n v="1125260976.1300001"/>
    <n v="-565260976.13"/>
    <n v="200.94"/>
    <n v="-100.94"/>
  </r>
  <r>
    <x v="74"/>
    <x v="8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6950000000"/>
    <n v="6950000000"/>
    <n v="529813062"/>
    <n v="712630316"/>
    <n v="855376892"/>
    <n v="692991457.13999999"/>
    <n v="485742170"/>
    <n v="451829539"/>
    <n v="445203608"/>
    <n v="597587956"/>
    <n v="427608839"/>
    <n v="1270219512.01"/>
    <n v="472627388.08999997"/>
    <n v="44385561.520000003"/>
    <n v="6986016300.7600002"/>
    <n v="-36016300.759999998"/>
    <n v="100.52"/>
    <n v="-0.52"/>
  </r>
  <r>
    <x v="153"/>
    <x v="8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0000000"/>
    <n v="50000000"/>
    <n v="664258.56000000006"/>
    <n v="400000"/>
    <n v="200000"/>
    <n v="0"/>
    <n v="0"/>
    <n v="1415000"/>
    <n v="3316256.24"/>
    <n v="21000805.32"/>
    <n v="5262625"/>
    <n v="19178950.550000001"/>
    <n v="5798541.9400000004"/>
    <n v="305037101.24000001"/>
    <n v="362273538.85000002"/>
    <n v="-312273538.85000002"/>
    <n v="724.55"/>
    <n v="-624.54999999999995"/>
  </r>
  <r>
    <x v="155"/>
    <x v="8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531000000"/>
    <n v="531000000"/>
    <n v="8655000"/>
    <n v="20072500"/>
    <n v="141018422"/>
    <n v="3927000"/>
    <n v="49276867"/>
    <n v="26923000"/>
    <n v="67336700"/>
    <n v="71330257"/>
    <n v="49186500"/>
    <n v="26453500"/>
    <n v="27767250"/>
    <n v="46525500"/>
    <n v="538472496"/>
    <n v="-7472496"/>
    <n v="101.41"/>
    <n v="-1.41"/>
  </r>
  <r>
    <x v="156"/>
    <x v="8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213000000"/>
    <n v="213000000"/>
    <n v="6587465.9000000004"/>
    <n v="5872088.0800000001"/>
    <n v="8310198.3099999996"/>
    <n v="59293058.229999997"/>
    <n v="17372825.09"/>
    <n v="7163555.6900000004"/>
    <n v="23958212.460000001"/>
    <n v="21297299.850000001"/>
    <n v="7011086.9900000002"/>
    <n v="6123255.6699999999"/>
    <n v="3176657.76"/>
    <n v="283600473.38999999"/>
    <n v="449766177.42000002"/>
    <n v="-236766177.41999999"/>
    <n v="211.16"/>
    <n v="-111.16"/>
  </r>
  <r>
    <x v="207"/>
    <x v="8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53688769.03"/>
    <n v="153688769.03"/>
    <n v="0"/>
    <n v="0"/>
    <n v="0"/>
    <n v="0"/>
    <n v="0"/>
    <n v="153688769.03"/>
    <n v="0"/>
    <n v="0"/>
    <n v="0"/>
    <n v="0"/>
    <n v="0"/>
    <n v="0"/>
    <n v="153688769.03"/>
    <n v="0"/>
    <n v="100"/>
    <n v="0"/>
  </r>
  <r>
    <x v="195"/>
    <x v="8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96000000"/>
    <n v="96000000"/>
    <n v="12109698"/>
    <n v="2533710.64"/>
    <n v="2597314.2000000002"/>
    <n v="20667207"/>
    <n v="3923294.34"/>
    <n v="74230919.109999999"/>
    <n v="10354482.119999999"/>
    <n v="3734366.48"/>
    <n v="9887179.2799999993"/>
    <n v="35541142.140000001"/>
    <n v="-1285277.8500000001"/>
    <n v="10921958.32"/>
    <n v="185215993.78"/>
    <n v="-89215993.780000001"/>
    <n v="192.93"/>
    <n v="-92.93"/>
  </r>
  <r>
    <x v="80"/>
    <x v="8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91000000"/>
    <n v="91000000"/>
    <n v="11740279.18"/>
    <n v="7913560.9800000004"/>
    <n v="21418196.77"/>
    <n v="0"/>
    <n v="39523920.259999998"/>
    <n v="5873088.8899999997"/>
    <n v="17064866.48"/>
    <n v="37966792.200000003"/>
    <n v="9235822.7200000007"/>
    <n v="0"/>
    <n v="0"/>
    <n v="2540267.09"/>
    <n v="153276794.56999999"/>
    <n v="-62276794.57"/>
    <n v="168.44"/>
    <n v="-68.44"/>
  </r>
  <r>
    <x v="260"/>
    <x v="8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62000000"/>
    <n v="262000000"/>
    <n v="43184951"/>
    <n v="30581475"/>
    <n v="42189521"/>
    <n v="45458097"/>
    <n v="35169503"/>
    <n v="31868721"/>
    <n v="33066457"/>
    <n v="31551856"/>
    <n v="31390470"/>
    <n v="31606255"/>
    <n v="33685184"/>
    <n v="13508285063.6"/>
    <n v="13898037553.6"/>
    <n v="-13636037553.6"/>
    <n v="5304.59"/>
    <n v="-5204.59"/>
  </r>
  <r>
    <x v="157"/>
    <x v="8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4300000000"/>
    <n v="4300000000"/>
    <n v="139326551.91999999"/>
    <n v="94094871.109999999"/>
    <n v="135788936.52000001"/>
    <n v="201561048.46000001"/>
    <n v="119518415.27"/>
    <n v="394815897.33999997"/>
    <n v="292113218.55000001"/>
    <n v="202890917.22"/>
    <n v="139490296"/>
    <n v="110358064.14"/>
    <n v="256619148.65000001"/>
    <n v="814275364.64999998"/>
    <n v="2900852729.8299999"/>
    <n v="1399147270.1700001"/>
    <n v="67.459999999999994"/>
    <n v="32.54"/>
  </r>
  <r>
    <x v="158"/>
    <x v="8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1450000000"/>
    <n v="1450000000"/>
    <n v="71426452.790000007"/>
    <n v="68118078.680000007"/>
    <n v="108406481.40000001"/>
    <n v="292791329.76999998"/>
    <n v="374278137.19999999"/>
    <n v="149874165.77000001"/>
    <n v="141948406.72999999"/>
    <n v="293917061.25999999"/>
    <n v="183272525.36000001"/>
    <n v="16851213"/>
    <n v="219402518.28999999"/>
    <n v="1032935846.89"/>
    <n v="2953222217.1399999"/>
    <n v="-1503222217.1400001"/>
    <n v="203.67"/>
    <n v="-103.67"/>
  </r>
  <r>
    <x v="159"/>
    <x v="8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28641423106"/>
    <n v="28641423106"/>
    <n v="0"/>
    <n v="0"/>
    <n v="4052459889.6999998"/>
    <n v="5320257565.8000002"/>
    <n v="5007483156.9200001"/>
    <n v="5309873001.3599997"/>
    <n v="5293034800.4799995"/>
    <n v="3997579879.8200002"/>
    <n v="0"/>
    <n v="11066431950.120001"/>
    <n v="0"/>
    <n v="-12631120244.200001"/>
    <n v="27416000000"/>
    <n v="1225423106"/>
    <n v="95.72"/>
    <n v="4.28"/>
  </r>
  <r>
    <x v="235"/>
    <x v="8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8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5217000000"/>
    <n v="15217000000"/>
    <n v="0"/>
    <n v="0"/>
    <n v="0"/>
    <n v="260440000"/>
    <n v="0"/>
    <n v="2382976000"/>
    <n v="1085315000"/>
    <n v="0"/>
    <n v="1399760000"/>
    <n v="3459260000"/>
    <n v="0"/>
    <n v="3959532500"/>
    <n v="12547283500"/>
    <n v="2669716500"/>
    <n v="82.46"/>
    <n v="17.54"/>
  </r>
  <r>
    <x v="196"/>
    <x v="8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500000000"/>
    <n v="500000000"/>
    <n v="300000000"/>
    <n v="0"/>
    <n v="0"/>
    <n v="0"/>
    <n v="0"/>
    <n v="1300000000"/>
    <n v="700000000"/>
    <n v="65"/>
    <n v="35"/>
  </r>
  <r>
    <x v="208"/>
    <x v="8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69806000000"/>
    <n v="69806000000"/>
    <n v="0"/>
    <n v="8903000000.5"/>
    <n v="7000000000"/>
    <n v="7000000000"/>
    <n v="0"/>
    <n v="6000000000"/>
    <n v="5999999999.5"/>
    <n v="8903000000.5"/>
    <n v="7000000000"/>
    <n v="7000000000"/>
    <n v="6000000000"/>
    <n v="5999999999.5"/>
    <n v="69806000000"/>
    <n v="0"/>
    <n v="100"/>
    <n v="0"/>
  </r>
  <r>
    <x v="209"/>
    <x v="8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8000000"/>
    <n v="19158000000"/>
    <n v="0"/>
    <n v="0"/>
    <n v="247965532"/>
    <n v="704501436"/>
    <n v="813837500"/>
    <n v="821292500"/>
    <n v="821115000"/>
    <n v="820760000"/>
    <n v="0"/>
    <n v="0"/>
    <n v="0"/>
    <n v="14928528032"/>
    <n v="19158000000"/>
    <n v="0"/>
    <n v="100"/>
    <n v="0"/>
  </r>
  <r>
    <x v="210"/>
    <x v="8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500000000"/>
    <n v="48500000000"/>
    <n v="0"/>
    <n v="4619047619"/>
    <n v="4619047619"/>
    <n v="4619047619"/>
    <n v="4619047619"/>
    <n v="4619047619"/>
    <n v="4619047619"/>
    <n v="4619047619"/>
    <n v="4619047619"/>
    <n v="3503005696.1500001"/>
    <n v="0"/>
    <n v="8044613351.8500004"/>
    <n v="48500000000"/>
    <n v="0"/>
    <n v="100"/>
    <n v="0"/>
  </r>
  <r>
    <x v="211"/>
    <x v="8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037000000"/>
    <n v="7037000000"/>
    <n v="0"/>
    <n v="0"/>
    <n v="670144000"/>
    <n v="1340288000"/>
    <n v="0"/>
    <n v="0"/>
    <n v="0"/>
    <n v="895050000"/>
    <n v="631000000"/>
    <n v="1081000000"/>
    <n v="1193500000"/>
    <n v="1225518000"/>
    <n v="7036500000"/>
    <n v="500000"/>
    <n v="99.99"/>
    <n v="0.01"/>
  </r>
  <r>
    <x v="212"/>
    <x v="8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000000000"/>
    <n v="2000000000"/>
    <n v="0"/>
    <n v="150920196"/>
    <n v="82195452"/>
    <n v="0"/>
    <n v="0"/>
    <n v="328379336"/>
    <n v="92041920"/>
    <n v="105555775"/>
    <n v="0"/>
    <n v="190416300"/>
    <n v="0"/>
    <n v="363561502"/>
    <n v="1313070481"/>
    <n v="686929519"/>
    <n v="65.650000000000006"/>
    <n v="34.35"/>
  </r>
  <r>
    <x v="92"/>
    <x v="8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323000000"/>
    <n v="3323000000"/>
    <n v="206615980.74000001"/>
    <n v="411245227.68000001"/>
    <n v="405252116.19999999"/>
    <n v="213031567.31999999"/>
    <n v="207859566.97999999"/>
    <n v="216156847.78"/>
    <n v="208778755.50999999"/>
    <n v="210331278.77000001"/>
    <n v="211574242.59999999"/>
    <n v="210184198.86000001"/>
    <n v="0"/>
    <n v="828461388.39999998"/>
    <n v="3329491170.8400002"/>
    <n v="-6491170.8399999999"/>
    <n v="100.2"/>
    <n v="-0.2"/>
  </r>
  <r>
    <x v="269"/>
    <x v="8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33000000"/>
    <n v="433000000"/>
    <n v="0"/>
    <n v="0"/>
    <n v="0"/>
    <n v="0"/>
    <n v="0"/>
    <n v="0"/>
    <n v="0"/>
    <n v="0"/>
    <n v="0"/>
    <n v="0"/>
    <n v="0"/>
    <n v="0"/>
    <n v="0"/>
    <n v="433000000"/>
    <n v="0"/>
    <n v="100"/>
  </r>
  <r>
    <x v="270"/>
    <x v="8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396000000"/>
    <n v="396000000"/>
    <n v="0"/>
    <n v="0"/>
    <n v="0"/>
    <n v="0"/>
    <n v="0"/>
    <n v="0"/>
    <n v="0"/>
    <n v="0"/>
    <n v="0"/>
    <n v="0"/>
    <n v="0"/>
    <n v="304244791.61000001"/>
    <n v="304244791.61000001"/>
    <n v="91755208.390000001"/>
    <n v="76.83"/>
    <n v="23.17"/>
  </r>
  <r>
    <x v="271"/>
    <x v="8"/>
    <x v="238"/>
    <n v="1"/>
    <x v="0"/>
    <n v="14"/>
    <x v="3"/>
    <n v="141"/>
    <x v="10"/>
    <n v="1412"/>
    <x v="27"/>
    <n v="141207"/>
    <x v="85"/>
    <n v="14120700"/>
    <x v="0"/>
    <n v="141207000"/>
    <x v="0"/>
    <n v="1412070000"/>
    <x v="0"/>
    <n v="1"/>
    <s v="Ingresos corrientes"/>
    <n v="0"/>
    <n v="2641000000"/>
    <n v="2641000000"/>
    <n v="0"/>
    <n v="2631427350.02"/>
    <n v="0"/>
    <n v="0"/>
    <n v="0"/>
    <n v="0"/>
    <n v="21515927.890000001"/>
    <n v="-21515927.890000001"/>
    <n v="0"/>
    <n v="0"/>
    <n v="0"/>
    <n v="0"/>
    <n v="2631427350.02"/>
    <n v="9572649.9800000004"/>
    <n v="99.64"/>
    <n v="0.36"/>
  </r>
  <r>
    <x v="272"/>
    <x v="8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81000000"/>
    <n v="81000000"/>
    <n v="0"/>
    <n v="0"/>
    <n v="0"/>
    <n v="0"/>
    <n v="0"/>
    <n v="0"/>
    <n v="0"/>
    <n v="0"/>
    <n v="0"/>
    <n v="0"/>
    <n v="0"/>
    <n v="0"/>
    <n v="0"/>
    <n v="81000000"/>
    <n v="0"/>
    <n v="100"/>
  </r>
  <r>
    <x v="273"/>
    <x v="8"/>
    <x v="240"/>
    <n v="1"/>
    <x v="0"/>
    <n v="14"/>
    <x v="3"/>
    <n v="141"/>
    <x v="10"/>
    <n v="1412"/>
    <x v="27"/>
    <n v="141209"/>
    <x v="87"/>
    <n v="14120900"/>
    <x v="0"/>
    <n v="141209000"/>
    <x v="0"/>
    <n v="1412090000"/>
    <x v="0"/>
    <n v="1"/>
    <s v="Ingresos corrientes"/>
    <n v="0"/>
    <n v="0"/>
    <n v="0"/>
    <n v="0"/>
    <n v="0"/>
    <n v="0"/>
    <n v="0"/>
    <n v="0"/>
    <n v="336586.1"/>
    <n v="0"/>
    <n v="0"/>
    <n v="0"/>
    <n v="0"/>
    <n v="0"/>
    <n v="0"/>
    <n v="336586.1"/>
    <n v="0"/>
    <n v="0"/>
    <n v="0"/>
  </r>
  <r>
    <x v="94"/>
    <x v="8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7000000"/>
    <n v="7000000"/>
    <n v="0"/>
    <n v="0"/>
    <n v="0"/>
    <n v="7000000"/>
    <n v="0"/>
    <n v="0"/>
    <n v="0"/>
    <n v="0"/>
    <n v="0"/>
    <n v="0"/>
    <n v="0"/>
    <n v="0"/>
    <n v="7000000"/>
    <n v="0"/>
    <n v="100"/>
    <n v="0"/>
  </r>
  <r>
    <x v="164"/>
    <x v="8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0"/>
    <n v="0"/>
    <n v="0"/>
    <n v="0"/>
    <n v="200000"/>
    <n v="0"/>
    <n v="100"/>
  </r>
  <r>
    <x v="95"/>
    <x v="8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20200000"/>
    <n v="20200000"/>
    <n v="0"/>
    <n v="0"/>
    <n v="0"/>
    <n v="0"/>
    <n v="0"/>
    <n v="0"/>
    <n v="23900000"/>
    <n v="20200000"/>
    <n v="0"/>
    <n v="0"/>
    <n v="0"/>
    <n v="0"/>
    <n v="44100000"/>
    <n v="-23900000"/>
    <n v="218.32"/>
    <n v="-118.32"/>
  </r>
  <r>
    <x v="96"/>
    <x v="8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4100000"/>
    <n v="4100000"/>
    <n v="4100000"/>
    <n v="0"/>
    <n v="0"/>
    <n v="0"/>
    <n v="0"/>
    <n v="0"/>
    <n v="0"/>
    <n v="0"/>
    <n v="0"/>
    <n v="0"/>
    <n v="0"/>
    <n v="0"/>
    <n v="4100000"/>
    <n v="0"/>
    <n v="100"/>
    <n v="0"/>
  </r>
  <r>
    <x v="97"/>
    <x v="8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0100000"/>
    <n v="10100000"/>
    <n v="0"/>
    <n v="0"/>
    <n v="10100000"/>
    <n v="0"/>
    <n v="0"/>
    <n v="0"/>
    <n v="0"/>
    <n v="0"/>
    <n v="0"/>
    <n v="0"/>
    <n v="0"/>
    <n v="0"/>
    <n v="10100000"/>
    <n v="0"/>
    <n v="100"/>
    <n v="0"/>
  </r>
  <r>
    <x v="165"/>
    <x v="8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2100000"/>
    <n v="22100000"/>
    <n v="22100000"/>
    <n v="0"/>
    <n v="0"/>
    <n v="0"/>
    <n v="0"/>
    <n v="0"/>
    <n v="0"/>
    <n v="0"/>
    <n v="0"/>
    <n v="0"/>
    <n v="0"/>
    <n v="0"/>
    <n v="22100000"/>
    <n v="0"/>
    <n v="100"/>
    <n v="0"/>
  </r>
  <r>
    <x v="197"/>
    <x v="8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33400000"/>
    <n v="33400000"/>
    <n v="26000000"/>
    <n v="0"/>
    <n v="0"/>
    <n v="7400000"/>
    <n v="0"/>
    <n v="0"/>
    <n v="0"/>
    <n v="0"/>
    <n v="0"/>
    <n v="0"/>
    <n v="0"/>
    <n v="0"/>
    <n v="33400000"/>
    <n v="0"/>
    <n v="100"/>
    <n v="0"/>
  </r>
  <r>
    <x v="166"/>
    <x v="8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5500000"/>
    <n v="5500000"/>
    <n v="0"/>
    <n v="0"/>
    <n v="0"/>
    <n v="300000"/>
    <n v="0"/>
    <n v="-300000"/>
    <n v="0"/>
    <n v="0"/>
    <n v="0"/>
    <n v="5500000"/>
    <n v="0"/>
    <n v="0"/>
    <n v="5500000"/>
    <n v="0"/>
    <n v="100"/>
    <n v="0"/>
  </r>
  <r>
    <x v="99"/>
    <x v="8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25700000"/>
    <n v="25700000"/>
    <n v="0"/>
    <n v="21400000"/>
    <n v="4300000"/>
    <n v="0"/>
    <n v="0"/>
    <n v="0"/>
    <n v="0"/>
    <n v="0"/>
    <n v="0"/>
    <n v="0"/>
    <n v="0"/>
    <n v="0"/>
    <n v="25700000"/>
    <n v="0"/>
    <n v="100"/>
    <n v="0"/>
  </r>
  <r>
    <x v="100"/>
    <x v="8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5400000"/>
    <n v="5400000"/>
    <n v="0"/>
    <n v="0"/>
    <n v="5400000"/>
    <n v="0"/>
    <n v="0"/>
    <n v="0"/>
    <n v="0"/>
    <n v="0"/>
    <n v="0"/>
    <n v="0"/>
    <n v="0"/>
    <n v="0"/>
    <n v="5400000"/>
    <n v="0"/>
    <n v="100"/>
    <n v="0"/>
  </r>
  <r>
    <x v="101"/>
    <x v="8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71700000"/>
    <n v="71700000"/>
    <n v="0"/>
    <n v="0"/>
    <n v="0"/>
    <n v="0"/>
    <n v="0"/>
    <n v="0"/>
    <n v="0"/>
    <n v="0"/>
    <n v="0"/>
    <n v="71700000"/>
    <n v="0"/>
    <n v="0"/>
    <n v="71700000"/>
    <n v="0"/>
    <n v="100"/>
    <n v="0"/>
  </r>
  <r>
    <x v="102"/>
    <x v="8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4600000"/>
    <n v="14600000"/>
    <n v="0"/>
    <n v="0"/>
    <n v="0"/>
    <n v="3650000"/>
    <n v="0"/>
    <n v="0"/>
    <n v="3650000"/>
    <n v="0"/>
    <n v="0"/>
    <n v="3650000"/>
    <n v="0"/>
    <n v="0"/>
    <n v="10950000"/>
    <n v="3650000"/>
    <n v="75"/>
    <n v="25"/>
  </r>
  <r>
    <x v="105"/>
    <x v="8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4939000000"/>
    <n v="4939000000"/>
    <n v="0"/>
    <n v="0"/>
    <n v="0"/>
    <n v="0"/>
    <n v="0"/>
    <n v="4938596926"/>
    <n v="0"/>
    <n v="0"/>
    <n v="0"/>
    <n v="0"/>
    <n v="0"/>
    <n v="0"/>
    <n v="4938596926"/>
    <n v="403074"/>
    <n v="99.99"/>
    <n v="0.01"/>
  </r>
  <r>
    <x v="167"/>
    <x v="8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630000000"/>
    <n v="630000000"/>
    <n v="0"/>
    <n v="52456370"/>
    <n v="0"/>
    <n v="104912740"/>
    <n v="52456370"/>
    <n v="52456370"/>
    <n v="0"/>
    <n v="104912740"/>
    <n v="52456370"/>
    <n v="52456370"/>
    <n v="52456370"/>
    <n v="52456370"/>
    <n v="577020070"/>
    <n v="52979930"/>
    <n v="91.59"/>
    <n v="8.41"/>
  </r>
  <r>
    <x v="249"/>
    <x v="8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76000000"/>
    <n v="476000000"/>
    <n v="0"/>
    <n v="0"/>
    <n v="0"/>
    <n v="0"/>
    <n v="414990245"/>
    <n v="0"/>
    <n v="0"/>
    <n v="0"/>
    <n v="0"/>
    <n v="0"/>
    <n v="61471490.399999999"/>
    <n v="0"/>
    <n v="476461735.39999998"/>
    <n v="-461735.4"/>
    <n v="100.1"/>
    <n v="-0.1"/>
  </r>
  <r>
    <x v="274"/>
    <x v="8"/>
    <x v="241"/>
    <n v="1"/>
    <x v="0"/>
    <n v="14"/>
    <x v="3"/>
    <n v="141"/>
    <x v="10"/>
    <n v="1413"/>
    <x v="28"/>
    <n v="141305"/>
    <x v="88"/>
    <n v="14130500"/>
    <x v="0"/>
    <n v="141305000"/>
    <x v="0"/>
    <n v="1413050000"/>
    <x v="0"/>
    <n v="1"/>
    <s v="Ingresos corrientes"/>
    <n v="0"/>
    <n v="0"/>
    <n v="0"/>
    <n v="0"/>
    <n v="0"/>
    <n v="0"/>
    <n v="0"/>
    <n v="0"/>
    <n v="300000"/>
    <n v="0"/>
    <n v="0"/>
    <n v="0"/>
    <n v="0"/>
    <n v="0"/>
    <n v="0"/>
    <n v="300000"/>
    <n v="0"/>
    <n v="0"/>
    <n v="0"/>
  </r>
  <r>
    <x v="106"/>
    <x v="8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44000000"/>
    <n v="444000000"/>
    <n v="4341827.3099999996"/>
    <n v="65099054.490000002"/>
    <n v="-7744272.21"/>
    <n v="38539893.399999999"/>
    <n v="91029920.510000005"/>
    <n v="104418054.62"/>
    <n v="28362411.800000001"/>
    <n v="77701040.239999995"/>
    <n v="127161093.67"/>
    <n v="36835829.869999997"/>
    <n v="74429792.269999996"/>
    <n v="75327770.299999997"/>
    <n v="715502416.26999998"/>
    <n v="-271502416.26999998"/>
    <n v="161.15"/>
    <n v="-61.15"/>
  </r>
  <r>
    <x v="275"/>
    <x v="8"/>
    <x v="242"/>
    <n v="1"/>
    <x v="0"/>
    <n v="14"/>
    <x v="3"/>
    <n v="141"/>
    <x v="10"/>
    <n v="1414"/>
    <x v="29"/>
    <n v="141402"/>
    <x v="89"/>
    <n v="14140200"/>
    <x v="0"/>
    <n v="141402000"/>
    <x v="0"/>
    <n v="1414020000"/>
    <x v="0"/>
    <n v="1"/>
    <s v="Ingresos corrientes"/>
    <n v="0"/>
    <n v="0"/>
    <n v="0"/>
    <n v="0"/>
    <n v="0"/>
    <n v="32635350"/>
    <n v="0"/>
    <n v="0"/>
    <n v="0"/>
    <n v="0"/>
    <n v="0"/>
    <n v="0"/>
    <n v="0"/>
    <n v="0"/>
    <n v="0"/>
    <n v="32635350"/>
    <n v="0"/>
    <n v="0"/>
    <n v="0"/>
  </r>
  <r>
    <x v="107"/>
    <x v="8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84000000"/>
    <n v="84000000"/>
    <n v="0"/>
    <n v="60000000"/>
    <n v="0"/>
    <n v="0"/>
    <n v="0"/>
    <n v="0"/>
    <n v="0"/>
    <n v="24000000"/>
    <n v="0"/>
    <n v="0"/>
    <n v="0"/>
    <n v="0"/>
    <n v="84000000"/>
    <n v="0"/>
    <n v="100"/>
    <n v="0"/>
  </r>
  <r>
    <x v="108"/>
    <x v="8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49100000"/>
    <n v="149100000"/>
    <n v="0"/>
    <n v="0"/>
    <n v="0"/>
    <n v="0"/>
    <n v="0"/>
    <n v="0"/>
    <n v="0"/>
    <n v="0"/>
    <n v="0"/>
    <n v="0"/>
    <n v="0"/>
    <n v="0"/>
    <n v="0"/>
    <n v="149100000"/>
    <n v="0"/>
    <n v="100"/>
  </r>
  <r>
    <x v="109"/>
    <x v="8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1800000"/>
    <n v="11800000"/>
    <n v="0"/>
    <n v="0"/>
    <n v="0"/>
    <n v="11800000"/>
    <n v="0"/>
    <n v="0"/>
    <n v="0"/>
    <n v="0"/>
    <n v="0"/>
    <n v="0"/>
    <n v="0"/>
    <n v="0"/>
    <n v="11800000"/>
    <n v="0"/>
    <n v="100"/>
    <n v="0"/>
  </r>
  <r>
    <x v="110"/>
    <x v="8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18900000"/>
    <n v="18900000"/>
    <n v="0"/>
    <n v="0"/>
    <n v="0"/>
    <n v="0"/>
    <n v="0"/>
    <n v="0"/>
    <n v="0"/>
    <n v="0"/>
    <n v="0"/>
    <n v="0"/>
    <n v="0"/>
    <n v="0"/>
    <n v="0"/>
    <n v="18900000"/>
    <n v="0"/>
    <n v="100"/>
  </r>
  <r>
    <x v="111"/>
    <x v="8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21700000"/>
    <n v="21700000"/>
    <n v="0"/>
    <n v="0"/>
    <n v="0"/>
    <n v="0"/>
    <n v="0"/>
    <n v="0"/>
    <n v="0"/>
    <n v="0"/>
    <n v="0"/>
    <n v="0"/>
    <n v="0"/>
    <n v="0"/>
    <n v="0"/>
    <n v="21700000"/>
    <n v="0"/>
    <n v="100"/>
  </r>
  <r>
    <x v="218"/>
    <x v="8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500000"/>
    <n v="4500000"/>
    <n v="0"/>
    <n v="0"/>
    <n v="0"/>
    <n v="0"/>
    <n v="0"/>
    <n v="0"/>
    <n v="0"/>
    <n v="0"/>
    <n v="0"/>
    <n v="0"/>
    <n v="0"/>
    <n v="0"/>
    <n v="0"/>
    <n v="4500000"/>
    <n v="0"/>
    <n v="100"/>
  </r>
  <r>
    <x v="168"/>
    <x v="8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444800000"/>
    <n v="444800000"/>
    <n v="0"/>
    <n v="0"/>
    <n v="0"/>
    <n v="0"/>
    <n v="0"/>
    <n v="0"/>
    <n v="0"/>
    <n v="0"/>
    <n v="0"/>
    <n v="0"/>
    <n v="0"/>
    <n v="0"/>
    <n v="0"/>
    <n v="444800000"/>
    <n v="0"/>
    <n v="100"/>
  </r>
  <r>
    <x v="169"/>
    <x v="8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71200000"/>
    <n v="71200000"/>
    <n v="5933333.3300000001"/>
    <n v="5933333.3300000001"/>
    <n v="5933333.3300000001"/>
    <n v="5933333.3300000001"/>
    <n v="5933333.3300000001"/>
    <n v="0"/>
    <n v="5933333.3300000001"/>
    <n v="5933333.3300000001"/>
    <n v="2533333.36"/>
    <n v="0"/>
    <n v="0"/>
    <n v="21200000"/>
    <n v="65266666.670000002"/>
    <n v="5933333.3300000001"/>
    <n v="91.67"/>
    <n v="8.33"/>
  </r>
  <r>
    <x v="170"/>
    <x v="8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639300000"/>
    <n v="639300000"/>
    <n v="0"/>
    <n v="0"/>
    <n v="0"/>
    <n v="0"/>
    <n v="0"/>
    <n v="0"/>
    <n v="0"/>
    <n v="0"/>
    <n v="0"/>
    <n v="0"/>
    <n v="0"/>
    <n v="639300000"/>
    <n v="639300000"/>
    <n v="0"/>
    <n v="100"/>
    <n v="0"/>
  </r>
  <r>
    <x v="171"/>
    <x v="8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3300000"/>
    <n v="23300000"/>
    <n v="0"/>
    <n v="0"/>
    <n v="0"/>
    <n v="23300000"/>
    <n v="0"/>
    <n v="0"/>
    <n v="0"/>
    <n v="0"/>
    <n v="0"/>
    <n v="0"/>
    <n v="0"/>
    <n v="0"/>
    <n v="23300000"/>
    <n v="0"/>
    <n v="100"/>
    <n v="0"/>
  </r>
  <r>
    <x v="198"/>
    <x v="8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0400000"/>
    <n v="10400000"/>
    <n v="0"/>
    <n v="0"/>
    <n v="0"/>
    <n v="10400000"/>
    <n v="0"/>
    <n v="0"/>
    <n v="0"/>
    <n v="0"/>
    <n v="0"/>
    <n v="0"/>
    <n v="0"/>
    <n v="0"/>
    <n v="10400000"/>
    <n v="0"/>
    <n v="100"/>
    <n v="0"/>
  </r>
  <r>
    <x v="251"/>
    <x v="8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0"/>
    <n v="3141000000"/>
    <n v="3141000000"/>
    <n v="0"/>
    <n v="0"/>
    <n v="0"/>
    <n v="0"/>
    <n v="0"/>
    <n v="0"/>
    <n v="0"/>
    <n v="0"/>
    <n v="0"/>
    <n v="0"/>
    <n v="2441094600"/>
    <n v="0"/>
    <n v="2441094600"/>
    <n v="699905400"/>
    <n v="77.72"/>
    <n v="22.28"/>
  </r>
  <r>
    <x v="276"/>
    <x v="8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626000000"/>
    <n v="626000000"/>
    <n v="0"/>
    <n v="0"/>
    <n v="0"/>
    <n v="0"/>
    <n v="43824618.859999999"/>
    <n v="726177317.29999995"/>
    <n v="0"/>
    <n v="2834487.19"/>
    <n v="16755448.65"/>
    <n v="60564219.869999997"/>
    <n v="48705504.219999999"/>
    <n v="-228148932.78"/>
    <n v="670712663.30999994"/>
    <n v="-44712663.310000002"/>
    <n v="107.14"/>
    <n v="-7.14"/>
  </r>
  <r>
    <x v="263"/>
    <x v="8"/>
    <x v="230"/>
    <n v="2"/>
    <x v="1"/>
    <n v="24"/>
    <x v="4"/>
    <n v="241"/>
    <x v="12"/>
    <n v="2412"/>
    <x v="33"/>
    <n v="241205"/>
    <x v="81"/>
    <n v="24120500"/>
    <x v="0"/>
    <n v="241205000"/>
    <x v="0"/>
    <n v="2412050000"/>
    <x v="0"/>
    <n v="60"/>
    <s v="Unidad Coordinadora Proyecto Limón Ciudad Puerto"/>
    <n v="0"/>
    <n v="0"/>
    <n v="0"/>
    <n v="0"/>
    <n v="69305320.459999993"/>
    <n v="0"/>
    <n v="0"/>
    <n v="0"/>
    <n v="0"/>
    <n v="0"/>
    <n v="0"/>
    <n v="0"/>
    <n v="0"/>
    <n v="0"/>
    <n v="0"/>
    <n v="69305320.459999993"/>
    <n v="0"/>
    <n v="0"/>
    <n v="0"/>
  </r>
  <r>
    <x v="277"/>
    <x v="8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2066000000"/>
    <n v="2066000000"/>
    <n v="0"/>
    <n v="0"/>
    <n v="0"/>
    <n v="0"/>
    <n v="0"/>
    <n v="0"/>
    <n v="0"/>
    <n v="0"/>
    <n v="0"/>
    <n v="0"/>
    <n v="0"/>
    <n v="0"/>
    <n v="0"/>
    <n v="2066000000"/>
    <n v="0"/>
    <n v="100"/>
  </r>
  <r>
    <x v="238"/>
    <x v="8"/>
    <x v="206"/>
    <n v="2"/>
    <x v="1"/>
    <n v="24"/>
    <x v="4"/>
    <n v="243"/>
    <x v="13"/>
    <n v="2431"/>
    <x v="42"/>
    <n v="243102"/>
    <x v="72"/>
    <n v="24310200"/>
    <x v="0"/>
    <n v="243102000"/>
    <x v="0"/>
    <n v="2431020000"/>
    <x v="0"/>
    <n v="65"/>
    <s v="Donac. BIRF Fondo p/ Medio Ambiente Mund"/>
    <n v="0"/>
    <n v="3156590.75"/>
    <n v="3156590.75"/>
    <n v="0"/>
    <n v="0"/>
    <n v="0"/>
    <n v="0"/>
    <n v="0"/>
    <n v="0"/>
    <n v="0"/>
    <n v="0"/>
    <n v="0"/>
    <n v="0"/>
    <n v="0"/>
    <n v="3156589.45"/>
    <n v="3156589.45"/>
    <n v="1.3"/>
    <n v="100"/>
    <n v="0"/>
  </r>
  <r>
    <x v="174"/>
    <x v="8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805000000000"/>
    <n v="805000000000"/>
    <n v="9953565380.4400005"/>
    <n v="16042244364.15"/>
    <n v="43052132466.139999"/>
    <n v="2495595971.9400001"/>
    <n v="14607555740.620001"/>
    <n v="25216582129.75"/>
    <n v="19126431858.580002"/>
    <n v="22243431537.150002"/>
    <n v="63200799653.949997"/>
    <n v="144633314697.79999"/>
    <n v="112768625154.2"/>
    <n v="203643602796.64999"/>
    <n v="676983881751.37"/>
    <n v="128016118248.63"/>
    <n v="84.1"/>
    <n v="15.9"/>
  </r>
  <r>
    <x v="175"/>
    <x v="8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192432876813.8701"/>
    <n v="2192432876813.8701"/>
    <n v="263537415721.87"/>
    <n v="197099048475.29001"/>
    <n v="196951441841.17999"/>
    <n v="256556289189.79999"/>
    <n v="103550997016.58"/>
    <n v="151548116580.14999"/>
    <n v="188880975763.39999"/>
    <n v="128736792600.33"/>
    <n v="38229034865.900002"/>
    <n v="123818061628.97"/>
    <n v="36064529739.980003"/>
    <n v="119655309285.23"/>
    <n v="1804628012708.6799"/>
    <n v="387804864105.19"/>
    <n v="82.31"/>
    <n v="17.690000000000001"/>
  </r>
  <r>
    <x v="200"/>
    <x v="8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8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10000000000"/>
    <n v="10000000000"/>
    <n v="0"/>
    <n v="0"/>
    <n v="0"/>
    <n v="0"/>
    <n v="0"/>
    <n v="0"/>
    <n v="0"/>
    <n v="0"/>
    <n v="0"/>
    <n v="0"/>
    <n v="0"/>
    <n v="0"/>
    <n v="0"/>
    <n v="10000000000"/>
    <n v="0"/>
    <n v="100"/>
  </r>
  <r>
    <x v="201"/>
    <x v="8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2143624119.549999"/>
    <n v="6687682000"/>
    <n v="0"/>
    <n v="0"/>
    <n v="0"/>
    <n v="1080620000"/>
    <n v="0"/>
    <n v="0"/>
    <n v="1760655000"/>
    <n v="0"/>
    <n v="2230277000"/>
    <n v="0"/>
    <n v="0"/>
    <n v="1616130000"/>
    <n v="6687682000"/>
    <n v="0"/>
    <n v="100"/>
    <n v="0"/>
  </r>
  <r>
    <x v="124"/>
    <x v="8"/>
    <x v="106"/>
    <n v="3"/>
    <x v="2"/>
    <n v="32"/>
    <x v="7"/>
    <n v="321"/>
    <x v="16"/>
    <n v="3211"/>
    <x v="37"/>
    <n v="321102"/>
    <x v="55"/>
    <n v="32110209"/>
    <x v="0"/>
    <n v="321102090"/>
    <x v="0"/>
    <n v="3211020900"/>
    <x v="0"/>
    <n v="498"/>
    <s v="Crédito BID 1284/OC-CR, Ley N° 8154 Programa de Regularización del catastro y Regist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8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1785251064.0599995"/>
    <n v="1500971082.8599999"/>
    <n v="130518268.47"/>
    <n v="21480780"/>
    <n v="58756276.460000001"/>
    <n v="291433222.69999999"/>
    <n v="97974192.469999999"/>
    <n v="152917082.61000001"/>
    <n v="34560573.109999999"/>
    <n v="242331961.24000001"/>
    <n v="0"/>
    <n v="163396542.16999999"/>
    <n v="270846090.48000002"/>
    <n v="36756093.149999999"/>
    <n v="1500971082.8599999"/>
    <n v="0"/>
    <n v="100"/>
    <n v="0"/>
  </r>
  <r>
    <x v="221"/>
    <x v="8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75919670000"/>
    <n v="52063046565.290001"/>
    <n v="10841700000"/>
    <n v="0"/>
    <n v="10774600000"/>
    <n v="8830546565.2900009"/>
    <n v="0"/>
    <n v="0"/>
    <n v="10814400000"/>
    <n v="0"/>
    <n v="10801800000"/>
    <n v="0"/>
    <n v="0"/>
    <n v="0"/>
    <n v="52063046565.290001"/>
    <n v="0"/>
    <n v="100"/>
    <n v="0"/>
  </r>
  <r>
    <x v="239"/>
    <x v="8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9027891178.269997"/>
    <n v="6264086016.0500002"/>
    <n v="13904622.199999999"/>
    <n v="174732048.09"/>
    <n v="128038187.7"/>
    <n v="134351075.13999999"/>
    <n v="68465081.659999996"/>
    <n v="1993787219.6400001"/>
    <n v="221615749.72999999"/>
    <n v="581426825.35000002"/>
    <n v="213569370.41"/>
    <n v="403350796.06"/>
    <n v="819519278.01999998"/>
    <n v="1511325762.05"/>
    <n v="6264086016.0500002"/>
    <n v="0"/>
    <n v="100"/>
    <n v="0"/>
  </r>
  <r>
    <x v="240"/>
    <x v="8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8315600540"/>
    <n v="2271881932.5999999"/>
    <n v="0"/>
    <n v="0"/>
    <n v="0"/>
    <n v="430248000"/>
    <n v="0"/>
    <n v="0"/>
    <n v="0"/>
    <n v="0"/>
    <n v="1395309960.95"/>
    <n v="0"/>
    <n v="446323971.64999998"/>
    <n v="0"/>
    <n v="2271881932.5999999"/>
    <n v="0"/>
    <n v="100"/>
    <n v="0"/>
  </r>
  <r>
    <x v="241"/>
    <x v="8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60970870394.440002"/>
    <n v="16208597345.33"/>
    <n v="0"/>
    <n v="0"/>
    <n v="16208597345.33"/>
    <n v="0"/>
    <n v="0"/>
    <n v="0"/>
    <n v="0"/>
    <n v="0"/>
    <n v="0"/>
    <n v="0"/>
    <n v="0"/>
    <n v="0"/>
    <n v="16208597345.33"/>
    <n v="0"/>
    <n v="100"/>
    <n v="0"/>
  </r>
  <r>
    <x v="264"/>
    <x v="8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9399340698.490002"/>
    <n v="490799244.73000002"/>
    <n v="5663684.9900000002"/>
    <n v="5365786.99"/>
    <n v="5305664.04"/>
    <n v="4991298.62"/>
    <n v="5022617.25"/>
    <n v="16643743.18"/>
    <n v="33972339.200000003"/>
    <n v="-36574392.299999997"/>
    <n v="5045573.25"/>
    <n v="298666784.04000002"/>
    <n v="24872284.170000002"/>
    <n v="121823861.3"/>
    <n v="490799244.73000002"/>
    <n v="0"/>
    <n v="100"/>
    <n v="0"/>
  </r>
  <r>
    <x v="278"/>
    <x v="8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46920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8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68365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8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8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8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2676505037.5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8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1255923907.46"/>
    <n v="133680780.78"/>
    <n v="0"/>
    <n v="0"/>
    <n v="0"/>
    <n v="0"/>
    <n v="0"/>
    <n v="0"/>
    <n v="0"/>
    <n v="0"/>
    <n v="133680780.78"/>
    <n v="0"/>
    <n v="0"/>
    <n v="0"/>
    <n v="133680780.78"/>
    <n v="0"/>
    <n v="100"/>
    <n v="0"/>
  </r>
  <r>
    <x v="204"/>
    <x v="8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8"/>
    <x v="191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6"/>
    <s v="Crédito BIRF 7498-CR, Ley N° 8725 Proyecto de Limón Cuidad-Puer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8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894352420.830002"/>
    <n v="7789481800"/>
    <n v="0"/>
    <n v="0"/>
    <n v="0"/>
    <n v="0"/>
    <n v="0"/>
    <n v="0"/>
    <n v="1080338580"/>
    <n v="392628060"/>
    <n v="287931930"/>
    <n v="0"/>
    <n v="520424460"/>
    <n v="5508158770"/>
    <n v="7789481800"/>
    <n v="0"/>
    <n v="100"/>
    <n v="0"/>
  </r>
  <r>
    <x v="224"/>
    <x v="8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45649353646.769997"/>
    <n v="20396838256.060001"/>
    <n v="0"/>
    <n v="0"/>
    <n v="6902036675.5100002"/>
    <n v="433457301.58999997"/>
    <n v="1161301647.8"/>
    <n v="1326261844.8"/>
    <n v="1839546867.4400001"/>
    <n v="1333640308.05"/>
    <n v="521617948.86000001"/>
    <n v="975418793.16999996"/>
    <n v="1248497998.46"/>
    <n v="4655058870.3800001"/>
    <n v="20396838256.060001"/>
    <n v="0"/>
    <n v="100"/>
    <n v="0"/>
  </r>
  <r>
    <x v="225"/>
    <x v="8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8321870198.849998"/>
    <n v="5488695328.8699999"/>
    <n v="0"/>
    <n v="551260013.87"/>
    <n v="233850864.03999999"/>
    <n v="517133423.91000003"/>
    <n v="1117299857.0999999"/>
    <n v="0"/>
    <n v="916204445.25999999"/>
    <n v="44507946.380000003"/>
    <n v="741742804.97000003"/>
    <n v="0"/>
    <n v="0"/>
    <n v="1366695973.3399999"/>
    <n v="5488695328.8699999"/>
    <n v="0"/>
    <n v="100"/>
    <n v="0"/>
  </r>
  <r>
    <x v="177"/>
    <x v="8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1049322919.49"/>
    <n v="248759650.37"/>
    <n v="0"/>
    <n v="20833706.59"/>
    <n v="301265849.17000002"/>
    <n v="0"/>
    <n v="16222305.32"/>
    <n v="0"/>
    <n v="0"/>
    <n v="-106091740.41"/>
    <n v="0"/>
    <n v="16529529.699999999"/>
    <n v="0"/>
    <n v="0"/>
    <n v="248759650.37"/>
    <n v="0"/>
    <n v="100"/>
    <n v="0"/>
  </r>
  <r>
    <x v="242"/>
    <x v="8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534350000000"/>
    <n v="534350000000"/>
    <n v="0"/>
    <n v="0"/>
    <n v="0"/>
    <n v="0"/>
    <n v="534350000000"/>
    <n v="0"/>
    <n v="0"/>
    <n v="0"/>
    <n v="0"/>
    <n v="0"/>
    <n v="0"/>
    <n v="0"/>
    <n v="534350000000"/>
    <n v="0"/>
    <n v="100"/>
    <n v="0"/>
  </r>
  <r>
    <x v="265"/>
    <x v="8"/>
    <x v="232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2"/>
    <s v="Superávit Específico Colocación Títulos en el Exterior"/>
    <n v="0"/>
    <n v="40470502793.129997"/>
    <n v="40470502793.129997"/>
    <n v="0"/>
    <n v="0"/>
    <n v="0"/>
    <n v="0"/>
    <n v="40470502793.129997"/>
    <n v="0"/>
    <n v="0"/>
    <n v="0"/>
    <n v="0"/>
    <n v="0"/>
    <n v="0"/>
    <n v="0"/>
    <n v="40470502793.129997"/>
    <n v="0"/>
    <n v="10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18103624116.799999"/>
    <n v="16920203141.059999"/>
    <n v="20451638802.189999"/>
    <n v="18331721479.450001"/>
    <n v="20110795300.450001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12684093993.360001"/>
    <n v="11087367660.08"/>
    <n v="8894498987.5900002"/>
    <n v="15318224707.83"/>
    <n v="11528587277.5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1660744439.4200001"/>
    <n v="689342496"/>
    <n v="4828888114.5500002"/>
    <n v="2871660327.3299999"/>
    <n v="949592769.13000107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8703807353.5100002"/>
    <n v="3454296798.9000001"/>
    <n v="15332348553.92"/>
    <n v="5075021905.2200003"/>
    <n v="5090335572.0299988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17835194322.169998"/>
    <n v="16988942890.17"/>
    <n v="128342355363.50999"/>
    <n v="20043230257.77"/>
    <n v="12363186545.200001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23790581"/>
    <n v="299824200"/>
    <n v="49669273"/>
    <n v="29271037"/>
    <n v="25728144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3855269586.4499998"/>
    <n v="1909838747.4000001"/>
    <n v="2075742178.8800001"/>
    <n v="3141325932.98"/>
    <n v="1535713580.4100018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4709900337.0200005"/>
    <n v="2402434427.8899999"/>
    <n v="960247872.27999997"/>
    <n v="6624001771.21"/>
    <n v="2209449644.5500011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1907827051.23"/>
    <n v="1306240992.8299999"/>
    <n v="1225736942.3900001"/>
    <n v="1547292973.99"/>
    <n v="1587847206.9199991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17907110607.389999"/>
    <n v="8883932236.5300007"/>
    <n v="15389693242.719999"/>
    <n v="11451303383.98"/>
    <n v="10140434355.700005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3309696341"/>
    <n v="225810284.58000001"/>
    <n v="108573637"/>
    <n v="66043363"/>
    <n v="64356928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9985468977"/>
    <n v="3263002717"/>
    <n v="2950698533"/>
    <n v="2539977000"/>
    <n v="255293036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14043221"/>
    <n v="4558370"/>
    <n v="4002842"/>
    <n v="3190790"/>
    <n v="2853294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20793122.879999999"/>
    <n v="14334006.98"/>
    <n v="16206934.189999999"/>
    <n v="128988295.56"/>
    <n v="93374787.159999996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1155165145.1600001"/>
    <n v="690268693.65999997"/>
    <n v="556063083.15999997"/>
    <n v="510075761.88999999"/>
    <n v="991463228.47000027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2441317489"/>
    <n v="2787113725"/>
    <n v="2787938562"/>
    <n v="2860988871.4200001"/>
    <n v="3306485695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1842826657"/>
    <n v="2121797202"/>
    <n v="1947310330"/>
    <n v="1940561229"/>
    <n v="2118592969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75720092416.020004"/>
    <n v="61629933457.440002"/>
    <n v="64321647919.839996"/>
    <n v="61052925769.809998"/>
    <n v="58693779392.789993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48837928916.550003"/>
    <n v="49255168382.389999"/>
    <n v="55044887287.970001"/>
    <n v="56545893891.860001"/>
    <n v="53052811363.720001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3428200464.0500002"/>
    <n v="879553314.74000001"/>
    <n v="1265688308.22"/>
    <n v="4481713440.9799995"/>
    <n v="1055052638.6000004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16271516103.690001"/>
    <n v="16491483392.549999"/>
    <n v="23129032569.509998"/>
    <n v="22650074182.91"/>
    <n v="18782940193.549999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16390755711"/>
    <n v="30176569176"/>
    <n v="26674021581"/>
    <n v="25597637836"/>
    <n v="19210983111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16839396118.41"/>
    <n v="16514868780.559999"/>
    <n v="10803374038.34"/>
    <n v="21520934032.52"/>
    <n v="14983882160.970001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3921326018.7399998"/>
    <n v="2478717270.5500002"/>
    <n v="2826199615.0999999"/>
    <n v="2567706048.8299999"/>
    <n v="2287655391.039999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698220327.07000005"/>
    <n v="961443217.83000004"/>
    <n v="1041603444.85"/>
    <n v="716603632.93000007"/>
    <n v="802648628.50999975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3723816637.71"/>
    <n v="2813532790.2199998"/>
    <n v="2933276358.6300001"/>
    <n v="2959965849.1900001"/>
    <n v="3154287884.0400009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257626218.06"/>
    <n v="282942207.44999999"/>
    <n v="309371537.63"/>
    <n v="343458469.46999997"/>
    <n v="338410024.00999999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238576394.90000001"/>
    <n v="258309717.66999999"/>
    <n v="266994331.33000001"/>
    <n v="301707107.26999998"/>
    <n v="189413562.60000002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24495728.390000001"/>
    <n v="24802360.77"/>
    <n v="0"/>
    <n v="51737237.060000002"/>
    <n v="27303076.030000001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3515117892.3000002"/>
    <n v="99478800"/>
    <n v="628440853"/>
    <n v="5854833635"/>
    <n v="307819051.40000153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1156017845.8399999"/>
    <n v="854176800"/>
    <n v="3051412522.7399998"/>
    <n v="143402847.19999999"/>
    <n v="163911336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113840198.75"/>
    <n v="106284516.68000001"/>
    <n v="102362961.75"/>
    <n v="84735826.239999995"/>
    <n v="115726608.10999995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11525309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11474229008.610001"/>
    <n v="11833556382.24"/>
    <n v="11439653217.9"/>
    <n v="11260447570.039999"/>
    <n v="14482735989.140001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2024687482.5599999"/>
    <n v="1982937393.2"/>
    <n v="2108770296.96"/>
    <n v="2185012061.25"/>
    <n v="2186937225.52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207372728.41"/>
    <n v="233371678.03999999"/>
    <n v="281237922.72000003"/>
    <n v="294067427.04000002"/>
    <n v="303132761.38999999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11738628.93"/>
    <n v="13475907"/>
    <n v="16186197"/>
    <n v="16850457"/>
    <n v="17215011.000000007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122885392.5"/>
    <n v="134838764.5"/>
    <n v="132486300.25"/>
    <n v="152560025.25"/>
    <n v="141500872.5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4103527073.9400001"/>
    <n v="3610724100.3699999"/>
    <n v="4616617056.5299997"/>
    <n v="3437534391.3899999"/>
    <n v="3070536964.4599972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225586096.44999999"/>
    <n v="174836526.25"/>
    <n v="253473084.69999999"/>
    <n v="153557134.65000001"/>
    <n v="176969554.5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141317255.66999999"/>
    <n v="338802295.68000001"/>
    <n v="750915773.63"/>
    <n v="180880567"/>
    <n v="655432952.36999989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94432949.769999996"/>
    <n v="94188783.640000001"/>
    <n v="91138700.579999998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453201523.16000003"/>
    <n v="517303870.74000001"/>
    <n v="454345502.27999997"/>
    <n v="10271620.92"/>
    <n v="14359756.799999952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728648922.71000004"/>
    <n v="884146892.28999996"/>
    <n v="1092441820.3499999"/>
    <n v="9929095.0600000005"/>
    <n v="13771796.019999981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121266606.41"/>
    <n v="87217583.569999993"/>
    <n v="121038914.09"/>
    <n v="124461113.75"/>
    <n v="136933469.22000003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222693877.74000001"/>
    <n v="317406232.44999999"/>
    <n v="242723671.72999999"/>
    <n v="104941090.64"/>
    <n v="624493608.31000006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11596.25"/>
    <n v="13618"/>
    <n v="27328.67"/>
    <n v="19889.98"/>
    <n v="18355.88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3318895179.6900001"/>
    <n v="1551624812.53"/>
    <n v="2068159231.5599999"/>
    <n v="2474185585.4400001"/>
    <n v="2445434530.4300003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50227226.409999996"/>
    <n v="38535159.460000001"/>
    <n v="188174970.36000001"/>
    <n v="246621352.91999999"/>
    <n v="71691504.860000014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2091286608.02"/>
    <n v="2119962201.0999999"/>
    <n v="2202874930.7199998"/>
    <n v="148165678.16999999"/>
    <n v="2181612432.2199993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1303721907.3"/>
    <n v="1174453191.4300001"/>
    <n v="1239274618.1300001"/>
    <n v="2416146271.7199998"/>
    <n v="1183002791.6100001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263911.98"/>
    <n v="193402.82"/>
    <n v="394381.66"/>
    <n v="214133.79"/>
    <n v="290503.44999999995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4915727.24"/>
    <n v="2780635.11"/>
    <n v="4783217.6500000004"/>
    <n v="3010417.56"/>
    <n v="3112214.6399999987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720000"/>
    <n v="4101985"/>
    <n v="770000"/>
    <n v="751000"/>
    <n v="1145232.5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1228983.6100000001"/>
    <n v="4339957.92"/>
    <n v="1712322.54"/>
    <n v="264424.58"/>
    <n v="8811621.9199999999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1444300"/>
    <n v="15317162.800000001"/>
    <n v="2011247.99"/>
    <n v="0"/>
    <n v="1193121.6300000027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40666"/>
    <n v="5332502.21"/>
    <n v="616594.35"/>
    <n v="355355.86"/>
    <n v="2141796.62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138520.37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229223676.81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146216941.00999999"/>
    <n v="41784320"/>
    <n v="40449120"/>
    <n v="60263040"/>
    <n v="4301984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1000"/>
    <n v="17600"/>
    <n v="0"/>
    <n v="600"/>
    <n v="40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337335709.02999997"/>
    <n v="146833891.41"/>
    <n v="70661265.890000001"/>
    <n v="53974999.089999996"/>
    <n v="46502355.540000103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3961321.86"/>
    <n v="3065658"/>
    <n v="2365966"/>
    <n v="3968338"/>
    <n v="1892093.7000000002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292800"/>
    <n v="154170"/>
    <n v="412891"/>
    <n v="108919.44"/>
    <n v="239728.75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7950542.5999999996"/>
    <n v="9095528.2599999998"/>
    <n v="10524907.779999999"/>
    <n v="9379502.1199999992"/>
    <n v="7912632.0999999996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3103938"/>
    <n v="2765508"/>
    <n v="4451549"/>
    <n v="4721809.5"/>
    <n v="3546574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901944.54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59840097.68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2004420.2"/>
    <n v="1020000"/>
    <n v="1360220.34"/>
    <n v="2010444.8399999999"/>
    <n v="1880187.5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1750000"/>
    <n v="19852000"/>
    <n v="234000"/>
    <n v="3838000"/>
    <n v="600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17978654"/>
    <n v="1302550"/>
    <n v="20000"/>
    <n v="2521250"/>
    <n v="443340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6259265025.2399998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760.71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15374395.880000001"/>
    <n v="13492987.720000001"/>
    <n v="9487900.8800000008"/>
    <n v="5106443.3600000003"/>
    <n v="1040956034.4499999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27041750.059999999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330086297"/>
    <n v="249996469"/>
    <n v="299713766"/>
    <n v="328717999"/>
    <n v="283107855.75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9458660.2400000002"/>
    <n v="22229323.780000001"/>
    <n v="23050798.710000001"/>
    <n v="77073039.310000002"/>
    <n v="111496435.86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451043460"/>
    <n v="649065097"/>
    <n v="420868792"/>
    <n v="471173396"/>
    <n v="634592623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700000"/>
    <n v="19775073.899999999"/>
    <n v="4068953.38"/>
    <n v="0"/>
    <n v="450000.00000000373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38732500"/>
    <n v="49644500"/>
    <n v="15677000"/>
    <n v="24725000"/>
    <n v="36166807.599999994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5347556.83"/>
    <n v="34711088.020000003"/>
    <n v="6272161.4500000002"/>
    <n v="3578128.04"/>
    <n v="232389477.30000001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92859131.840000004"/>
    <n v="-72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23151723.039999999"/>
    <n v="-9158852.4199999999"/>
    <n v="33652312.450000003"/>
    <n v="7717538.5199999996"/>
    <n v="9775835.2800000012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-278168"/>
    <n v="5923334.5700000003"/>
    <n v="4380011.09"/>
    <n v="8717640.75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49914349.729999997"/>
    <n v="2679292230.5"/>
    <n v="47082183"/>
    <n v="40812507.909999996"/>
    <n v="-907913737.66999984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196541258.31999999"/>
    <n v="221487671.91999999"/>
    <n v="257224285.03"/>
    <n v="376974638.65000004"/>
    <n v="435336536.67999995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127627599.91"/>
    <n v="263356707.53999999"/>
    <n v="366049151.72000003"/>
    <n v="110998707.75"/>
    <n v="254850471.69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229127855.08000001"/>
    <n v="0"/>
    <n v="1855514375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801125000"/>
    <n v="427276500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1666666.67"/>
    <n v="0"/>
    <n v="331666666.67000002"/>
    <n v="333333333.32999992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7800581332.25"/>
    <n v="5000000000"/>
    <m/>
    <n v="12038429231.25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4623477801"/>
    <m/>
    <n v="11141948065.879999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4200000000"/>
    <n v="2877277000"/>
    <m/>
    <n v="8085819402.1499996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670125000"/>
    <n v="0"/>
    <n v="660750000"/>
    <n v="73175000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328201011"/>
    <n v="357145846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207309536.03"/>
    <n v="224204916.46000001"/>
    <n v="213886757.66"/>
    <n v="214852672.38"/>
    <n v="217307618.54999995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42343580.509999998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126332600"/>
    <n v="0"/>
    <n v="0"/>
    <n v="202088990.25999999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3290000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510000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1950000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2670000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4510000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3500000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700000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3650000"/>
    <n v="0"/>
    <n v="0"/>
    <n v="0"/>
    <n v="460000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52456370"/>
    <n v="35136305.079999998"/>
    <n v="35136305.079999998"/>
    <n v="0"/>
    <n v="70272610.159999996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69700188.519999996"/>
    <n v="47842394.060000002"/>
    <n v="28730062.550000001"/>
    <n v="1939608.42"/>
    <n v="168404367.88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10000000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34520000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1470000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15000000"/>
    <n v="0"/>
    <n v="0"/>
    <n v="3030000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44480000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7858334"/>
    <n v="7858334"/>
    <n v="7858334"/>
    <n v="7858334"/>
    <n v="7858334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2689050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480306478.39999998"/>
    <n v="0"/>
    <n v="0"/>
    <n v="0"/>
    <n v="136396719.36000001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561495892.44000006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3437685027.1500001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21699430954"/>
    <n v="13329227281.110001"/>
    <n v="20299149264.620003"/>
    <n v="17807336061.370003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182429897497.26999"/>
    <n v="50942524732.07"/>
    <n v="167743962033.38"/>
    <n v="191091607701.89999"/>
    <n v="223762231425.26001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1460376072.0999999"/>
    <n v="716995654.32000017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70010636.319999993"/>
    <n v="0"/>
    <n v="814080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22408570109.900002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3589872"/>
    <n v="1371835052.5699999"/>
    <n v="798427460.95000005"/>
    <n v="664911950.49000001"/>
    <n v="267946762.78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271080000"/>
    <n v="719514263.16999996"/>
    <n v="1332650030.0899999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399163621.14999998"/>
    <n v="137011626.94999999"/>
    <n v="97350899.040000007"/>
    <n v="292858224.25"/>
    <n v="203810614.30000007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920618000"/>
    <n v="593725743"/>
    <n v="0"/>
    <n v="2437335000"/>
    <n v="3592748782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3986411959.4699998"/>
    <n v="2655563908.6799998"/>
    <n v="0"/>
    <n v="151535253.12000084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475264948.43000001"/>
    <n v="680959161.51999998"/>
    <n v="1416787065.47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245098631.05000001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2671550665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17957018790.639999"/>
    <n v="39002655925.32"/>
    <n v="407467147.17000002"/>
    <n v="18418442747.349998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11855666863.84"/>
    <n v="10932068935.83"/>
    <n v="10998688288.1"/>
    <n v="10892845481.59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4902360456.2399998"/>
    <n v="2906884491.79"/>
    <n v="692827508.34000003"/>
    <n v="4640383539.3699999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13242011563.379999"/>
    <n v="4667490684.1899996"/>
    <n v="5142264809.8500004"/>
    <n v="13418705996.620001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107340109142.28999"/>
    <n v="19773779392.549999"/>
    <n v="9976115976.2399998"/>
    <n v="106077044835.99001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48261561"/>
    <n v="30103585"/>
    <n v="23427440"/>
    <n v="31388221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1729798232.8800001"/>
    <n v="3329883766.5"/>
    <n v="3391134530.0100002"/>
    <n v="1633337414.4200001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3487426561.27"/>
    <n v="4400020230.3000002"/>
    <n v="2455602289.4400001"/>
    <n v="1281446423.3399999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1284004603.6400001"/>
    <n v="1397285544.8699999"/>
    <n v="1222048860.9200001"/>
    <n v="2246065095.6599998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14378310580.51"/>
    <n v="13465967573.99"/>
    <n v="8773186043.8299999"/>
    <n v="18198978643.009998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36636154"/>
    <n v="30429927"/>
    <n v="25701851"/>
    <n v="16903701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2475389985.3400002"/>
    <n v="1725456817.0599999"/>
    <n v="1174514018"/>
    <n v="1168232780.1700001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2790813"/>
    <n v="2316873"/>
    <n v="1835597"/>
    <n v="2100939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45844055.420000002"/>
    <n v="16919426.32"/>
    <n v="11672820.57"/>
    <n v="-17006599.16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379922806.68000001"/>
    <n v="439450769.51999998"/>
    <n v="369296500.14999998"/>
    <n v="352365933.00999999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3605354234"/>
    <n v="2871086716"/>
    <n v="3578201182.5"/>
    <n v="3356460978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2068297417"/>
    <n v="1821039314"/>
    <n v="1950620545"/>
    <n v="1921271258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57634186679.050003"/>
    <n v="57025258557.089996"/>
    <n v="62283472494.339996"/>
    <n v="59770739488.139999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56359565515.120003"/>
    <n v="54423788939.860001"/>
    <n v="58187210895.480003"/>
    <n v="55444864473.410004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1130553307.0899999"/>
    <n v="1187372595.46"/>
    <n v="1640312112.8399999"/>
    <n v="1650373134.78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18903807769.279999"/>
    <n v="18041269072.439999"/>
    <n v="19537481911.799999"/>
    <n v="17977741904.709999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29457859377"/>
    <n v="18100611483"/>
    <n v="26316849031"/>
    <n v="18936674688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16981196824.84"/>
    <n v="12065555042.299999"/>
    <n v="14100289732.49"/>
    <n v="16083146229.370001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1990939148.8"/>
    <n v="2533200393.0700002"/>
    <n v="2472105162.3299999"/>
    <n v="2624692874.3200002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808895462.55999994"/>
    <n v="703440547.69000006"/>
    <n v="794108401.23000002"/>
    <n v="880416056.00999999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3200589490.0700002"/>
    <n v="2953246914.71"/>
    <n v="2858973891.77"/>
    <n v="2909831532.6799998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281267476.93000001"/>
    <n v="251950624.21000001"/>
    <n v="281718161.91000003"/>
    <n v="258554338.66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243859428.40000001"/>
    <n v="204878850.34999999"/>
    <n v="231923752.22999999"/>
    <n v="237272851.47999999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46880485.409999996"/>
    <n v="48571187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544175040"/>
    <n v="515699802"/>
    <n v="1113765484"/>
    <n v="1153129268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658815736.72000003"/>
    <n v="1110556297.5999999"/>
    <n v="1488163424"/>
    <n v="1024325065.6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94840808.109999999"/>
    <n v="103914346.54000001"/>
    <n v="177020461.83000001"/>
    <n v="117394766.56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11230900"/>
    <n v="5615450"/>
    <n v="0"/>
    <n v="1123090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12622237964.860001"/>
    <n v="12690576017.58"/>
    <n v="13713617706.27"/>
    <n v="13672422106.709999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2366007811.7199998"/>
    <n v="2282727859.0700002"/>
    <n v="2346338614.8200002"/>
    <n v="2216651295.1799998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340171009.27999997"/>
    <n v="244423916.69"/>
    <n v="225912340.62"/>
    <n v="236625960.66999999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19436251.5"/>
    <n v="13874866.5"/>
    <n v="12972180"/>
    <n v="13425352.5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141717826.75"/>
    <n v="128593631.25"/>
    <n v="141284370"/>
    <n v="137600119.25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3071928595.75"/>
    <n v="3583278821.2600002"/>
    <n v="3827180591.1599998"/>
    <n v="2540082427.5100002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145686899.90000001"/>
    <n v="221829849.05000001"/>
    <n v="187350951.34999999"/>
    <n v="158084045.75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438725727.63999999"/>
    <n v="565985641.27999997"/>
    <n v="-416342295.80000001"/>
    <n v="105149643.06999999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642198.06999999995"/>
    <n v="106137032.11"/>
    <n v="302772316.51999998"/>
    <n v="117968860.55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886112768.62"/>
    <n v="501078602.70999998"/>
    <n v="1585207279.8800001"/>
    <n v="511427419.95999998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443570618.77999997"/>
    <n v="859081832.51999998"/>
    <n v="2535542607.4299998"/>
    <n v="897733386.36000001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105263830.95"/>
    <n v="106196724.62"/>
    <n v="110596344.59"/>
    <n v="88553819.159999996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607640432.00999999"/>
    <n v="484643661.56"/>
    <n v="300749593.31999999"/>
    <n v="316330834.57999998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35220.879999999997"/>
    <n v="77616.5"/>
    <n v="43026.3"/>
    <n v="96965.72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1860398488.52"/>
    <n v="1688302745.22"/>
    <n v="1865206272.3699999"/>
    <n v="1857160467.28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25168728309.119999"/>
    <n v="39359185.770000003"/>
    <n v="40269515.020000003"/>
    <n v="38845720.32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2183648776.75"/>
    <n v="2197984544.0999999"/>
    <n v="2240169506.9899998"/>
    <n v="2266412326.5700002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1253082749.0899999"/>
    <n v="1271498605.3"/>
    <n v="1189263591.1900001"/>
    <n v="1236490669.28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277853.78999999998"/>
    <n v="247840.83"/>
    <n v="246530.96"/>
    <n v="211849.56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2858069.91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2860409.98"/>
    <n v="4088209.49"/>
    <n v="2783317.88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1597408.06"/>
    <n v="1224720.93"/>
    <n v="1615786.33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770000"/>
    <n v="770000"/>
    <n v="350500"/>
    <n v="77000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3063516.95"/>
    <n v="3814260.1"/>
    <n v="1520164.53"/>
    <n v="3649049.4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71635675.340000004"/>
    <n v="1523878.4"/>
    <n v="39341214.579999998"/>
    <n v="4840149.2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1182103.27"/>
    <n v="557649.65"/>
    <n v="2710037.51"/>
    <n v="474125.8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47172480"/>
    <n v="50488320"/>
    <n v="48783840"/>
    <n v="5593760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200"/>
    <n v="400"/>
    <n v="40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34724175.270000003"/>
    <n v="22021810.809999999"/>
    <n v="17451917.609999999"/>
    <n v="17651103.649999999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3767749.95"/>
    <n v="2083240"/>
    <n v="3966612"/>
    <n v="2684803.08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340650"/>
    <n v="395650"/>
    <n v="244490"/>
    <n v="492796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6934450"/>
    <n v="6948781"/>
    <n v="7793303.6799999997"/>
    <n v="8091790.0499999998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4812088"/>
    <n v="6554637"/>
    <n v="5058862"/>
    <n v="4677552.72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1069068432.1900001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901944.54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1684000"/>
    <n v="1500000"/>
    <n v="1379000"/>
    <n v="244800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77000"/>
    <n v="240000"/>
    <n v="1000670"/>
    <n v="40000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357419917.93000001"/>
    <n v="0"/>
    <n v="2701176.99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2028.16"/>
    <n v="2230.27"/>
    <n v="2416.0300000000002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5286134.54"/>
    <n v="-988735920.42999995"/>
    <n v="4133761.88"/>
    <n v="9221151.5399999991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133805079.11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345259937"/>
    <n v="376524547"/>
    <n v="228058765"/>
    <n v="226203864.52000001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89105348.769999996"/>
    <n v="606884696.11000001"/>
    <n v="125834447.20999999"/>
    <n v="127302878.61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478823193"/>
    <n v="359142543"/>
    <n v="414634074.31999999"/>
    <n v="31249666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4074849.75"/>
    <n v="6268000"/>
    <n v="13352372.84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14660500"/>
    <n v="13520000"/>
    <n v="26817500"/>
    <n v="6037800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2459881.2799999998"/>
    <n v="-13743529.470000001"/>
    <n v="8030557.7300000004"/>
    <n v="8573639.1199999992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15437000"/>
    <n v="199700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1805829.6"/>
    <n v="21156736.100000001"/>
    <n v="1537677597.1900001"/>
    <n v="2408198.65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12231431.02"/>
    <n v="0"/>
    <n v="0"/>
    <n v="1691891.32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41773591.060000002"/>
    <n v="37731285.359999999"/>
    <n v="34206294.670000002"/>
    <n v="35595225.390000001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288777619.05000001"/>
    <n v="602159456.62"/>
    <n v="242206345.09"/>
    <n v="664184194.48000002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178309008.84"/>
    <n v="234914918.72"/>
    <n v="561340493.65999997"/>
    <n v="155408640.56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2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11368509546.860001"/>
    <n v="0"/>
    <n v="11029098400.540001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1457742500"/>
    <n v="1836502500"/>
    <n v="1857211250"/>
    <n v="143519750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333333333.33999997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5000000000"/>
    <n v="5000000000"/>
    <n v="7800581332.25"/>
    <n v="500000000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3391092822.7399998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7405688500"/>
    <n v="0"/>
    <n v="889934000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694125000"/>
    <n v="749250000"/>
    <n v="598825000"/>
    <n v="77025000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93874532"/>
    <n v="91379953"/>
    <n v="87304217"/>
    <n v="93854568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217767444.03999999"/>
    <n v="218923215.80000001"/>
    <n v="218255630.72"/>
    <n v="218433577.11000001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176273149.94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-202088990.25999999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1050000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460000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5119129099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35136305.079999998"/>
    <n v="35136305.079999998"/>
    <n v="35136305.079999998"/>
    <n v="28580097.620000001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424329073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10000000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85150357.530000001"/>
    <n v="78496464.120000005"/>
    <n v="102886382.06999999"/>
    <n v="75855734.829999998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1670000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1410000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7858334"/>
    <n v="7858334"/>
    <n v="7858334"/>
    <n v="7858334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6065070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-136396719.36000001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24057274065.66"/>
    <n v="21548402559.07"/>
    <n v="74416277932.360001"/>
    <n v="36917946101.239998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251018088920.53"/>
    <n v="439996721197.90002"/>
    <n v="307118919120.84003"/>
    <n v="142313789683.25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2177371726.4200001"/>
    <n v="-2177371726.4200001"/>
    <n v="0"/>
    <n v="1482783032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70010636.319999993"/>
    <n v="-70010636.319999993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1613113711.77"/>
    <n v="831818139.77999997"/>
    <n v="802425919.89999998"/>
    <n v="267434789.46000001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978437103.85000002"/>
    <n v="0"/>
    <n v="0"/>
    <n v="602452560.22000003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823560000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4188273265.8299999"/>
    <n v="-3507357591.6100001"/>
    <n v="333050002.75"/>
    <n v="297629433.63999999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5930194746.4499998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406446962.25999999"/>
    <n v="120948907.33"/>
    <n v="268691562.75"/>
    <n v="581263182.37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766807584.12"/>
    <n v="52488164.149999999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19998294.829999998"/>
    <n v="166473925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9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0"/>
    <n v="214566013365"/>
    <n v="214566013365"/>
    <n v="0"/>
    <n v="0"/>
    <n v="0"/>
    <n v="0"/>
    <n v="0"/>
    <n v="0"/>
    <n v="0"/>
    <n v="0"/>
    <n v="0"/>
    <n v="25712094840.459999"/>
    <n v="18687178386.169998"/>
    <n v="19022113584.080002"/>
    <n v="233124954261.14001"/>
    <n v="-18558940896.139999"/>
    <n v="108.65"/>
    <n v="-8.65"/>
  </r>
  <r>
    <x v="134"/>
    <x v="9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0"/>
    <n v="137959810508"/>
    <n v="137959810508"/>
    <n v="0"/>
    <n v="0"/>
    <n v="0"/>
    <n v="0"/>
    <n v="0"/>
    <n v="0"/>
    <n v="0"/>
    <n v="0"/>
    <n v="0"/>
    <n v="11765190031.809999"/>
    <n v="5971257183.1899996"/>
    <n v="11733884632.33"/>
    <n v="133662374043.05"/>
    <n v="4297436464.9499998"/>
    <n v="96.89"/>
    <n v="3.11"/>
  </r>
  <r>
    <x v="135"/>
    <x v="9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0"/>
    <n v="45211430361"/>
    <n v="45211430361"/>
    <n v="0"/>
    <n v="0"/>
    <n v="0"/>
    <n v="0"/>
    <n v="0"/>
    <n v="0"/>
    <n v="0"/>
    <n v="0"/>
    <n v="0"/>
    <n v="2930359888.0999999"/>
    <n v="2129510398.1700001"/>
    <n v="18256646986.119999"/>
    <n v="47459201414.559998"/>
    <n v="-2247771053.5599999"/>
    <n v="104.97"/>
    <n v="-4.97"/>
  </r>
  <r>
    <x v="180"/>
    <x v="9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96003600000"/>
    <n v="96003600000"/>
    <n v="0"/>
    <n v="0"/>
    <n v="0"/>
    <n v="0"/>
    <n v="0"/>
    <n v="0"/>
    <n v="0"/>
    <n v="0"/>
    <n v="0"/>
    <n v="5936452124.2799997"/>
    <n v="4677560337.3500004"/>
    <n v="14335406644.540001"/>
    <n v="99075702343.789993"/>
    <n v="-3072102343.79"/>
    <n v="103.2"/>
    <n v="-3.2"/>
  </r>
  <r>
    <x v="137"/>
    <x v="9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578195716010"/>
    <n v="578195716010"/>
    <n v="0"/>
    <n v="0"/>
    <n v="0"/>
    <n v="0"/>
    <n v="0"/>
    <n v="0"/>
    <n v="0"/>
    <n v="0"/>
    <n v="0"/>
    <n v="21186849210.18"/>
    <n v="13257473530.27"/>
    <n v="169750640779.35999"/>
    <n v="642935008874.78003"/>
    <n v="-64739292864.779999"/>
    <n v="111.2"/>
    <n v="-11.2"/>
  </r>
  <r>
    <x v="181"/>
    <x v="9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0"/>
    <n v="615690000"/>
    <n v="615690000"/>
    <n v="0"/>
    <n v="0"/>
    <n v="0"/>
    <n v="0"/>
    <n v="0"/>
    <n v="0"/>
    <n v="0"/>
    <n v="0"/>
    <n v="0"/>
    <n v="44103500"/>
    <n v="61272414"/>
    <n v="127494889"/>
    <n v="794334845"/>
    <n v="-178644845"/>
    <n v="129.02000000000001"/>
    <n v="-29.02"/>
  </r>
  <r>
    <x v="138"/>
    <x v="9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0"/>
    <n v="30000000000"/>
    <n v="30000000000"/>
    <n v="0"/>
    <n v="0"/>
    <n v="0"/>
    <n v="0"/>
    <n v="0"/>
    <n v="0"/>
    <n v="0"/>
    <n v="0"/>
    <n v="0"/>
    <n v="2707116860.4299998"/>
    <n v="2452850937.9000001"/>
    <n v="10014306027.709999"/>
    <n v="37776317795.970001"/>
    <n v="-7776317795.9700003"/>
    <n v="125.92"/>
    <n v="-25.92"/>
  </r>
  <r>
    <x v="182"/>
    <x v="9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0"/>
    <n v="41625000000"/>
    <n v="41625000000"/>
    <n v="0"/>
    <n v="0"/>
    <n v="0"/>
    <n v="0"/>
    <n v="0"/>
    <n v="0"/>
    <n v="0"/>
    <n v="0"/>
    <n v="0"/>
    <n v="8939776519.8400002"/>
    <n v="2568931560.1399999"/>
    <n v="4307165290.5100002"/>
    <n v="44346402927.790001"/>
    <n v="-2721402927.79"/>
    <n v="106.54"/>
    <n v="-6.54"/>
  </r>
  <r>
    <x v="183"/>
    <x v="9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0"/>
    <n v="13875000000"/>
    <n v="13875000000"/>
    <n v="0"/>
    <n v="0"/>
    <n v="0"/>
    <n v="0"/>
    <n v="0"/>
    <n v="0"/>
    <n v="0"/>
    <n v="0"/>
    <n v="0"/>
    <n v="1629537576.8900001"/>
    <n v="1387914465.29"/>
    <n v="1597877389.9300001"/>
    <n v="18339678704.560001"/>
    <n v="-4464678704.5600004"/>
    <n v="132.18"/>
    <n v="-32.18"/>
  </r>
  <r>
    <x v="184"/>
    <x v="9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0"/>
    <n v="142800000000"/>
    <n v="142800000000"/>
    <n v="0"/>
    <n v="0"/>
    <n v="0"/>
    <n v="0"/>
    <n v="0"/>
    <n v="0"/>
    <n v="0"/>
    <n v="0"/>
    <n v="0"/>
    <n v="14044398856"/>
    <n v="12849289137.74"/>
    <n v="13221214038.24"/>
    <n v="158703818699.64001"/>
    <n v="-15903818699.639999"/>
    <n v="111.14"/>
    <n v="-11.14"/>
  </r>
  <r>
    <x v="18"/>
    <x v="9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6"/>
    <x v="9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0"/>
    <n v="4100000000"/>
    <n v="4100000000"/>
    <n v="0"/>
    <n v="0"/>
    <n v="0"/>
    <n v="0"/>
    <n v="0"/>
    <n v="0"/>
    <n v="0"/>
    <n v="0"/>
    <n v="0"/>
    <n v="19283334"/>
    <n v="36930143"/>
    <n v="157691996"/>
    <n v="4098057659.5799999"/>
    <n v="1942340.42"/>
    <n v="99.95"/>
    <n v="0.05"/>
  </r>
  <r>
    <x v="141"/>
    <x v="9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0"/>
    <n v="155000000000"/>
    <n v="155000000000"/>
    <n v="0"/>
    <n v="0"/>
    <n v="0"/>
    <n v="0"/>
    <n v="0"/>
    <n v="0"/>
    <n v="0"/>
    <n v="0"/>
    <n v="0"/>
    <n v="880325834.67999995"/>
    <n v="19151438304.650002"/>
    <n v="108649443730.81"/>
    <n v="156516879057.70999"/>
    <n v="-1516879057.71"/>
    <n v="100.98"/>
    <n v="-0.98"/>
  </r>
  <r>
    <x v="21"/>
    <x v="9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0"/>
    <n v="166000000"/>
    <n v="166000000"/>
    <n v="0"/>
    <n v="0"/>
    <n v="0"/>
    <n v="0"/>
    <n v="0"/>
    <n v="0"/>
    <n v="0"/>
    <n v="0"/>
    <n v="0"/>
    <n v="1985085"/>
    <n v="16631494"/>
    <n v="105681455"/>
    <n v="161990773"/>
    <n v="4009227"/>
    <n v="97.58"/>
    <n v="2.42"/>
  </r>
  <r>
    <x v="22"/>
    <x v="9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0"/>
    <n v="96000000"/>
    <n v="96000000"/>
    <n v="0"/>
    <n v="0"/>
    <n v="0"/>
    <n v="0"/>
    <n v="0"/>
    <n v="0"/>
    <n v="0"/>
    <n v="0"/>
    <n v="0"/>
    <n v="10539868.75"/>
    <n v="9578144.5700000003"/>
    <n v="10769563.460000001"/>
    <n v="362014426.69999999"/>
    <n v="-266014426.69999999"/>
    <n v="377.1"/>
    <n v="-277.10000000000002"/>
  </r>
  <r>
    <x v="229"/>
    <x v="9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0"/>
    <n v="3000000000"/>
    <n v="3000000000"/>
    <n v="0"/>
    <n v="0"/>
    <n v="0"/>
    <n v="0"/>
    <n v="0"/>
    <n v="0"/>
    <n v="0"/>
    <n v="0"/>
    <n v="0"/>
    <n v="319289960.70999998"/>
    <n v="301836405.41000003"/>
    <n v="514638449.25999999"/>
    <n v="6579836737.0799999"/>
    <n v="-3579836737.0799999"/>
    <n v="219.33"/>
    <n v="-119.33"/>
  </r>
  <r>
    <x v="23"/>
    <x v="9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0"/>
    <n v="37000000000"/>
    <n v="37000000000"/>
    <n v="0"/>
    <n v="0"/>
    <n v="0"/>
    <n v="0"/>
    <n v="0"/>
    <n v="0"/>
    <n v="0"/>
    <n v="0"/>
    <n v="0"/>
    <n v="3099954571"/>
    <n v="2850538483.23"/>
    <n v="2916948418"/>
    <n v="36462388925.150002"/>
    <n v="537611074.85000002"/>
    <n v="98.55"/>
    <n v="1.45"/>
  </r>
  <r>
    <x v="24"/>
    <x v="9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88938391"/>
    <n v="1863509046.8399999"/>
    <n v="1637634987.3399999"/>
    <n v="23022399346.18"/>
    <n v="-22399346.18"/>
    <n v="100.1"/>
    <n v="-0.1"/>
  </r>
  <r>
    <x v="142"/>
    <x v="9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0"/>
    <n v="736764000000"/>
    <n v="736764000000"/>
    <n v="0"/>
    <n v="0"/>
    <n v="0"/>
    <n v="0"/>
    <n v="0"/>
    <n v="0"/>
    <n v="0"/>
    <n v="0"/>
    <n v="0"/>
    <n v="57088862392.660004"/>
    <n v="59740820844.169998"/>
    <n v="64916933285.230003"/>
    <n v="739878652696.57996"/>
    <n v="-3114652696.5799999"/>
    <n v="100.42"/>
    <n v="-0.42"/>
  </r>
  <r>
    <x v="187"/>
    <x v="9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0"/>
    <n v="677694000000"/>
    <n v="677694000000"/>
    <n v="0"/>
    <n v="0"/>
    <n v="0"/>
    <n v="0"/>
    <n v="0"/>
    <n v="0"/>
    <n v="0"/>
    <n v="0"/>
    <n v="0"/>
    <n v="58878438705.82"/>
    <n v="69901810172.610001"/>
    <n v="58547241731.040001"/>
    <n v="674479610275.82996"/>
    <n v="3214389724.1700001"/>
    <n v="99.53"/>
    <n v="0.47"/>
  </r>
  <r>
    <x v="188"/>
    <x v="9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0"/>
    <n v="23000000000"/>
    <n v="23000000000"/>
    <n v="0"/>
    <n v="0"/>
    <n v="0"/>
    <n v="0"/>
    <n v="0"/>
    <n v="0"/>
    <n v="0"/>
    <n v="0"/>
    <n v="0"/>
    <n v="1773346532.46"/>
    <n v="1960766174.98"/>
    <n v="2176970432.8400002"/>
    <n v="22629902457.040001"/>
    <n v="370097542.95999998"/>
    <n v="98.39"/>
    <n v="1.61"/>
  </r>
  <r>
    <x v="189"/>
    <x v="9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0"/>
    <n v="221000000000"/>
    <n v="221000000000"/>
    <n v="0"/>
    <n v="0"/>
    <n v="0"/>
    <n v="0"/>
    <n v="0"/>
    <n v="0"/>
    <n v="0"/>
    <n v="0"/>
    <n v="0"/>
    <n v="19761619009.080002"/>
    <n v="23943302993.849998"/>
    <n v="17196590032.529999"/>
    <n v="232686859135.89999"/>
    <n v="-11686859135.9"/>
    <n v="105.29"/>
    <n v="-5.29"/>
  </r>
  <r>
    <x v="30"/>
    <x v="9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0"/>
    <n v="246000000000"/>
    <n v="246000000000"/>
    <n v="0"/>
    <n v="0"/>
    <n v="0"/>
    <n v="0"/>
    <n v="0"/>
    <n v="0"/>
    <n v="0"/>
    <n v="0"/>
    <n v="0"/>
    <n v="24990021459"/>
    <n v="20912888164"/>
    <n v="28710940112"/>
    <n v="285475811729"/>
    <n v="-39475811729"/>
    <n v="116.05"/>
    <n v="-16.05"/>
  </r>
  <r>
    <x v="31"/>
    <x v="9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0"/>
    <n v="185000000000"/>
    <n v="185000000000"/>
    <n v="0"/>
    <n v="0"/>
    <n v="0"/>
    <n v="0"/>
    <n v="0"/>
    <n v="0"/>
    <n v="0"/>
    <n v="0"/>
    <n v="0"/>
    <n v="16451496468.74"/>
    <n v="15623224070.35"/>
    <n v="15201221292.629999"/>
    <n v="187168584791.51999"/>
    <n v="-2168584791.52"/>
    <n v="101.17"/>
    <n v="-1.17"/>
  </r>
  <r>
    <x v="32"/>
    <x v="9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0"/>
    <n v="30400000000"/>
    <n v="30400000000"/>
    <n v="0"/>
    <n v="0"/>
    <n v="0"/>
    <n v="0"/>
    <n v="0"/>
    <n v="0"/>
    <n v="0"/>
    <n v="0"/>
    <n v="0"/>
    <n v="2709736156.8000002"/>
    <n v="2738078803.6500001"/>
    <n v="3170259142.3499999"/>
    <n v="32320616025.580002"/>
    <n v="-1920616025.5799999"/>
    <n v="106.32"/>
    <n v="-6.32"/>
  </r>
  <r>
    <x v="33"/>
    <x v="9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0"/>
    <n v="7600000000"/>
    <n v="7600000000"/>
    <n v="0"/>
    <n v="0"/>
    <n v="0"/>
    <n v="0"/>
    <n v="0"/>
    <n v="0"/>
    <n v="0"/>
    <n v="0"/>
    <n v="0"/>
    <n v="950723361.75"/>
    <n v="1223169763.01"/>
    <n v="1498031663.77"/>
    <n v="11079304507.209999"/>
    <n v="-3479304507.21"/>
    <n v="145.78"/>
    <n v="-45.78"/>
  </r>
  <r>
    <x v="34"/>
    <x v="9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0"/>
    <n v="34900000000"/>
    <n v="34900000000"/>
    <n v="0"/>
    <n v="0"/>
    <n v="0"/>
    <n v="0"/>
    <n v="0"/>
    <n v="0"/>
    <n v="0"/>
    <n v="0"/>
    <n v="0"/>
    <n v="2918656951.9899998"/>
    <n v="2984848568.4699998"/>
    <n v="2942081985.1500001"/>
    <n v="36353108854.629997"/>
    <n v="-1453108854.6300001"/>
    <n v="104.16"/>
    <n v="-4.16"/>
  </r>
  <r>
    <x v="35"/>
    <x v="9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0"/>
    <n v="3100000000"/>
    <n v="3100000000"/>
    <n v="0"/>
    <n v="0"/>
    <n v="0"/>
    <n v="0"/>
    <n v="0"/>
    <n v="0"/>
    <n v="0"/>
    <n v="0"/>
    <n v="0"/>
    <n v="226055197.68000001"/>
    <n v="238696853.13"/>
    <n v="341135796.14999998"/>
    <n v="3411186905.29"/>
    <n v="-311186905.29000002"/>
    <n v="110.04"/>
    <n v="-10.039999999999999"/>
  </r>
  <r>
    <x v="190"/>
    <x v="9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0"/>
    <n v="2200000000"/>
    <n v="2200000000"/>
    <n v="0"/>
    <n v="0"/>
    <n v="0"/>
    <n v="0"/>
    <n v="0"/>
    <n v="0"/>
    <n v="0"/>
    <n v="0"/>
    <n v="0"/>
    <n v="217212108.36000001"/>
    <n v="251003454.47"/>
    <n v="270382330.20999998"/>
    <n v="2911533889.27"/>
    <n v="-711533889.26999998"/>
    <n v="132.34"/>
    <n v="-32.340000000000003"/>
  </r>
  <r>
    <x v="144"/>
    <x v="9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0"/>
    <n v="281000000"/>
    <n v="281000000"/>
    <n v="0"/>
    <n v="0"/>
    <n v="0"/>
    <n v="0"/>
    <n v="0"/>
    <n v="0"/>
    <n v="0"/>
    <n v="0"/>
    <n v="0"/>
    <n v="21535863.309999999"/>
    <n v="21820424.84"/>
    <n v="0"/>
    <n v="267146362.81"/>
    <n v="13853637.189999999"/>
    <n v="95.07"/>
    <n v="4.93"/>
  </r>
  <r>
    <x v="230"/>
    <x v="9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20200000000"/>
    <n v="20200000000"/>
    <n v="0"/>
    <n v="0"/>
    <n v="0"/>
    <n v="0"/>
    <n v="0"/>
    <n v="0"/>
    <n v="0"/>
    <n v="0"/>
    <n v="0"/>
    <n v="1488397951"/>
    <n v="1632040795.4000001"/>
    <n v="0"/>
    <n v="16852898572.1"/>
    <n v="3347101427.9000001"/>
    <n v="83.43"/>
    <n v="16.57"/>
  </r>
  <r>
    <x v="231"/>
    <x v="9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0"/>
    <n v="15160000000"/>
    <n v="15160000000"/>
    <n v="0"/>
    <n v="0"/>
    <n v="0"/>
    <n v="0"/>
    <n v="0"/>
    <n v="0"/>
    <n v="0"/>
    <n v="0"/>
    <n v="0"/>
    <n v="1106938425.5999999"/>
    <n v="1416542283.3399999"/>
    <n v="2057761567.2"/>
    <n v="15707226175.84"/>
    <n v="-547226175.84000003"/>
    <n v="103.61"/>
    <n v="-3.61"/>
  </r>
  <r>
    <x v="37"/>
    <x v="9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0"/>
    <n v="1250000000"/>
    <n v="1250000000"/>
    <n v="0"/>
    <n v="0"/>
    <n v="0"/>
    <n v="0"/>
    <n v="0"/>
    <n v="0"/>
    <n v="0"/>
    <n v="0"/>
    <n v="0"/>
    <n v="236545348.44"/>
    <n v="189312400.00999999"/>
    <n v="104978707.13"/>
    <n v="1546956950.1500001"/>
    <n v="-296956950.14999998"/>
    <n v="123.76"/>
    <n v="-23.76"/>
  </r>
  <r>
    <x v="244"/>
    <x v="9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0"/>
    <n v="85000000"/>
    <n v="85000000"/>
    <n v="0"/>
    <n v="0"/>
    <n v="0"/>
    <n v="0"/>
    <n v="0"/>
    <n v="0"/>
    <n v="0"/>
    <n v="0"/>
    <n v="0"/>
    <n v="5626838"/>
    <n v="0"/>
    <n v="16846350"/>
    <n v="62075747"/>
    <n v="22924253"/>
    <n v="73.03"/>
    <n v="26.97"/>
  </r>
  <r>
    <x v="145"/>
    <x v="9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0"/>
    <n v="151000000000"/>
    <n v="151000000000"/>
    <n v="0"/>
    <n v="0"/>
    <n v="0"/>
    <n v="0"/>
    <n v="0"/>
    <n v="0"/>
    <n v="0"/>
    <n v="0"/>
    <n v="0"/>
    <n v="14318942544.98"/>
    <n v="16008753657.370001"/>
    <n v="15041670702.690001"/>
    <n v="158558842868.39001"/>
    <n v="-7558842868.3900003"/>
    <n v="105.01"/>
    <n v="-5.01"/>
  </r>
  <r>
    <x v="40"/>
    <x v="9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0"/>
    <n v="27000000000"/>
    <n v="27000000000"/>
    <n v="0"/>
    <n v="0"/>
    <n v="0"/>
    <n v="0"/>
    <n v="0"/>
    <n v="0"/>
    <n v="0"/>
    <n v="0"/>
    <n v="0"/>
    <n v="2261229390.6199999"/>
    <n v="2644455933.1599998"/>
    <n v="2379705024.52"/>
    <n v="26985460388.580002"/>
    <n v="14539611.42"/>
    <n v="99.95"/>
    <n v="0.05"/>
  </r>
  <r>
    <x v="41"/>
    <x v="9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0"/>
    <n v="2926000000"/>
    <n v="2926000000"/>
    <n v="0"/>
    <n v="0"/>
    <n v="0"/>
    <n v="0"/>
    <n v="0"/>
    <n v="0"/>
    <n v="0"/>
    <n v="0"/>
    <n v="0"/>
    <n v="297900694.93000001"/>
    <n v="294509947.97000003"/>
    <n v="291567845.93000001"/>
    <n v="3250294233.6900001"/>
    <n v="-324294233.69"/>
    <n v="111.08"/>
    <n v="-11.08"/>
  </r>
  <r>
    <x v="42"/>
    <x v="9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0"/>
    <n v="161000000"/>
    <n v="161000000"/>
    <n v="0"/>
    <n v="0"/>
    <n v="0"/>
    <n v="0"/>
    <n v="0"/>
    <n v="0"/>
    <n v="0"/>
    <n v="0"/>
    <n v="0"/>
    <n v="16554534"/>
    <n v="16290232.5"/>
    <n v="16131756"/>
    <n v="184151373.93000001"/>
    <n v="-23151373.93"/>
    <n v="114.38"/>
    <n v="-14.38"/>
  </r>
  <r>
    <x v="245"/>
    <x v="9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0"/>
    <n v="1700000000"/>
    <n v="1700000000"/>
    <n v="0"/>
    <n v="0"/>
    <n v="0"/>
    <n v="0"/>
    <n v="0"/>
    <n v="0"/>
    <n v="0"/>
    <n v="0"/>
    <n v="0"/>
    <n v="136903563.75"/>
    <n v="140045405"/>
    <n v="127884790.5"/>
    <n v="1638301061.5"/>
    <n v="61698938.5"/>
    <n v="96.37"/>
    <n v="3.63"/>
  </r>
  <r>
    <x v="44"/>
    <x v="9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0"/>
    <n v="40500000000"/>
    <n v="40500000000"/>
    <n v="0"/>
    <n v="0"/>
    <n v="0"/>
    <n v="0"/>
    <n v="0"/>
    <n v="0"/>
    <n v="0"/>
    <n v="0"/>
    <n v="0"/>
    <n v="2334480767.3499999"/>
    <n v="3082997640.9400001"/>
    <n v="3648282916.3400002"/>
    <n v="40927171347"/>
    <n v="-427171347"/>
    <n v="101.05"/>
    <n v="-1.05"/>
  </r>
  <r>
    <x v="246"/>
    <x v="9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0"/>
    <n v="2330000000"/>
    <n v="2330000000"/>
    <n v="0"/>
    <n v="0"/>
    <n v="0"/>
    <n v="0"/>
    <n v="0"/>
    <n v="0"/>
    <n v="0"/>
    <n v="0"/>
    <n v="0"/>
    <n v="146878701.15000001"/>
    <n v="175717274.05000001"/>
    <n v="377935645.35000002"/>
    <n v="2397905763.1500001"/>
    <n v="-67905763.150000006"/>
    <n v="102.91"/>
    <n v="-2.91"/>
  </r>
  <r>
    <x v="45"/>
    <x v="9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0"/>
    <n v="3200000000"/>
    <n v="3200000000"/>
    <n v="0"/>
    <n v="0"/>
    <n v="0"/>
    <n v="0"/>
    <n v="0"/>
    <n v="0"/>
    <n v="0"/>
    <n v="0"/>
    <n v="0"/>
    <n v="320236798.60000002"/>
    <n v="0"/>
    <n v="505282315.44999999"/>
    <n v="3586386674.5900002"/>
    <n v="-386386674.58999997"/>
    <n v="112.07"/>
    <n v="-12.07"/>
  </r>
  <r>
    <x v="232"/>
    <x v="9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0"/>
    <n v="1090000000"/>
    <n v="1090000000"/>
    <n v="0"/>
    <n v="0"/>
    <n v="0"/>
    <n v="0"/>
    <n v="0"/>
    <n v="0"/>
    <n v="0"/>
    <n v="0"/>
    <n v="0"/>
    <n v="96197083.939999998"/>
    <n v="41961.75"/>
    <n v="90526769.290000007"/>
    <n v="994046656.22000003"/>
    <n v="95953343.780000001"/>
    <n v="91.2"/>
    <n v="8.8000000000000007"/>
  </r>
  <r>
    <x v="247"/>
    <x v="9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0"/>
    <n v="6700000000"/>
    <n v="6700000000"/>
    <n v="0"/>
    <n v="0"/>
    <n v="0"/>
    <n v="0"/>
    <n v="0"/>
    <n v="0"/>
    <n v="0"/>
    <n v="0"/>
    <n v="0"/>
    <n v="479118549.44"/>
    <n v="479186179.06999999"/>
    <n v="572250906.13999999"/>
    <n v="6463863979.7200003"/>
    <n v="236136020.28"/>
    <n v="96.48"/>
    <n v="3.52"/>
  </r>
  <r>
    <x v="233"/>
    <x v="9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0"/>
    <n v="8210000000"/>
    <n v="8210000000"/>
    <n v="0"/>
    <n v="0"/>
    <n v="0"/>
    <n v="0"/>
    <n v="0"/>
    <n v="0"/>
    <n v="0"/>
    <n v="0"/>
    <n v="0"/>
    <n v="961899491.67999995"/>
    <n v="1045179886.39"/>
    <n v="1043070896.59"/>
    <n v="10515017246.18"/>
    <n v="-2305017246.1799998"/>
    <n v="128.08000000000001"/>
    <n v="-28.08"/>
  </r>
  <r>
    <x v="146"/>
    <x v="9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0"/>
    <n v="1160000000"/>
    <n v="1160000000"/>
    <n v="0"/>
    <n v="0"/>
    <n v="0"/>
    <n v="0"/>
    <n v="0"/>
    <n v="0"/>
    <n v="0"/>
    <n v="0"/>
    <n v="0"/>
    <n v="90200126.049999997"/>
    <n v="113324948.95"/>
    <n v="114926487.56"/>
    <n v="1319979968.9200001"/>
    <n v="-159979968.91999999"/>
    <n v="113.79"/>
    <n v="-13.79"/>
  </r>
  <r>
    <x v="47"/>
    <x v="9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0"/>
    <n v="3600000000"/>
    <n v="3600000000"/>
    <n v="0"/>
    <n v="0"/>
    <n v="0"/>
    <n v="0"/>
    <n v="0"/>
    <n v="0"/>
    <n v="0"/>
    <n v="0"/>
    <n v="0"/>
    <n v="359187984.54000002"/>
    <n v="623870599.48000002"/>
    <n v="459576672.94"/>
    <n v="4664258259.3000002"/>
    <n v="-1064258259.3"/>
    <n v="129.56"/>
    <n v="-29.56"/>
  </r>
  <r>
    <x v="147"/>
    <x v="9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0"/>
    <n v="147000000"/>
    <n v="147000000"/>
    <n v="0"/>
    <n v="0"/>
    <n v="0"/>
    <n v="0"/>
    <n v="0"/>
    <n v="0"/>
    <n v="0"/>
    <n v="0"/>
    <n v="0"/>
    <n v="357836.75"/>
    <n v="159913.59"/>
    <n v="426842.47"/>
    <n v="1288210.99"/>
    <n v="145711789.00999999"/>
    <n v="0.88"/>
    <n v="99.12"/>
  </r>
  <r>
    <x v="53"/>
    <x v="9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0"/>
    <n v="30800000000"/>
    <n v="30800000000"/>
    <n v="0"/>
    <n v="0"/>
    <n v="0"/>
    <n v="0"/>
    <n v="0"/>
    <n v="0"/>
    <n v="0"/>
    <n v="0"/>
    <n v="0"/>
    <n v="1186248213.53"/>
    <n v="1800213390.6099999"/>
    <n v="1806189902.29"/>
    <n v="23922018819.470001"/>
    <n v="6877981180.5299997"/>
    <n v="77.67"/>
    <n v="22.33"/>
  </r>
  <r>
    <x v="282"/>
    <x v="9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82609774877"/>
    <n v="82609774877"/>
    <n v="0"/>
    <n v="0"/>
    <n v="0"/>
    <n v="0"/>
    <n v="0"/>
    <n v="0"/>
    <n v="0"/>
    <n v="0"/>
    <n v="0"/>
    <n v="237047631.72"/>
    <n v="39355566.200000003"/>
    <n v="55149338589.209999"/>
    <n v="81308194731.369995"/>
    <n v="1301580145.6300001"/>
    <n v="98.42"/>
    <n v="1.58"/>
  </r>
  <r>
    <x v="54"/>
    <x v="9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13100000000"/>
    <n v="13100000000"/>
    <n v="0"/>
    <n v="0"/>
    <n v="0"/>
    <n v="0"/>
    <n v="0"/>
    <n v="0"/>
    <n v="0"/>
    <n v="0"/>
    <n v="0"/>
    <n v="4287281892.73"/>
    <n v="2246947789.9400001"/>
    <n v="2318933960.9400001"/>
    <n v="26485280648.25"/>
    <n v="-13385280648.25"/>
    <n v="202.18"/>
    <n v="-102.18"/>
  </r>
  <r>
    <x v="55"/>
    <x v="9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0"/>
    <n v="21600000000"/>
    <n v="21600000000"/>
    <n v="0"/>
    <n v="0"/>
    <n v="0"/>
    <n v="0"/>
    <n v="0"/>
    <n v="0"/>
    <n v="0"/>
    <n v="0"/>
    <n v="0"/>
    <n v="121563912.51000001"/>
    <n v="1418123556.97"/>
    <n v="387030833.95999998"/>
    <n v="14193652698.49"/>
    <n v="7406347301.5100002"/>
    <n v="65.709999999999994"/>
    <n v="34.29"/>
  </r>
  <r>
    <x v="191"/>
    <x v="9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0"/>
    <n v="3000000"/>
    <n v="3000000"/>
    <n v="0"/>
    <n v="0"/>
    <n v="0"/>
    <n v="0"/>
    <n v="0"/>
    <n v="0"/>
    <n v="0"/>
    <n v="0"/>
    <n v="0"/>
    <n v="217102.38"/>
    <n v="0"/>
    <n v="407991.3"/>
    <n v="2965502.52"/>
    <n v="34497.480000000003"/>
    <n v="98.85"/>
    <n v="1.1499999999999999"/>
  </r>
  <r>
    <x v="234"/>
    <x v="9"/>
    <x v="203"/>
    <n v="1"/>
    <x v="0"/>
    <n v="13"/>
    <x v="2"/>
    <n v="131"/>
    <x v="6"/>
    <n v="1312"/>
    <x v="18"/>
    <n v="131203"/>
    <x v="62"/>
    <n v="13120301"/>
    <x v="75"/>
    <n v="131203010"/>
    <x v="35"/>
    <n v="1312030102"/>
    <x v="0"/>
    <n v="1"/>
    <s v="Ingresos corrientes"/>
    <n v="0"/>
    <n v="34000000"/>
    <n v="34000000"/>
    <n v="0"/>
    <n v="0"/>
    <n v="0"/>
    <n v="0"/>
    <n v="0"/>
    <n v="0"/>
    <n v="0"/>
    <n v="0"/>
    <n v="0"/>
    <n v="0"/>
    <n v="0"/>
    <n v="0"/>
    <n v="21460282.109999999"/>
    <n v="12539717.890000001"/>
    <n v="63.12"/>
    <n v="36.880000000000003"/>
  </r>
  <r>
    <x v="283"/>
    <x v="9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0"/>
    <n v="0"/>
    <n v="0"/>
    <n v="0"/>
    <n v="0"/>
    <n v="0"/>
    <n v="0"/>
    <n v="0"/>
    <n v="0"/>
    <n v="0"/>
    <n v="0"/>
    <n v="0"/>
    <n v="2891190.76"/>
    <n v="3779872.75"/>
    <n v="3614956.65"/>
    <n v="20017957.510000002"/>
    <n v="-20017957.510000002"/>
    <n v="0"/>
    <n v="100"/>
  </r>
  <r>
    <x v="284"/>
    <x v="9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0"/>
    <n v="0"/>
    <n v="0"/>
    <n v="0"/>
    <n v="0"/>
    <n v="0"/>
    <n v="0"/>
    <n v="0"/>
    <n v="0"/>
    <n v="0"/>
    <n v="0"/>
    <n v="0"/>
    <n v="1353295.86"/>
    <n v="1197103.55"/>
    <n v="1579677.5"/>
    <n v="8567992.2300000004"/>
    <n v="-8567992.2300000004"/>
    <n v="0"/>
    <n v="100"/>
  </r>
  <r>
    <x v="58"/>
    <x v="9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0"/>
    <n v="9000000"/>
    <n v="9000000"/>
    <n v="0"/>
    <n v="0"/>
    <n v="0"/>
    <n v="0"/>
    <n v="0"/>
    <n v="0"/>
    <n v="0"/>
    <n v="0"/>
    <n v="0"/>
    <n v="50000"/>
    <n v="0"/>
    <n v="200000"/>
    <n v="10398717.5"/>
    <n v="-1398717.5"/>
    <n v="115.54"/>
    <n v="-15.54"/>
  </r>
  <r>
    <x v="59"/>
    <x v="9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0"/>
    <n v="23000000"/>
    <n v="23000000"/>
    <n v="0"/>
    <n v="0"/>
    <n v="0"/>
    <n v="0"/>
    <n v="0"/>
    <n v="0"/>
    <n v="0"/>
    <n v="0"/>
    <n v="0"/>
    <n v="2747997.93"/>
    <n v="3045433.27"/>
    <n v="6554020.54"/>
    <n v="40751753.289999999"/>
    <n v="-17751753.289999999"/>
    <n v="177.18"/>
    <n v="-77.180000000000007"/>
  </r>
  <r>
    <x v="193"/>
    <x v="9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0"/>
    <n v="152000000"/>
    <n v="152000000"/>
    <n v="0"/>
    <n v="0"/>
    <n v="0"/>
    <n v="0"/>
    <n v="0"/>
    <n v="0"/>
    <n v="0"/>
    <n v="0"/>
    <n v="0"/>
    <n v="-17576689.77"/>
    <n v="5121350"/>
    <n v="81653825.700000003"/>
    <n v="206505235.87"/>
    <n v="-54505235.869999997"/>
    <n v="135.86000000000001"/>
    <n v="-35.86"/>
  </r>
  <r>
    <x v="258"/>
    <x v="9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0"/>
    <n v="10000000"/>
    <n v="10000000"/>
    <n v="0"/>
    <n v="0"/>
    <n v="0"/>
    <n v="0"/>
    <n v="0"/>
    <n v="0"/>
    <n v="0"/>
    <n v="0"/>
    <n v="0"/>
    <n v="597699.35"/>
    <n v="1305098.57"/>
    <n v="535340.15"/>
    <n v="15848969.34"/>
    <n v="-5848969.3399999999"/>
    <n v="158.49"/>
    <n v="-58.49"/>
  </r>
  <r>
    <x v="61"/>
    <x v="9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38520.37"/>
    <n v="-138520.37"/>
    <n v="0"/>
    <n v="100"/>
  </r>
  <r>
    <x v="248"/>
    <x v="9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0"/>
    <n v="229223677"/>
    <n v="229223677"/>
    <n v="0"/>
    <n v="0"/>
    <n v="0"/>
    <n v="0"/>
    <n v="0"/>
    <n v="0"/>
    <n v="0"/>
    <n v="0"/>
    <n v="0"/>
    <n v="0"/>
    <n v="0"/>
    <n v="0"/>
    <n v="229223676.81"/>
    <n v="0.19"/>
    <n v="100"/>
    <n v="0"/>
  </r>
  <r>
    <x v="267"/>
    <x v="9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0"/>
    <n v="188876323"/>
    <n v="188876323"/>
    <n v="0"/>
    <n v="0"/>
    <n v="0"/>
    <n v="0"/>
    <n v="0"/>
    <n v="0"/>
    <n v="0"/>
    <n v="0"/>
    <n v="0"/>
    <n v="56376640"/>
    <n v="56356800"/>
    <n v="63241760"/>
    <n v="710090701.00999999"/>
    <n v="-521214378.00999999"/>
    <n v="375.96"/>
    <n v="-275.95999999999998"/>
  </r>
  <r>
    <x v="62"/>
    <x v="9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0"/>
    <n v="0"/>
    <n v="0"/>
    <n v="0"/>
    <n v="700"/>
    <n v="200"/>
    <n v="261690.21"/>
    <n v="283190.21000000002"/>
    <n v="-283190.21000000002"/>
    <n v="0"/>
    <n v="100"/>
  </r>
  <r>
    <x v="63"/>
    <x v="9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0"/>
    <n v="4804300000"/>
    <n v="4804300000"/>
    <n v="0"/>
    <n v="0"/>
    <n v="0"/>
    <n v="0"/>
    <n v="0"/>
    <n v="0"/>
    <n v="0"/>
    <n v="0"/>
    <n v="0"/>
    <n v="19574424.809999999"/>
    <n v="453542065.14999998"/>
    <n v="4210357758.0500002"/>
    <n v="5430631476.3100004"/>
    <n v="-626331476.30999994"/>
    <n v="113.04"/>
    <n v="-13.04"/>
  </r>
  <r>
    <x v="64"/>
    <x v="9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0"/>
    <n v="38000000"/>
    <n v="38000000"/>
    <n v="0"/>
    <n v="0"/>
    <n v="0"/>
    <n v="0"/>
    <n v="0"/>
    <n v="0"/>
    <n v="0"/>
    <n v="0"/>
    <n v="0"/>
    <n v="3624175.14"/>
    <n v="3402372.08"/>
    <n v="5203166.34"/>
    <n v="39985496.149999999"/>
    <n v="-1985496.15"/>
    <n v="105.22"/>
    <n v="-5.22"/>
  </r>
  <r>
    <x v="65"/>
    <x v="9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0"/>
    <n v="5000000"/>
    <n v="5000000"/>
    <n v="0"/>
    <n v="0"/>
    <n v="0"/>
    <n v="0"/>
    <n v="0"/>
    <n v="0"/>
    <n v="0"/>
    <n v="0"/>
    <n v="0"/>
    <n v="213050"/>
    <n v="275340"/>
    <n v="212100"/>
    <n v="3382585.19"/>
    <n v="1617414.81"/>
    <n v="67.650000000000006"/>
    <n v="32.35"/>
  </r>
  <r>
    <x v="66"/>
    <x v="9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0"/>
    <n v="112000000"/>
    <n v="112000000"/>
    <n v="0"/>
    <n v="0"/>
    <n v="0"/>
    <n v="0"/>
    <n v="0"/>
    <n v="0"/>
    <n v="0"/>
    <n v="0"/>
    <n v="0"/>
    <n v="8177611.5"/>
    <n v="8029979.8499999996"/>
    <n v="11004905.550000001"/>
    <n v="101843934.48999999"/>
    <n v="10156065.51"/>
    <n v="90.93"/>
    <n v="9.07"/>
  </r>
  <r>
    <x v="67"/>
    <x v="9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0"/>
    <n v="52000000"/>
    <n v="52000000"/>
    <n v="0"/>
    <n v="0"/>
    <n v="0"/>
    <n v="0"/>
    <n v="0"/>
    <n v="0"/>
    <n v="0"/>
    <n v="0"/>
    <n v="0"/>
    <n v="6094472"/>
    <n v="6496324"/>
    <n v="7317617.7999999998"/>
    <n v="59600932.020000003"/>
    <n v="-7600932.0199999996"/>
    <n v="114.62"/>
    <n v="-14.62"/>
  </r>
  <r>
    <x v="285"/>
    <x v="9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0"/>
    <n v="5149787962"/>
    <n v="5149787962"/>
    <n v="0"/>
    <n v="0"/>
    <n v="0"/>
    <n v="0"/>
    <n v="0"/>
    <n v="0"/>
    <n v="0"/>
    <n v="0"/>
    <n v="0"/>
    <n v="1946387708.5899999"/>
    <n v="1095024519.9200001"/>
    <n v="816185099.61000001"/>
    <n v="4927567704.8500004"/>
    <n v="222220257.15000001"/>
    <n v="95.68"/>
    <n v="4.32"/>
  </r>
  <r>
    <x v="286"/>
    <x v="9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0"/>
    <n v="249016550"/>
    <n v="249016550"/>
    <n v="0"/>
    <n v="0"/>
    <n v="0"/>
    <n v="0"/>
    <n v="0"/>
    <n v="0"/>
    <n v="0"/>
    <n v="0"/>
    <n v="0"/>
    <n v="0"/>
    <n v="153186250.43000001"/>
    <n v="11362652.52"/>
    <n v="225290945.16999999"/>
    <n v="23725604.829999998"/>
    <n v="90.47"/>
    <n v="9.5299999999999994"/>
  </r>
  <r>
    <x v="148"/>
    <x v="9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0"/>
    <n v="22000000"/>
    <n v="22000000"/>
    <n v="0"/>
    <n v="0"/>
    <n v="0"/>
    <n v="0"/>
    <n v="0"/>
    <n v="0"/>
    <n v="0"/>
    <n v="0"/>
    <n v="0"/>
    <n v="1836000"/>
    <n v="1383000"/>
    <n v="1990000"/>
    <n v="20495272.879999999"/>
    <n v="1504727.12"/>
    <n v="93.16"/>
    <n v="6.84"/>
  </r>
  <r>
    <x v="149"/>
    <x v="9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0"/>
    <n v="38500000"/>
    <n v="38500000"/>
    <n v="0"/>
    <n v="0"/>
    <n v="0"/>
    <n v="0"/>
    <n v="0"/>
    <n v="0"/>
    <n v="0"/>
    <n v="0"/>
    <n v="0"/>
    <n v="500000"/>
    <n v="500000"/>
    <n v="4000"/>
    <n v="28401670"/>
    <n v="10098330"/>
    <n v="73.77"/>
    <n v="26.23"/>
  </r>
  <r>
    <x v="259"/>
    <x v="9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0"/>
    <n v="547500000"/>
    <n v="547500000"/>
    <n v="0"/>
    <n v="0"/>
    <n v="0"/>
    <n v="0"/>
    <n v="0"/>
    <n v="0"/>
    <n v="0"/>
    <n v="0"/>
    <n v="0"/>
    <n v="1897000"/>
    <n v="7635600"/>
    <n v="17929500"/>
    <n v="413839048.92000002"/>
    <n v="133660951.08"/>
    <n v="75.59"/>
    <n v="24.41"/>
  </r>
  <r>
    <x v="268"/>
    <x v="9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0"/>
    <n v="12000000000"/>
    <n v="12000000000"/>
    <n v="0"/>
    <n v="0"/>
    <n v="0"/>
    <n v="0"/>
    <n v="0"/>
    <n v="0"/>
    <n v="0"/>
    <n v="0"/>
    <n v="0"/>
    <n v="0"/>
    <n v="0"/>
    <n v="0"/>
    <n v="6259265025.2399998"/>
    <n v="5740734974.7600002"/>
    <n v="52.16"/>
    <n v="47.84"/>
  </r>
  <r>
    <x v="287"/>
    <x v="9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.32"/>
    <n v="7435.49"/>
    <n v="-7435.49"/>
    <n v="0"/>
    <n v="100"/>
  </r>
  <r>
    <x v="150"/>
    <x v="9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0"/>
    <n v="331000000"/>
    <n v="331000000"/>
    <n v="0"/>
    <n v="0"/>
    <n v="0"/>
    <n v="0"/>
    <n v="0"/>
    <n v="0"/>
    <n v="0"/>
    <n v="0"/>
    <n v="0"/>
    <n v="7909039.8399999999"/>
    <n v="9694090.6500000004"/>
    <n v="273706015.95999998"/>
    <n v="405632036.26999998"/>
    <n v="-74632036.269999996"/>
    <n v="122.55"/>
    <n v="-22.55"/>
  </r>
  <r>
    <x v="194"/>
    <x v="9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0"/>
    <n v="176800000"/>
    <n v="176800000"/>
    <n v="0"/>
    <n v="0"/>
    <n v="0"/>
    <n v="0"/>
    <n v="0"/>
    <n v="0"/>
    <n v="0"/>
    <n v="0"/>
    <n v="0"/>
    <n v="0"/>
    <n v="0"/>
    <n v="88693140.739999995"/>
    <n v="249539969.91"/>
    <n v="-72739969.909999996"/>
    <n v="141.13999999999999"/>
    <n v="-41.14"/>
  </r>
  <r>
    <x v="151"/>
    <x v="9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0"/>
    <n v="2710000000"/>
    <n v="2710000000"/>
    <n v="0"/>
    <n v="0"/>
    <n v="0"/>
    <n v="0"/>
    <n v="0"/>
    <n v="0"/>
    <n v="0"/>
    <n v="0"/>
    <n v="0"/>
    <n v="403029844.56999999"/>
    <n v="428237552"/>
    <n v="421460447"/>
    <n v="3920397343.8400002"/>
    <n v="-1210397343.8399999"/>
    <n v="144.66"/>
    <n v="-44.66"/>
  </r>
  <r>
    <x v="152"/>
    <x v="9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0"/>
    <n v="990000000"/>
    <n v="990000000"/>
    <n v="0"/>
    <n v="0"/>
    <n v="0"/>
    <n v="0"/>
    <n v="0"/>
    <n v="0"/>
    <n v="0"/>
    <n v="0"/>
    <n v="0"/>
    <n v="100239858.70999999"/>
    <n v="134286831.78999999"/>
    <n v="502829412.49000001"/>
    <n v="1929791731.5899999"/>
    <n v="-939791731.59000003"/>
    <n v="194.93"/>
    <n v="-94.93"/>
  </r>
  <r>
    <x v="74"/>
    <x v="9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0"/>
    <n v="7280000000"/>
    <n v="7280000000"/>
    <n v="0"/>
    <n v="0"/>
    <n v="0"/>
    <n v="0"/>
    <n v="0"/>
    <n v="0"/>
    <n v="0"/>
    <n v="0"/>
    <n v="0"/>
    <n v="363539067"/>
    <n v="315610369"/>
    <n v="671271150"/>
    <n v="5542260424.3199997"/>
    <n v="1737739575.6800001"/>
    <n v="76.13"/>
    <n v="23.87"/>
  </r>
  <r>
    <x v="153"/>
    <x v="9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0"/>
    <n v="5200000"/>
    <n v="5200000"/>
    <n v="0"/>
    <n v="0"/>
    <n v="0"/>
    <n v="0"/>
    <n v="0"/>
    <n v="0"/>
    <n v="0"/>
    <n v="0"/>
    <n v="0"/>
    <n v="1844707.5"/>
    <n v="0"/>
    <n v="13041636.92"/>
    <n v="63575594.289999999"/>
    <n v="-58375594.289999999"/>
    <n v="1222.6099999999999"/>
    <n v="-1122.6099999999999"/>
  </r>
  <r>
    <x v="155"/>
    <x v="9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0"/>
    <n v="827200000"/>
    <n v="827200000"/>
    <n v="0"/>
    <n v="0"/>
    <n v="0"/>
    <n v="0"/>
    <n v="0"/>
    <n v="0"/>
    <n v="0"/>
    <n v="0"/>
    <n v="0"/>
    <n v="96338000"/>
    <n v="102060125"/>
    <n v="16661000"/>
    <n v="495380932.60000002"/>
    <n v="331819067.39999998"/>
    <n v="59.89"/>
    <n v="40.11"/>
  </r>
  <r>
    <x v="156"/>
    <x v="9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0"/>
    <n v="489100000"/>
    <n v="489100000"/>
    <n v="0"/>
    <n v="0"/>
    <n v="0"/>
    <n v="0"/>
    <n v="0"/>
    <n v="0"/>
    <n v="0"/>
    <n v="0"/>
    <n v="0"/>
    <n v="1907541.94"/>
    <n v="10269882.27"/>
    <n v="28880265.510000002"/>
    <n v="328676650.01999998"/>
    <n v="160423349.97999999"/>
    <n v="67.2"/>
    <n v="32.799999999999997"/>
  </r>
  <r>
    <x v="207"/>
    <x v="9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92858411.840000004"/>
    <n v="92858411.840000004"/>
    <n v="0"/>
    <n v="0"/>
    <n v="0"/>
    <n v="0"/>
    <n v="0"/>
    <n v="0"/>
    <n v="0"/>
    <n v="0"/>
    <n v="0"/>
    <n v="0"/>
    <n v="0"/>
    <n v="0"/>
    <n v="92858411.840000004"/>
    <n v="0"/>
    <n v="100"/>
    <n v="0"/>
  </r>
  <r>
    <x v="288"/>
    <x v="9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7434000"/>
    <n v="-17434000"/>
    <n v="0"/>
    <n v="100"/>
  </r>
  <r>
    <x v="195"/>
    <x v="9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0"/>
    <n v="295700000"/>
    <n v="295700000"/>
    <n v="0"/>
    <n v="0"/>
    <n v="0"/>
    <n v="0"/>
    <n v="0"/>
    <n v="0"/>
    <n v="0"/>
    <n v="0"/>
    <n v="0"/>
    <n v="7033126"/>
    <n v="176574984.66999999"/>
    <n v="-15286189.119999999"/>
    <n v="1796508839.96"/>
    <n v="-1500808839.96"/>
    <n v="607.54"/>
    <n v="-507.54"/>
  </r>
  <r>
    <x v="80"/>
    <x v="9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0"/>
    <n v="146000000"/>
    <n v="146000000"/>
    <n v="0"/>
    <n v="0"/>
    <n v="0"/>
    <n v="0"/>
    <n v="0"/>
    <n v="0"/>
    <n v="0"/>
    <n v="0"/>
    <n v="0"/>
    <n v="9020375.5700000003"/>
    <n v="3335468.84"/>
    <n v="24424538.870000001"/>
    <n v="69446524.030000001"/>
    <n v="76553475.969999999"/>
    <n v="47.57"/>
    <n v="52.43"/>
  </r>
  <r>
    <x v="260"/>
    <x v="9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0"/>
    <n v="273000000"/>
    <n v="273000000"/>
    <n v="0"/>
    <n v="0"/>
    <n v="0"/>
    <n v="0"/>
    <n v="0"/>
    <n v="0"/>
    <n v="0"/>
    <n v="0"/>
    <n v="0"/>
    <n v="47852627.299999997"/>
    <n v="44045285.25"/>
    <n v="53441340.539999999"/>
    <n v="2203833183.04"/>
    <n v="-1930833183.04"/>
    <n v="807.26"/>
    <n v="-707.26"/>
  </r>
  <r>
    <x v="157"/>
    <x v="9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0"/>
    <n v="2198275019"/>
    <n v="2198275019"/>
    <n v="0"/>
    <n v="0"/>
    <n v="0"/>
    <n v="0"/>
    <n v="0"/>
    <n v="0"/>
    <n v="0"/>
    <n v="0"/>
    <n v="0"/>
    <n v="524425345.73000002"/>
    <n v="1106691452.48"/>
    <n v="865188003.36000001"/>
    <n v="5781196807.4099998"/>
    <n v="-3582921788.4099998"/>
    <n v="262.99"/>
    <n v="-162.99"/>
  </r>
  <r>
    <x v="158"/>
    <x v="9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0"/>
    <n v="2288000000"/>
    <n v="2288000000"/>
    <n v="0"/>
    <n v="0"/>
    <n v="0"/>
    <n v="0"/>
    <n v="0"/>
    <n v="0"/>
    <n v="0"/>
    <n v="0"/>
    <n v="0"/>
    <n v="268681034.44"/>
    <n v="128074603.34"/>
    <n v="225360730.72999999"/>
    <n v="2874972068.9000001"/>
    <n v="-586972068.89999998"/>
    <n v="125.65"/>
    <n v="-25.65"/>
  </r>
  <r>
    <x v="289"/>
    <x v="9"/>
    <x v="254"/>
    <n v="1"/>
    <x v="0"/>
    <n v="14"/>
    <x v="3"/>
    <n v="141"/>
    <x v="10"/>
    <n v="1411"/>
    <x v="46"/>
    <n v="141100"/>
    <x v="93"/>
    <n v="14110000"/>
    <x v="106"/>
    <n v="141100000"/>
    <x v="29"/>
    <n v="1411000000"/>
    <x v="1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7"/>
    <x v="9"/>
    <x v="261"/>
    <n v="1"/>
    <x v="0"/>
    <n v="14"/>
    <x v="3"/>
    <n v="141"/>
    <x v="10"/>
    <n v="1411"/>
    <x v="46"/>
    <n v="141101"/>
    <x v="93"/>
    <n v="14110100"/>
    <x v="107"/>
    <n v="141101000"/>
    <x v="0"/>
    <n v="1411010000"/>
    <x v="0"/>
    <n v="1"/>
    <s v="Ingresos corrientes"/>
    <n v="0"/>
    <n v="1450000000"/>
    <n v="1450000000"/>
    <n v="0"/>
    <n v="0"/>
    <n v="0"/>
    <n v="0"/>
    <n v="0"/>
    <n v="0"/>
    <n v="0"/>
    <n v="0"/>
    <n v="0"/>
    <n v="0"/>
    <n v="0"/>
    <n v="1450000000"/>
    <n v="1450000000"/>
    <n v="0"/>
    <n v="100"/>
    <n v="0"/>
  </r>
  <r>
    <x v="159"/>
    <x v="9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0"/>
    <n v="30242045597"/>
    <n v="30242045597"/>
    <n v="0"/>
    <n v="0"/>
    <n v="0"/>
    <n v="0"/>
    <n v="0"/>
    <n v="0"/>
    <n v="0"/>
    <n v="0"/>
    <n v="0"/>
    <n v="0"/>
    <n v="3598978632.8200002"/>
    <n v="882050097.70000005"/>
    <n v="28963278908"/>
    <n v="1278766689"/>
    <n v="95.77"/>
    <n v="4.2300000000000004"/>
  </r>
  <r>
    <x v="235"/>
    <x v="9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0"/>
    <n v="2500000000"/>
    <n v="2500000000"/>
    <n v="0"/>
    <n v="0"/>
    <n v="0"/>
    <n v="0"/>
    <n v="0"/>
    <n v="0"/>
    <n v="0"/>
    <n v="0"/>
    <n v="0"/>
    <n v="0"/>
    <n v="0"/>
    <n v="0"/>
    <n v="0"/>
    <n v="2500000000"/>
    <n v="0"/>
    <n v="100"/>
  </r>
  <r>
    <x v="160"/>
    <x v="9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0"/>
    <n v="14764602209"/>
    <n v="14764602209"/>
    <n v="0"/>
    <n v="0"/>
    <n v="0"/>
    <n v="0"/>
    <n v="0"/>
    <n v="0"/>
    <n v="0"/>
    <n v="0"/>
    <n v="0"/>
    <n v="1100450000"/>
    <n v="1055198750"/>
    <n v="1172615000"/>
    <n v="14988807500"/>
    <n v="-224205291"/>
    <n v="101.52"/>
    <n v="-1.52"/>
  </r>
  <r>
    <x v="196"/>
    <x v="9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0"/>
    <n v="2000000000"/>
    <n v="2000000000"/>
    <n v="0"/>
    <n v="0"/>
    <n v="0"/>
    <n v="0"/>
    <n v="0"/>
    <n v="0"/>
    <n v="0"/>
    <n v="0"/>
    <n v="0"/>
    <n v="166666666.66"/>
    <n v="333333333.33999997"/>
    <n v="500000000.00999999"/>
    <n v="2000000000.02"/>
    <n v="-0.02"/>
    <n v="100"/>
    <n v="0"/>
  </r>
  <r>
    <x v="208"/>
    <x v="9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0"/>
    <n v="71202325329"/>
    <n v="71202325329"/>
    <n v="0"/>
    <n v="0"/>
    <n v="0"/>
    <n v="0"/>
    <n v="0"/>
    <n v="0"/>
    <n v="0"/>
    <n v="0"/>
    <n v="0"/>
    <n v="5000000000"/>
    <n v="6740679211.75"/>
    <n v="10000000000"/>
    <n v="69380271107.5"/>
    <n v="1822054221.5"/>
    <n v="97.44"/>
    <n v="2.56"/>
  </r>
  <r>
    <x v="209"/>
    <x v="9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0"/>
    <n v="19157764215"/>
    <n v="19157764215"/>
    <n v="0"/>
    <n v="0"/>
    <n v="0"/>
    <n v="0"/>
    <n v="0"/>
    <n v="0"/>
    <n v="0"/>
    <n v="0"/>
    <n v="0"/>
    <n v="0"/>
    <n v="0"/>
    <n v="0"/>
    <n v="19156518689.619999"/>
    <n v="1245525.3799999999"/>
    <n v="99.99"/>
    <n v="0.01"/>
  </r>
  <r>
    <x v="210"/>
    <x v="9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0"/>
    <n v="48970000000"/>
    <n v="48970000000"/>
    <n v="0"/>
    <n v="0"/>
    <n v="0"/>
    <n v="0"/>
    <n v="0"/>
    <n v="0"/>
    <n v="0"/>
    <n v="0"/>
    <n v="0"/>
    <n v="0"/>
    <n v="9107702404"/>
    <n v="4800000000"/>
    <n v="45375827306.150002"/>
    <n v="3594172693.8499999"/>
    <n v="92.66"/>
    <n v="7.34"/>
  </r>
  <r>
    <x v="211"/>
    <x v="9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0"/>
    <n v="7177242240"/>
    <n v="7177242240"/>
    <n v="0"/>
    <n v="0"/>
    <n v="0"/>
    <n v="0"/>
    <n v="0"/>
    <n v="0"/>
    <n v="0"/>
    <n v="0"/>
    <n v="0"/>
    <n v="0"/>
    <n v="507856680"/>
    <n v="1794310560"/>
    <n v="7177242240"/>
    <n v="0"/>
    <n v="100"/>
    <n v="0"/>
  </r>
  <r>
    <x v="212"/>
    <x v="9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0"/>
    <n v="2795717800"/>
    <n v="2795717800"/>
    <n v="0"/>
    <n v="0"/>
    <n v="0"/>
    <n v="0"/>
    <n v="0"/>
    <n v="0"/>
    <n v="0"/>
    <n v="0"/>
    <n v="0"/>
    <n v="0"/>
    <n v="203359419"/>
    <n v="309645580"/>
    <n v="1564765126"/>
    <n v="1230952674"/>
    <n v="55.97"/>
    <n v="44.03"/>
  </r>
  <r>
    <x v="301"/>
    <x v="9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0"/>
    <n v="535000000"/>
    <n v="535000000"/>
    <n v="0"/>
    <n v="0"/>
    <n v="0"/>
    <n v="0"/>
    <n v="0"/>
    <n v="0"/>
    <n v="0"/>
    <n v="0"/>
    <n v="0"/>
    <n v="0"/>
    <n v="0"/>
    <n v="0"/>
    <n v="0"/>
    <n v="535000000"/>
    <n v="0"/>
    <n v="100"/>
  </r>
  <r>
    <x v="92"/>
    <x v="9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0"/>
    <n v="3403400000"/>
    <n v="3403400000"/>
    <n v="0"/>
    <n v="0"/>
    <n v="0"/>
    <n v="0"/>
    <n v="0"/>
    <n v="0"/>
    <n v="0"/>
    <n v="0"/>
    <n v="0"/>
    <n v="217210448.00999999"/>
    <n v="217741623.80000001"/>
    <n v="632158025.98000002"/>
    <n v="3018051466.54"/>
    <n v="385348533.45999998"/>
    <n v="88.68"/>
    <n v="11.32"/>
  </r>
  <r>
    <x v="269"/>
    <x v="9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0"/>
    <n v="446119040"/>
    <n v="446119040"/>
    <n v="0"/>
    <n v="0"/>
    <n v="0"/>
    <n v="0"/>
    <n v="0"/>
    <n v="0"/>
    <n v="0"/>
    <n v="0"/>
    <n v="0"/>
    <n v="0"/>
    <n v="0"/>
    <n v="0"/>
    <n v="0"/>
    <n v="446119040"/>
    <n v="0"/>
    <n v="100"/>
  </r>
  <r>
    <x v="270"/>
    <x v="9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0"/>
    <n v="409643380"/>
    <n v="409643380"/>
    <n v="0"/>
    <n v="0"/>
    <n v="0"/>
    <n v="0"/>
    <n v="0"/>
    <n v="0"/>
    <n v="0"/>
    <n v="0"/>
    <n v="0"/>
    <n v="0"/>
    <n v="243044950.50999999"/>
    <n v="43645832.100000001"/>
    <n v="505307513.06"/>
    <n v="-95664133.060000002"/>
    <n v="123.35"/>
    <n v="-23.35"/>
  </r>
  <r>
    <x v="272"/>
    <x v="9"/>
    <x v="239"/>
    <n v="1"/>
    <x v="0"/>
    <n v="14"/>
    <x v="3"/>
    <n v="141"/>
    <x v="10"/>
    <n v="1412"/>
    <x v="27"/>
    <n v="141208"/>
    <x v="86"/>
    <n v="14120800"/>
    <x v="0"/>
    <n v="141208000"/>
    <x v="0"/>
    <n v="141208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126332600"/>
    <n v="-126332600"/>
    <n v="0"/>
    <n v="100"/>
  </r>
  <r>
    <x v="298"/>
    <x v="9"/>
    <x v="262"/>
    <n v="1"/>
    <x v="0"/>
    <n v="14"/>
    <x v="3"/>
    <n v="141"/>
    <x v="10"/>
    <n v="1412"/>
    <x v="27"/>
    <n v="141211"/>
    <x v="99"/>
    <n v="14121100"/>
    <x v="0"/>
    <n v="141211000"/>
    <x v="0"/>
    <n v="1412110000"/>
    <x v="0"/>
    <n v="1"/>
    <s v="Ingresos corrientes"/>
    <n v="0"/>
    <n v="32664045"/>
    <n v="32664045"/>
    <n v="0"/>
    <n v="0"/>
    <n v="0"/>
    <n v="0"/>
    <n v="0"/>
    <n v="0"/>
    <n v="0"/>
    <n v="0"/>
    <n v="0"/>
    <n v="0"/>
    <n v="0"/>
    <n v="32664045"/>
    <n v="32664045"/>
    <n v="0"/>
    <n v="100"/>
    <n v="0"/>
  </r>
  <r>
    <x v="94"/>
    <x v="9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0"/>
    <n v="5400000"/>
    <n v="5400000"/>
    <n v="0"/>
    <n v="0"/>
    <n v="0"/>
    <n v="0"/>
    <n v="0"/>
    <n v="0"/>
    <n v="0"/>
    <n v="0"/>
    <n v="0"/>
    <n v="0"/>
    <n v="0"/>
    <n v="0"/>
    <n v="0"/>
    <n v="5400000"/>
    <n v="0"/>
    <n v="100"/>
  </r>
  <r>
    <x v="164"/>
    <x v="9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0"/>
    <n v="200000"/>
    <n v="200000"/>
    <n v="0"/>
    <n v="0"/>
    <n v="0"/>
    <n v="0"/>
    <n v="0"/>
    <n v="0"/>
    <n v="0"/>
    <n v="0"/>
    <n v="0"/>
    <n v="200000"/>
    <n v="0"/>
    <n v="0"/>
    <n v="200000"/>
    <n v="0"/>
    <n v="100"/>
    <n v="0"/>
  </r>
  <r>
    <x v="95"/>
    <x v="9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0"/>
    <n v="32900000"/>
    <n v="32900000"/>
    <n v="0"/>
    <n v="0"/>
    <n v="0"/>
    <n v="0"/>
    <n v="0"/>
    <n v="0"/>
    <n v="0"/>
    <n v="0"/>
    <n v="0"/>
    <n v="0"/>
    <n v="0"/>
    <n v="0"/>
    <n v="32900000"/>
    <n v="0"/>
    <n v="100"/>
    <n v="0"/>
  </r>
  <r>
    <x v="96"/>
    <x v="9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0"/>
    <n v="5100000"/>
    <n v="5100000"/>
    <n v="0"/>
    <n v="0"/>
    <n v="0"/>
    <n v="0"/>
    <n v="0"/>
    <n v="0"/>
    <n v="0"/>
    <n v="0"/>
    <n v="0"/>
    <n v="0"/>
    <n v="0"/>
    <n v="0"/>
    <n v="5100000"/>
    <n v="0"/>
    <n v="100"/>
    <n v="0"/>
  </r>
  <r>
    <x v="97"/>
    <x v="9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0"/>
    <n v="19500000"/>
    <n v="19500000"/>
    <n v="0"/>
    <n v="0"/>
    <n v="0"/>
    <n v="0"/>
    <n v="0"/>
    <n v="0"/>
    <n v="0"/>
    <n v="0"/>
    <n v="0"/>
    <n v="0"/>
    <n v="0"/>
    <n v="0"/>
    <n v="19500000"/>
    <n v="0"/>
    <n v="100"/>
    <n v="0"/>
  </r>
  <r>
    <x v="165"/>
    <x v="9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0"/>
    <n v="26700000"/>
    <n v="26700000"/>
    <n v="0"/>
    <n v="0"/>
    <n v="0"/>
    <n v="0"/>
    <n v="0"/>
    <n v="0"/>
    <n v="0"/>
    <n v="0"/>
    <n v="0"/>
    <n v="0"/>
    <n v="0"/>
    <n v="0"/>
    <n v="26700000"/>
    <n v="0"/>
    <n v="100"/>
    <n v="0"/>
  </r>
  <r>
    <x v="197"/>
    <x v="9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0"/>
    <n v="45100000"/>
    <n v="45100000"/>
    <n v="0"/>
    <n v="0"/>
    <n v="0"/>
    <n v="0"/>
    <n v="0"/>
    <n v="0"/>
    <n v="0"/>
    <n v="0"/>
    <n v="0"/>
    <n v="0"/>
    <n v="0"/>
    <n v="0"/>
    <n v="45100000"/>
    <n v="0"/>
    <n v="100"/>
    <n v="0"/>
  </r>
  <r>
    <x v="166"/>
    <x v="9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0"/>
    <n v="10500000"/>
    <n v="10500000"/>
    <n v="0"/>
    <n v="0"/>
    <n v="0"/>
    <n v="0"/>
    <n v="0"/>
    <n v="0"/>
    <n v="0"/>
    <n v="0"/>
    <n v="0"/>
    <n v="0"/>
    <n v="0"/>
    <n v="0"/>
    <n v="10500000"/>
    <n v="0"/>
    <n v="100"/>
    <n v="0"/>
  </r>
  <r>
    <x v="99"/>
    <x v="9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0"/>
    <n v="35000000"/>
    <n v="35000000"/>
    <n v="0"/>
    <n v="0"/>
    <n v="0"/>
    <n v="0"/>
    <n v="0"/>
    <n v="0"/>
    <n v="0"/>
    <n v="0"/>
    <n v="0"/>
    <n v="0"/>
    <n v="0"/>
    <n v="0"/>
    <n v="35000000"/>
    <n v="0"/>
    <n v="100"/>
    <n v="0"/>
  </r>
  <r>
    <x v="100"/>
    <x v="9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0"/>
    <n v="7000000"/>
    <n v="7000000"/>
    <n v="0"/>
    <n v="0"/>
    <n v="0"/>
    <n v="0"/>
    <n v="0"/>
    <n v="0"/>
    <n v="0"/>
    <n v="0"/>
    <n v="0"/>
    <n v="0"/>
    <n v="0"/>
    <n v="0"/>
    <n v="7000000"/>
    <n v="0"/>
    <n v="100"/>
    <n v="0"/>
  </r>
  <r>
    <x v="101"/>
    <x v="9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0"/>
    <n v="96300000"/>
    <n v="96300000"/>
    <n v="0"/>
    <n v="0"/>
    <n v="0"/>
    <n v="0"/>
    <n v="0"/>
    <n v="0"/>
    <n v="0"/>
    <n v="0"/>
    <n v="0"/>
    <n v="96300000"/>
    <n v="0"/>
    <n v="0"/>
    <n v="96300000"/>
    <n v="0"/>
    <n v="100"/>
    <n v="0"/>
  </r>
  <r>
    <x v="102"/>
    <x v="9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0"/>
    <n v="18400000"/>
    <n v="18400000"/>
    <n v="0"/>
    <n v="0"/>
    <n v="0"/>
    <n v="0"/>
    <n v="0"/>
    <n v="0"/>
    <n v="0"/>
    <n v="0"/>
    <n v="0"/>
    <n v="0"/>
    <n v="0"/>
    <n v="0"/>
    <n v="12850000"/>
    <n v="5550000"/>
    <n v="69.84"/>
    <n v="30.16"/>
  </r>
  <r>
    <x v="105"/>
    <x v="9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5119129099"/>
    <n v="5119129099"/>
    <n v="0"/>
    <n v="0"/>
    <n v="0"/>
    <n v="0"/>
    <n v="0"/>
    <n v="0"/>
    <n v="0"/>
    <n v="0"/>
    <n v="0"/>
    <n v="0"/>
    <n v="0"/>
    <n v="0"/>
    <n v="5119129099"/>
    <n v="0"/>
    <n v="100"/>
    <n v="0"/>
  </r>
  <r>
    <x v="167"/>
    <x v="9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0"/>
    <n v="421635661"/>
    <n v="421635661"/>
    <n v="0"/>
    <n v="0"/>
    <n v="0"/>
    <n v="0"/>
    <n v="0"/>
    <n v="0"/>
    <n v="0"/>
    <n v="0"/>
    <n v="0"/>
    <n v="70272610.159999996"/>
    <n v="0"/>
    <n v="35136305.079999998"/>
    <n v="432399518.42000002"/>
    <n v="-10763857.42"/>
    <n v="102.55"/>
    <n v="-2.5499999999999998"/>
  </r>
  <r>
    <x v="249"/>
    <x v="9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0"/>
    <n v="465948163"/>
    <n v="465948163"/>
    <n v="0"/>
    <n v="0"/>
    <n v="0"/>
    <n v="0"/>
    <n v="0"/>
    <n v="0"/>
    <n v="0"/>
    <n v="0"/>
    <n v="0"/>
    <n v="0"/>
    <n v="0"/>
    <n v="0"/>
    <n v="424329073"/>
    <n v="41619090"/>
    <n v="91.07"/>
    <n v="8.93"/>
  </r>
  <r>
    <x v="290"/>
    <x v="9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0"/>
    <n v="50000000"/>
    <n v="50000000"/>
    <n v="0"/>
    <n v="0"/>
    <n v="0"/>
    <n v="0"/>
    <n v="0"/>
    <n v="0"/>
    <n v="0"/>
    <n v="0"/>
    <n v="0"/>
    <n v="0"/>
    <n v="0"/>
    <n v="0"/>
    <n v="0"/>
    <n v="50000000"/>
    <n v="0"/>
    <n v="100"/>
  </r>
  <r>
    <x v="291"/>
    <x v="9"/>
    <x v="256"/>
    <n v="1"/>
    <x v="0"/>
    <n v="14"/>
    <x v="3"/>
    <n v="141"/>
    <x v="10"/>
    <n v="1413"/>
    <x v="28"/>
    <n v="141308"/>
    <x v="95"/>
    <n v="14130800"/>
    <x v="0"/>
    <n v="141308000"/>
    <x v="0"/>
    <n v="1413080000"/>
    <x v="3"/>
    <n v="1"/>
    <s v="Ingresos corrientes"/>
    <n v="0"/>
    <n v="100000000"/>
    <n v="100000000"/>
    <n v="0"/>
    <n v="0"/>
    <n v="0"/>
    <n v="0"/>
    <n v="0"/>
    <n v="0"/>
    <n v="0"/>
    <n v="0"/>
    <n v="0"/>
    <n v="0"/>
    <n v="0"/>
    <n v="0"/>
    <n v="100000000"/>
    <n v="0"/>
    <n v="100"/>
    <n v="0"/>
  </r>
  <r>
    <x v="106"/>
    <x v="9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0"/>
    <n v="482614150"/>
    <n v="482614150"/>
    <n v="0"/>
    <n v="0"/>
    <n v="0"/>
    <n v="0"/>
    <n v="0"/>
    <n v="0"/>
    <n v="0"/>
    <n v="0"/>
    <n v="0"/>
    <n v="68133713.909999996"/>
    <n v="110421153.20999999"/>
    <n v="50007176.93"/>
    <n v="887567604.02999997"/>
    <n v="-404953454.02999997"/>
    <n v="183.91"/>
    <n v="-83.91"/>
  </r>
  <r>
    <x v="107"/>
    <x v="9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0"/>
    <n v="116700000"/>
    <n v="116700000"/>
    <n v="0"/>
    <n v="0"/>
    <n v="0"/>
    <n v="0"/>
    <n v="0"/>
    <n v="0"/>
    <n v="0"/>
    <n v="0"/>
    <n v="0"/>
    <n v="0"/>
    <n v="0"/>
    <n v="0"/>
    <n v="116700000"/>
    <n v="0"/>
    <n v="100"/>
    <n v="0"/>
  </r>
  <r>
    <x v="108"/>
    <x v="9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0"/>
    <n v="196100000"/>
    <n v="196100000"/>
    <n v="0"/>
    <n v="0"/>
    <n v="0"/>
    <n v="0"/>
    <n v="0"/>
    <n v="0"/>
    <n v="0"/>
    <n v="0"/>
    <n v="0"/>
    <n v="0"/>
    <n v="0"/>
    <n v="0"/>
    <n v="345200000"/>
    <n v="-149100000"/>
    <n v="176.03"/>
    <n v="-76.03"/>
  </r>
  <r>
    <x v="109"/>
    <x v="9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0"/>
    <n v="14100000"/>
    <n v="14100000"/>
    <n v="0"/>
    <n v="0"/>
    <n v="0"/>
    <n v="0"/>
    <n v="0"/>
    <n v="0"/>
    <n v="0"/>
    <n v="0"/>
    <n v="0"/>
    <n v="-14700000"/>
    <n v="0"/>
    <n v="0"/>
    <n v="14100000"/>
    <n v="0"/>
    <n v="100"/>
    <n v="0"/>
  </r>
  <r>
    <x v="110"/>
    <x v="9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0"/>
    <n v="26400000"/>
    <n v="26400000"/>
    <n v="0"/>
    <n v="0"/>
    <n v="0"/>
    <n v="0"/>
    <n v="0"/>
    <n v="0"/>
    <n v="0"/>
    <n v="0"/>
    <n v="0"/>
    <n v="0"/>
    <n v="0"/>
    <n v="0"/>
    <n v="45300000"/>
    <n v="-18900000"/>
    <n v="171.59"/>
    <n v="-71.59"/>
  </r>
  <r>
    <x v="111"/>
    <x v="9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0"/>
    <n v="14100000"/>
    <n v="14100000"/>
    <n v="0"/>
    <n v="0"/>
    <n v="0"/>
    <n v="0"/>
    <n v="0"/>
    <n v="0"/>
    <n v="0"/>
    <n v="0"/>
    <n v="0"/>
    <n v="0"/>
    <n v="0"/>
    <n v="0"/>
    <n v="0"/>
    <n v="14100000"/>
    <n v="0"/>
    <n v="100"/>
  </r>
  <r>
    <x v="218"/>
    <x v="9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0"/>
    <n v="4900000"/>
    <n v="4900000"/>
    <n v="0"/>
    <n v="0"/>
    <n v="0"/>
    <n v="0"/>
    <n v="0"/>
    <n v="0"/>
    <n v="0"/>
    <n v="0"/>
    <n v="0"/>
    <n v="0"/>
    <n v="0"/>
    <n v="0"/>
    <n v="0"/>
    <n v="4900000"/>
    <n v="0"/>
    <n v="100"/>
  </r>
  <r>
    <x v="168"/>
    <x v="9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0"/>
    <n v="598700000"/>
    <n v="598700000"/>
    <n v="0"/>
    <n v="0"/>
    <n v="0"/>
    <n v="0"/>
    <n v="0"/>
    <n v="0"/>
    <n v="0"/>
    <n v="0"/>
    <n v="0"/>
    <n v="0"/>
    <n v="0"/>
    <n v="0"/>
    <n v="444800000"/>
    <n v="153900000"/>
    <n v="74.290000000000006"/>
    <n v="25.71"/>
  </r>
  <r>
    <x v="169"/>
    <x v="9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0"/>
    <n v="94300000"/>
    <n v="94300000"/>
    <n v="0"/>
    <n v="0"/>
    <n v="0"/>
    <n v="0"/>
    <n v="0"/>
    <n v="0"/>
    <n v="0"/>
    <n v="0"/>
    <n v="0"/>
    <n v="7858334"/>
    <n v="7858334"/>
    <n v="7858326"/>
    <n v="94300000"/>
    <n v="0"/>
    <n v="100"/>
    <n v="0"/>
  </r>
  <r>
    <x v="170"/>
    <x v="9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0"/>
    <n v="848600000"/>
    <n v="848600000"/>
    <n v="0"/>
    <n v="0"/>
    <n v="0"/>
    <n v="0"/>
    <n v="0"/>
    <n v="0"/>
    <n v="0"/>
    <n v="0"/>
    <n v="0"/>
    <n v="0"/>
    <n v="0"/>
    <n v="848600000"/>
    <n v="848600000"/>
    <n v="0"/>
    <n v="100"/>
    <n v="0"/>
  </r>
  <r>
    <x v="171"/>
    <x v="9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0"/>
    <n v="21000000"/>
    <n v="21000000"/>
    <n v="0"/>
    <n v="0"/>
    <n v="0"/>
    <n v="0"/>
    <n v="0"/>
    <n v="0"/>
    <n v="0"/>
    <n v="0"/>
    <n v="0"/>
    <n v="0"/>
    <n v="0"/>
    <n v="0"/>
    <n v="21000000"/>
    <n v="0"/>
    <n v="100"/>
    <n v="0"/>
  </r>
  <r>
    <x v="198"/>
    <x v="9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0"/>
    <n v="14700000"/>
    <n v="14700000"/>
    <n v="0"/>
    <n v="0"/>
    <n v="0"/>
    <n v="0"/>
    <n v="0"/>
    <n v="0"/>
    <n v="0"/>
    <n v="0"/>
    <n v="0"/>
    <n v="14700000"/>
    <n v="0"/>
    <n v="0"/>
    <n v="14700000"/>
    <n v="0"/>
    <n v="100"/>
    <n v="0"/>
  </r>
  <r>
    <x v="292"/>
    <x v="9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86173100"/>
    <n v="86173100"/>
    <n v="0"/>
    <n v="0"/>
    <n v="0"/>
    <n v="0"/>
    <n v="0"/>
    <n v="0"/>
    <n v="0"/>
    <n v="0"/>
    <n v="0"/>
    <n v="0"/>
    <n v="0"/>
    <n v="0"/>
    <n v="87541200"/>
    <n v="-1368100"/>
    <n v="101.59"/>
    <n v="-1.59"/>
  </r>
  <r>
    <x v="299"/>
    <x v="9"/>
    <x v="263"/>
    <n v="2"/>
    <x v="1"/>
    <n v="21"/>
    <x v="9"/>
    <n v="211"/>
    <x v="20"/>
    <n v="2113"/>
    <x v="47"/>
    <n v="211300"/>
    <x v="44"/>
    <n v="21130000"/>
    <x v="0"/>
    <n v="211300000"/>
    <x v="0"/>
    <n v="2113000000"/>
    <x v="0"/>
    <n v="4"/>
    <s v="-"/>
    <n v="0"/>
    <n v="0"/>
    <n v="0"/>
    <n v="0"/>
    <n v="0"/>
    <n v="0"/>
    <n v="0"/>
    <n v="0"/>
    <n v="0"/>
    <n v="0"/>
    <n v="0"/>
    <n v="0"/>
    <n v="0"/>
    <n v="0"/>
    <n v="52400000"/>
    <n v="52400000"/>
    <n v="-52400000"/>
    <n v="0"/>
    <n v="100"/>
  </r>
  <r>
    <x v="276"/>
    <x v="9"/>
    <x v="243"/>
    <n v="2"/>
    <x v="1"/>
    <n v="24"/>
    <x v="4"/>
    <n v="241"/>
    <x v="12"/>
    <n v="2412"/>
    <x v="33"/>
    <n v="241203"/>
    <x v="90"/>
    <n v="24120300"/>
    <x v="0"/>
    <n v="241203000"/>
    <x v="0"/>
    <n v="2412030000"/>
    <x v="0"/>
    <n v="60"/>
    <s v="Transferencia de capital OD"/>
    <n v="0"/>
    <n v="480306478"/>
    <n v="480306478"/>
    <n v="0"/>
    <n v="0"/>
    <n v="0"/>
    <n v="0"/>
    <n v="0"/>
    <n v="0"/>
    <n v="0"/>
    <n v="0"/>
    <n v="0"/>
    <n v="0"/>
    <n v="0"/>
    <n v="0"/>
    <n v="480306478.39999998"/>
    <n v="-0.4"/>
    <n v="100"/>
    <n v="0"/>
  </r>
  <r>
    <x v="293"/>
    <x v="9"/>
    <x v="238"/>
    <n v="2"/>
    <x v="1"/>
    <n v="24"/>
    <x v="4"/>
    <n v="241"/>
    <x v="12"/>
    <n v="2412"/>
    <x v="33"/>
    <n v="241206"/>
    <x v="97"/>
    <n v="24120600"/>
    <x v="0"/>
    <n v="241206000"/>
    <x v="0"/>
    <n v="2412060000"/>
    <x v="0"/>
    <n v="60"/>
    <s v="Transferencia de capital OD"/>
    <n v="0"/>
    <n v="561495892"/>
    <n v="561495892"/>
    <n v="0"/>
    <n v="0"/>
    <n v="0"/>
    <n v="0"/>
    <n v="0"/>
    <n v="0"/>
    <n v="0"/>
    <n v="0"/>
    <n v="0"/>
    <n v="0"/>
    <n v="0"/>
    <n v="0"/>
    <n v="561495892.44000006"/>
    <n v="-0.44"/>
    <n v="100"/>
    <n v="0"/>
  </r>
  <r>
    <x v="294"/>
    <x v="9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0"/>
    <n v="4304736470"/>
    <n v="4304736470"/>
    <n v="0"/>
    <n v="0"/>
    <n v="0"/>
    <n v="0"/>
    <n v="0"/>
    <n v="0"/>
    <n v="0"/>
    <n v="0"/>
    <n v="0"/>
    <n v="0"/>
    <n v="0"/>
    <n v="867051444"/>
    <n v="4304736471.1499996"/>
    <n v="-1.1499999999999999"/>
    <n v="100"/>
    <n v="0"/>
  </r>
  <r>
    <x v="277"/>
    <x v="9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147398886"/>
    <n v="1147398886"/>
    <n v="0"/>
    <n v="0"/>
    <n v="0"/>
    <n v="0"/>
    <n v="0"/>
    <n v="0"/>
    <n v="0"/>
    <n v="0"/>
    <n v="0"/>
    <n v="0"/>
    <n v="0"/>
    <n v="1447398886"/>
    <n v="1447398886"/>
    <n v="-300000000"/>
    <n v="126.15"/>
    <n v="-26.15"/>
  </r>
  <r>
    <x v="174"/>
    <x v="9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0"/>
    <n v="791159596958"/>
    <n v="791159596958"/>
    <n v="0"/>
    <n v="0"/>
    <n v="0"/>
    <n v="0"/>
    <n v="0"/>
    <n v="0"/>
    <n v="0"/>
    <n v="0"/>
    <n v="0"/>
    <n v="26614236823.029999"/>
    <n v="63106919990.279999"/>
    <n v="255320871489.07999"/>
    <n v="575117072521.81995"/>
    <n v="216042524436.17999"/>
    <n v="72.69"/>
    <n v="27.31"/>
  </r>
  <r>
    <x v="175"/>
    <x v="9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0"/>
    <n v="2804262340611"/>
    <n v="2804262340611"/>
    <n v="0"/>
    <n v="0"/>
    <n v="0"/>
    <n v="0"/>
    <n v="0"/>
    <n v="0"/>
    <n v="0"/>
    <n v="0"/>
    <n v="0"/>
    <n v="182373351452.32001"/>
    <n v="172210721858.63"/>
    <n v="109607038032.45"/>
    <n v="2420608853655.7998"/>
    <n v="383653486955.20001"/>
    <n v="86.32"/>
    <n v="13.68"/>
  </r>
  <r>
    <x v="200"/>
    <x v="9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0"/>
    <n v="4800500000"/>
    <n v="4800500000"/>
    <n v="0"/>
    <n v="0"/>
    <n v="0"/>
    <n v="0"/>
    <n v="0"/>
    <n v="0"/>
    <n v="0"/>
    <n v="0"/>
    <n v="0"/>
    <n v="0"/>
    <n v="0"/>
    <n v="0"/>
    <n v="0"/>
    <n v="4800500000"/>
    <n v="0"/>
    <n v="100"/>
  </r>
  <r>
    <x v="254"/>
    <x v="9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0"/>
    <n v="313000000"/>
    <n v="313000000"/>
    <n v="0"/>
    <n v="0"/>
    <n v="0"/>
    <n v="0"/>
    <n v="0"/>
    <n v="0"/>
    <n v="0"/>
    <n v="0"/>
    <n v="0"/>
    <n v="0"/>
    <n v="0"/>
    <n v="0"/>
    <n v="0"/>
    <n v="313000000"/>
    <n v="0"/>
    <n v="100"/>
  </r>
  <r>
    <x v="201"/>
    <x v="9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5455942119.5500002"/>
    <n v="3660154758.4200001"/>
    <n v="0"/>
    <n v="0"/>
    <n v="0"/>
    <n v="0"/>
    <n v="0"/>
    <n v="0"/>
    <n v="0"/>
    <n v="0"/>
    <n v="0"/>
    <n v="0"/>
    <n v="0"/>
    <n v="0"/>
    <n v="3660154758.4200001"/>
    <n v="1795787361.1300001"/>
    <n v="67.09"/>
    <n v="32.909999999999997"/>
  </r>
  <r>
    <x v="202"/>
    <x v="9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84279981.19999999"/>
    <n v="78151436.319999993"/>
    <n v="0"/>
    <n v="0"/>
    <n v="0"/>
    <n v="0"/>
    <n v="0"/>
    <n v="0"/>
    <n v="0"/>
    <n v="0"/>
    <n v="0"/>
    <n v="0"/>
    <n v="0"/>
    <n v="0"/>
    <n v="78151436.319999993"/>
    <n v="206128544.88"/>
    <n v="27.49"/>
    <n v="72.510000000000005"/>
  </r>
  <r>
    <x v="221"/>
    <x v="9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24368300711.77"/>
    <n v="23856623430.150002"/>
    <n v="0"/>
    <n v="0"/>
    <n v="0"/>
    <n v="0"/>
    <n v="0"/>
    <n v="0"/>
    <n v="0"/>
    <n v="0"/>
    <n v="0"/>
    <n v="0"/>
    <n v="0"/>
    <n v="1448053320.25"/>
    <n v="23856623430.150002"/>
    <n v="511677281.62"/>
    <n v="97.9"/>
    <n v="2.1"/>
  </r>
  <r>
    <x v="239"/>
    <x v="9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2763805162.219994"/>
    <n v="10890086981.050003"/>
    <n v="0"/>
    <n v="0"/>
    <n v="0"/>
    <n v="0"/>
    <n v="0"/>
    <n v="0"/>
    <n v="0"/>
    <n v="0"/>
    <n v="0"/>
    <n v="1368189842.51"/>
    <n v="1513603823.73"/>
    <n v="1386789655.1099999"/>
    <n v="10890086981.049999"/>
    <n v="11873718181.17"/>
    <n v="47.84"/>
    <n v="52.16"/>
  </r>
  <r>
    <x v="240"/>
    <x v="9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6310914477.3999996"/>
    <n v="5557605647.5900002"/>
    <n v="0"/>
    <n v="0"/>
    <n v="0"/>
    <n v="0"/>
    <n v="0"/>
    <n v="0"/>
    <n v="0"/>
    <n v="0"/>
    <n v="0"/>
    <n v="318165603.13999999"/>
    <n v="1243300437.1199999"/>
    <n v="92005650"/>
    <n v="5557605647.5900002"/>
    <n v="753308829.80999994"/>
    <n v="88.06"/>
    <n v="11.94"/>
  </r>
  <r>
    <x v="241"/>
    <x v="9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44762273049.110001"/>
    <n v="33496350000"/>
    <n v="0"/>
    <n v="0"/>
    <n v="0"/>
    <n v="0"/>
    <n v="0"/>
    <n v="0"/>
    <n v="0"/>
    <n v="0"/>
    <n v="0"/>
    <n v="0"/>
    <n v="25260750000"/>
    <n v="0"/>
    <n v="33496350000"/>
    <n v="11265923049.110001"/>
    <n v="74.83"/>
    <n v="25.17"/>
  </r>
  <r>
    <x v="264"/>
    <x v="9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8908541453.760002"/>
    <n v="3274662828.0800004"/>
    <n v="0"/>
    <n v="0"/>
    <n v="0"/>
    <n v="0"/>
    <n v="0"/>
    <n v="0"/>
    <n v="0"/>
    <n v="0"/>
    <n v="0"/>
    <n v="126497393.86"/>
    <n v="441802896.75"/>
    <n v="264572441.16999999"/>
    <n v="3274662828.0799999"/>
    <n v="15633878625.68"/>
    <n v="17.32"/>
    <n v="82.68"/>
  </r>
  <r>
    <x v="278"/>
    <x v="9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22319643100"/>
    <n v="2797053500"/>
    <n v="0"/>
    <n v="0"/>
    <n v="0"/>
    <n v="0"/>
    <n v="0"/>
    <n v="0"/>
    <n v="0"/>
    <n v="0"/>
    <n v="0"/>
    <n v="2797053500"/>
    <n v="0"/>
    <n v="0"/>
    <n v="2797053500"/>
    <n v="219522589600"/>
    <n v="1.26"/>
    <n v="98.74"/>
  </r>
  <r>
    <x v="279"/>
    <x v="9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27802000000"/>
    <n v="0"/>
    <n v="100"/>
  </r>
  <r>
    <x v="280"/>
    <x v="9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53052957835.120003"/>
    <n v="44057751996.360001"/>
    <n v="0"/>
    <n v="0"/>
    <n v="0"/>
    <n v="0"/>
    <n v="0"/>
    <n v="0"/>
    <n v="0"/>
    <n v="0"/>
    <n v="0"/>
    <n v="0"/>
    <n v="0"/>
    <n v="44057751996.360001"/>
    <n v="44057751996.360001"/>
    <n v="8995205838.7600002"/>
    <n v="83.04"/>
    <n v="16.96"/>
  </r>
  <r>
    <x v="281"/>
    <x v="9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158937200000"/>
    <n v="0"/>
    <n v="100"/>
  </r>
  <r>
    <x v="295"/>
    <x v="9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0"/>
    <n v="0"/>
    <n v="0"/>
    <n v="0"/>
    <n v="0"/>
    <n v="0"/>
    <n v="0"/>
    <n v="0"/>
    <n v="0"/>
    <n v="0"/>
    <n v="0"/>
    <n v="0"/>
    <n v="0"/>
    <n v="0"/>
    <n v="25831035543.599998"/>
    <n v="0"/>
    <n v="100"/>
  </r>
  <r>
    <x v="300"/>
    <x v="9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0"/>
    <n v="0"/>
    <n v="0"/>
    <n v="0"/>
    <n v="0"/>
    <n v="0"/>
    <n v="0"/>
    <n v="0"/>
    <n v="0"/>
    <n v="0"/>
    <n v="0"/>
    <n v="0"/>
    <n v="0"/>
    <n v="0"/>
    <n v="233377200000"/>
    <n v="0"/>
    <n v="100"/>
  </r>
  <r>
    <x v="176"/>
    <x v="9"/>
    <x v="156"/>
    <n v="3"/>
    <x v="2"/>
    <n v="32"/>
    <x v="7"/>
    <n v="321"/>
    <x v="16"/>
    <n v="3211"/>
    <x v="37"/>
    <n v="321103"/>
    <x v="56"/>
    <n v="32110304"/>
    <x v="0"/>
    <n v="321103040"/>
    <x v="0"/>
    <n v="3211030400"/>
    <x v="0"/>
    <n v="533"/>
    <s v="Crédito BIRF 7284-CR Proyecto Equidad y Eficiencia de la Educ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3"/>
    <x v="9"/>
    <x v="178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4"/>
    <s v="Crédito BIRF 7388-CR Proyecto Introducción Instrumentos Financieros para Gestión Ambien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04"/>
    <x v="9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7485079619.900002"/>
    <n v="0"/>
    <n v="0"/>
    <n v="0"/>
    <n v="0"/>
    <n v="0"/>
    <n v="0"/>
    <n v="0"/>
    <n v="0"/>
    <n v="0"/>
    <n v="0"/>
    <n v="0"/>
    <n v="0"/>
    <n v="0"/>
    <n v="0"/>
    <n v="17485079619.900002"/>
    <n v="0"/>
    <n v="100"/>
  </r>
  <r>
    <x v="256"/>
    <x v="9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93507716017.73999"/>
    <n v="19629142271.450001"/>
    <n v="0"/>
    <n v="0"/>
    <n v="0"/>
    <n v="0"/>
    <n v="0"/>
    <n v="0"/>
    <n v="0"/>
    <n v="0"/>
    <n v="0"/>
    <n v="5039080000"/>
    <n v="0"/>
    <n v="1115440000"/>
    <n v="19629142271.450001"/>
    <n v="73878573746.289993"/>
    <n v="20.99"/>
    <n v="79.010000000000005"/>
  </r>
  <r>
    <x v="224"/>
    <x v="9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25372337813.779999"/>
    <n v="7428611030.4899998"/>
    <n v="0"/>
    <n v="0"/>
    <n v="0"/>
    <n v="0"/>
    <n v="0"/>
    <n v="0"/>
    <n v="0"/>
    <n v="0"/>
    <n v="0"/>
    <n v="690352561.30999994"/>
    <n v="643229502.51999998"/>
    <n v="-2075832769.3199999"/>
    <n v="7428611030.4899998"/>
    <n v="17943726783.290001"/>
    <n v="29.28"/>
    <n v="70.72"/>
  </r>
  <r>
    <x v="225"/>
    <x v="9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12833174869.98"/>
    <n v="3436864125.1900001"/>
    <n v="0"/>
    <n v="0"/>
    <n v="0"/>
    <n v="0"/>
    <n v="0"/>
    <n v="0"/>
    <n v="0"/>
    <n v="0"/>
    <n v="0"/>
    <n v="44557201.5"/>
    <n v="0"/>
    <n v="0"/>
    <n v="3436864125.1900001"/>
    <n v="9396310744.7900009"/>
    <n v="26.78"/>
    <n v="73.22"/>
  </r>
  <r>
    <x v="177"/>
    <x v="9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800563269.12"/>
    <n v="513517292.57999998"/>
    <n v="0"/>
    <n v="0"/>
    <n v="0"/>
    <n v="0"/>
    <n v="0"/>
    <n v="0"/>
    <n v="0"/>
    <n v="0"/>
    <n v="0"/>
    <n v="0"/>
    <n v="0"/>
    <n v="81946441.700000003"/>
    <n v="513517292.57999998"/>
    <n v="287045976.54000002"/>
    <n v="64.14"/>
    <n v="35.86"/>
  </r>
  <r>
    <x v="296"/>
    <x v="9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3389977352.3299999"/>
    <n v="3389977352.3299999"/>
    <n v="0"/>
    <n v="0"/>
    <n v="0"/>
    <n v="0"/>
    <n v="0"/>
    <n v="0"/>
    <n v="0"/>
    <n v="0"/>
    <n v="0"/>
    <n v="0"/>
    <n v="0"/>
    <n v="718426687.33000004"/>
    <n v="3389977352.3299999"/>
    <n v="0"/>
    <n v="100"/>
    <n v="0"/>
  </r>
  <r>
    <x v="133"/>
    <x v="10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43488000000"/>
    <n v="243488000000"/>
    <n v="243488000000"/>
    <n v="19399732111.130001"/>
    <n v="17656113344.41"/>
    <n v="19254702611.919998"/>
    <n v="20794066941.119999"/>
    <n v="18842215762.509998"/>
    <n v="20588170347.880001"/>
    <n v="19926793652.450001"/>
    <n v="19230102494.759998"/>
    <n v="19830122415.689999"/>
    <n v="23554187192.650002"/>
    <n v="20165422506.5"/>
    <n v="21330585340.5"/>
    <n v="240572214721.51999"/>
    <n v="2915785278.48"/>
    <n v="98.8"/>
    <n v="1.2"/>
  </r>
  <r>
    <x v="134"/>
    <x v="10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45000000000"/>
    <n v="145000000000"/>
    <n v="145000000000"/>
    <n v="13553286750.98"/>
    <n v="11520709222.51"/>
    <n v="12819781646.09"/>
    <n v="17395360057.450001"/>
    <n v="12935356080.27"/>
    <n v="13622398837.700001"/>
    <n v="12529310376.629999"/>
    <n v="12362705562.129999"/>
    <n v="12547407043.280001"/>
    <n v="13159878070.620001"/>
    <n v="12544369740.879999"/>
    <n v="12843258305.1"/>
    <n v="157833821693.64001"/>
    <n v="-12833821693.639999"/>
    <n v="108.85"/>
    <n v="-8.85"/>
  </r>
  <r>
    <x v="135"/>
    <x v="10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64975000000"/>
    <n v="64975000000"/>
    <n v="64975000000"/>
    <n v="1761285704.3599999"/>
    <n v="752917809.17999995"/>
    <n v="5238284614.8599997"/>
    <n v="2476536916.6500001"/>
    <n v="916280095.36000001"/>
    <n v="5087070776.4499998"/>
    <n v="2593265419.3600001"/>
    <n v="659619667.00999999"/>
    <n v="4839095584.0200005"/>
    <n v="3541147397.5"/>
    <n v="2622069437.6399999"/>
    <n v="17625728919.77"/>
    <n v="48113302342.160004"/>
    <n v="16861697657.84"/>
    <n v="74.05"/>
    <n v="25.95"/>
  </r>
  <r>
    <x v="180"/>
    <x v="10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00000000000"/>
    <n v="100000000000"/>
    <n v="100000000000"/>
    <n v="10183101923.059999"/>
    <n v="4962248645.7299995"/>
    <n v="20686643712.82"/>
    <n v="5838102679.7299995"/>
    <n v="5237821814.8599997"/>
    <n v="17060653579.76"/>
    <n v="6206065179.6599998"/>
    <n v="5576547037.6599998"/>
    <n v="16583657186.440001"/>
    <n v="6406206083.3299999"/>
    <n v="6005482426.1199999"/>
    <n v="17551964926.290001"/>
    <n v="122298495195.46001"/>
    <n v="-22298495195.459999"/>
    <n v="122.3"/>
    <n v="-22.3"/>
  </r>
  <r>
    <x v="137"/>
    <x v="10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683550000000"/>
    <n v="683550000000"/>
    <n v="683550000000"/>
    <n v="17366773667.23"/>
    <n v="14505265859.860001"/>
    <n v="160681537789.19"/>
    <n v="19782228865.049999"/>
    <n v="11776548518.66"/>
    <n v="126685350477.53999"/>
    <n v="20374828517.18"/>
    <n v="11056017282.73"/>
    <n v="120372729717.03999"/>
    <n v="25745331707.630001"/>
    <n v="15266052478.389999"/>
    <n v="177968152330.48999"/>
    <n v="721580817210.98999"/>
    <n v="-38030817210.989998"/>
    <n v="105.56"/>
    <n v="-5.56"/>
  </r>
  <r>
    <x v="181"/>
    <x v="10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723000000"/>
    <n v="723000000"/>
    <n v="723000000"/>
    <n v="19312771"/>
    <n v="353510779"/>
    <n v="94688996.920000002"/>
    <n v="41863600"/>
    <n v="44088126"/>
    <n v="27516629.73"/>
    <n v="34726722"/>
    <n v="22166865"/>
    <n v="29877626"/>
    <n v="27024245"/>
    <n v="46811471"/>
    <n v="92213856"/>
    <n v="833801687.64999998"/>
    <n v="-110801687.65000001"/>
    <n v="115.33"/>
    <n v="-15.33"/>
  </r>
  <r>
    <x v="138"/>
    <x v="10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31122000000"/>
    <n v="31122000000"/>
    <n v="31122000000"/>
    <n v="3745036033.4699998"/>
    <n v="1568715324.71"/>
    <n v="2680006056.6500001"/>
    <n v="2371597305.04"/>
    <n v="1243463892.77"/>
    <n v="1525355823.6800001"/>
    <n v="5603780499.9399996"/>
    <n v="2173909420.6900001"/>
    <n v="930921548.90999997"/>
    <n v="1867836109.3499999"/>
    <n v="2494556673.5700002"/>
    <n v="4912414618.5600004"/>
    <n v="31117593307.34"/>
    <n v="4406692.66"/>
    <n v="99.99"/>
    <n v="0.01"/>
  </r>
  <r>
    <x v="182"/>
    <x v="10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43783000000"/>
    <n v="43783000000"/>
    <n v="43783000000"/>
    <n v="5992506069.4799995"/>
    <n v="2651587202.23"/>
    <n v="1145006997.1400001"/>
    <n v="6812285098.3100004"/>
    <n v="2626796798.3299999"/>
    <n v="4934673358.2600002"/>
    <n v="4953897017.6000004"/>
    <n v="2530441773.54"/>
    <n v="1456692917.1500001"/>
    <n v="5953557644.6700001"/>
    <n v="2347775348.4400001"/>
    <n v="5580904637.5299997"/>
    <n v="46986124862.68"/>
    <n v="-3203124862.6799998"/>
    <n v="107.32"/>
    <n v="-7.32"/>
  </r>
  <r>
    <x v="183"/>
    <x v="10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0572000000"/>
    <n v="20572000000"/>
    <n v="20572000000"/>
    <n v="1502905714.55"/>
    <n v="1677883683.05"/>
    <n v="1476663291.3599999"/>
    <n v="1572023033.3499999"/>
    <n v="1773401537.02"/>
    <n v="1595890258.5899999"/>
    <n v="1817456470.1199999"/>
    <n v="1873004315.73"/>
    <n v="1905197506.3499999"/>
    <n v="1851803710.0599999"/>
    <n v="2121483434.26"/>
    <n v="2261276651.1599998"/>
    <n v="21428989605.599998"/>
    <n v="-856989605.60000002"/>
    <n v="104.17"/>
    <n v="-4.17"/>
  </r>
  <r>
    <x v="184"/>
    <x v="10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62000000000"/>
    <n v="162000000000"/>
    <n v="162000000000"/>
    <n v="22945360397.77"/>
    <n v="9397123545.6499996"/>
    <n v="16352230281.27"/>
    <n v="11638291867.16"/>
    <n v="9814202710.8999996"/>
    <n v="15206801712.860001"/>
    <n v="18630809954.560001"/>
    <n v="9169235134.2999992"/>
    <n v="18434509978.290001"/>
    <n v="12618108639.18"/>
    <n v="12283771528.299999"/>
    <n v="14789937988.870001"/>
    <n v="171280383739.10999"/>
    <n v="-9280383739.1100006"/>
    <n v="105.73"/>
    <n v="-5.73"/>
  </r>
  <r>
    <x v="18"/>
    <x v="10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0"/>
    <n v="0"/>
    <n v="0"/>
    <n v="4489975.66"/>
    <n v="1442636.47"/>
    <n v="1576169.47"/>
    <n v="1063655.3999999999"/>
    <n v="2154510.4"/>
    <n v="1430594.99"/>
    <n v="1423596.36"/>
    <n v="1734728.7"/>
    <n v="2188092.91"/>
    <n v="17503960.359999999"/>
    <n v="-17503960.359999999"/>
    <n v="0"/>
    <n v="100"/>
  </r>
  <r>
    <x v="186"/>
    <x v="10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000000000"/>
    <n v="4000000000"/>
    <n v="4000000000"/>
    <n v="3414956158"/>
    <n v="171385666"/>
    <n v="136582818"/>
    <n v="85358541"/>
    <n v="59835887"/>
    <n v="64728651.030000001"/>
    <n v="43470428"/>
    <n v="78577084"/>
    <n v="23807910"/>
    <n v="51026451"/>
    <n v="47173178"/>
    <n v="77712455"/>
    <n v="4254615227.0300002"/>
    <n v="-254615227.03"/>
    <n v="106.37"/>
    <n v="-6.37"/>
  </r>
  <r>
    <x v="141"/>
    <x v="10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3000000000"/>
    <n v="183000000000"/>
    <n v="183000000000"/>
    <n v="9111209288.0100002"/>
    <n v="3357857969.04"/>
    <n v="2488314301.1500001"/>
    <n v="1946218282.23"/>
    <n v="2854476474.27"/>
    <n v="2129769542.1600001"/>
    <n v="928623503"/>
    <n v="1112739635.45"/>
    <n v="1056931237.66"/>
    <n v="704973302.01999998"/>
    <n v="22003744629.759998"/>
    <n v="116339335927.67999"/>
    <n v="164034194092.42999"/>
    <n v="18965805907.57"/>
    <n v="89.64"/>
    <n v="10.36"/>
  </r>
  <r>
    <x v="21"/>
    <x v="10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7000000"/>
    <n v="177000000"/>
    <n v="177000000"/>
    <n v="13899713"/>
    <n v="5239126"/>
    <n v="3850742"/>
    <n v="2798453"/>
    <n v="3098168"/>
    <n v="2732052"/>
    <n v="7126271"/>
    <n v="1869135"/>
    <n v="1883623"/>
    <n v="1484469"/>
    <n v="149778447"/>
    <n v="1090609069"/>
    <n v="1284369268"/>
    <n v="-1107369268"/>
    <n v="725.63"/>
    <n v="-625.63"/>
  </r>
  <r>
    <x v="22"/>
    <x v="10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12000000"/>
    <n v="412000000"/>
    <n v="412000000"/>
    <n v="27078251.100000001"/>
    <n v="19245058.870000001"/>
    <n v="18281865.359999999"/>
    <n v="178401730.75"/>
    <n v="66972759.43"/>
    <n v="102939893.20999999"/>
    <n v="16823540.030000001"/>
    <n v="9779027.4000000004"/>
    <n v="11393956.93"/>
    <n v="18619652.129999999"/>
    <n v="20485300.710000001"/>
    <n v="17774652.059999999"/>
    <n v="507795687.98000002"/>
    <n v="-95795687.980000004"/>
    <n v="123.25"/>
    <n v="-23.25"/>
  </r>
  <r>
    <x v="229"/>
    <x v="10"/>
    <x v="198"/>
    <n v="1"/>
    <x v="0"/>
    <n v="11"/>
    <x v="0"/>
    <n v="112"/>
    <x v="1"/>
    <n v="1123"/>
    <x v="6"/>
    <n v="112302"/>
    <x v="71"/>
    <n v="11230200"/>
    <x v="0"/>
    <n v="112302000"/>
    <x v="0"/>
    <n v="1123020000"/>
    <x v="0"/>
    <n v="1"/>
    <s v="Ingresos corrientes"/>
    <n v="1000000000"/>
    <n v="1000000000"/>
    <n v="1000000000"/>
    <n v="352029182.11000001"/>
    <n v="552998194.99000001"/>
    <n v="435768842.75999999"/>
    <n v="233436062.80000001"/>
    <n v="476573841.73000002"/>
    <n v="373406366.94"/>
    <n v="322430683.50999999"/>
    <n v="756183847.66999996"/>
    <n v="42691796.840000004"/>
    <n v="0"/>
    <n v="0"/>
    <n v="0"/>
    <n v="3545518819.3499999"/>
    <n v="-2545518819.3499999"/>
    <n v="354.55"/>
    <n v="-254.55"/>
  </r>
  <r>
    <x v="302"/>
    <x v="10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0"/>
    <n v="6825000000"/>
    <n v="6825000000"/>
    <n v="0"/>
    <n v="0"/>
    <n v="0"/>
    <n v="0"/>
    <n v="0"/>
    <n v="0"/>
    <n v="0"/>
    <n v="0"/>
    <n v="2488701730"/>
    <n v="4020420644.0900002"/>
    <n v="1636510949.3299999"/>
    <n v="1946848634.28"/>
    <n v="10092481957.700001"/>
    <n v="-3267481957.6999998"/>
    <n v="147.88"/>
    <n v="-47.88"/>
  </r>
  <r>
    <x v="23"/>
    <x v="10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0200000000"/>
    <n v="40200000000"/>
    <n v="40200000000"/>
    <n v="2563682519"/>
    <n v="3486701822"/>
    <n v="3449797749"/>
    <n v="3258342356"/>
    <n v="3422324852"/>
    <n v="3583789800.5"/>
    <n v="3115591314"/>
    <n v="3809303252"/>
    <n v="2982714632.73"/>
    <n v="2693688047.7800002"/>
    <n v="3103439810"/>
    <n v="3329648119.5"/>
    <n v="38799024274.510002"/>
    <n v="1400975725.49"/>
    <n v="96.51"/>
    <n v="3.49"/>
  </r>
  <r>
    <x v="24"/>
    <x v="10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5000000000"/>
    <n v="25000000000"/>
    <n v="25000000000"/>
    <n v="1875701925"/>
    <n v="1951518550"/>
    <n v="2096243773.8399999"/>
    <n v="1366156866.6300001"/>
    <n v="1889310557"/>
    <n v="1943932519"/>
    <n v="1698048389"/>
    <n v="1929619998"/>
    <n v="1693065135"/>
    <n v="1758681902.5599999"/>
    <n v="2036450282"/>
    <n v="1632934379"/>
    <n v="21871664277.029999"/>
    <n v="3128335722.9699998"/>
    <n v="87.49"/>
    <n v="12.51"/>
  </r>
  <r>
    <x v="142"/>
    <x v="10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400000000"/>
    <n v="828400000000"/>
    <n v="828400000000"/>
    <n v="81463650557.25"/>
    <n v="63199794615.080002"/>
    <n v="61936712085.410004"/>
    <n v="60117410380.099998"/>
    <n v="63128167259.18"/>
    <n v="59570557122.940002"/>
    <n v="59567443447.07"/>
    <n v="62659069467.099998"/>
    <n v="60273948923.650002"/>
    <n v="57076252093.519997"/>
    <n v="59459944417.779999"/>
    <n v="66631846299.239998"/>
    <n v="755084796668.31995"/>
    <n v="73315203331.679993"/>
    <n v="91.15"/>
    <n v="8.85"/>
  </r>
  <r>
    <x v="187"/>
    <x v="10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34600000000"/>
    <n v="734600000000"/>
    <n v="734600000000"/>
    <n v="54137541335.389999"/>
    <n v="51051489861.529999"/>
    <n v="63298005864.660004"/>
    <n v="50354742590.970001"/>
    <n v="61467854300.540001"/>
    <n v="60313665570.650002"/>
    <n v="52803885947.279999"/>
    <n v="58240786004.260002"/>
    <n v="55369186009.43"/>
    <n v="64061682793.080002"/>
    <n v="71688490449.449997"/>
    <n v="55475734324.839996"/>
    <n v="698263065052.07996"/>
    <n v="36336934947.919998"/>
    <n v="95.05"/>
    <n v="4.95"/>
  </r>
  <r>
    <x v="188"/>
    <x v="10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4500000000"/>
    <n v="24500000000"/>
    <n v="2917176922.6900001"/>
    <n v="916989685.34000003"/>
    <n v="1455371014.2"/>
    <n v="4756437437.8800001"/>
    <n v="1034397550.26"/>
    <n v="1125812673.48"/>
    <n v="1683792097.3199999"/>
    <n v="3887189105.9499998"/>
    <n v="947022282.70000005"/>
    <n v="787701497.40999997"/>
    <n v="1073766237.02"/>
    <n v="1554830708.5999999"/>
    <n v="22140487212.849998"/>
    <n v="2359512787.1500001"/>
    <n v="90.37"/>
    <n v="9.6300000000000008"/>
  </r>
  <r>
    <x v="189"/>
    <x v="10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66000000000"/>
    <n v="266000000000"/>
    <n v="266000000000"/>
    <n v="16711895008.790001"/>
    <n v="15701892046.120001"/>
    <n v="23963301080.439999"/>
    <n v="20798719366.68"/>
    <n v="20138257052.560001"/>
    <n v="16834926872.030001"/>
    <n v="15202971759.33"/>
    <n v="15789203070.6"/>
    <n v="18486650180.25"/>
    <n v="18317021689.490002"/>
    <n v="23427242213.810001"/>
    <n v="16262086165.809999"/>
    <n v="221634166505.91"/>
    <n v="44365833494.089996"/>
    <n v="83.32"/>
    <n v="16.68"/>
  </r>
  <r>
    <x v="30"/>
    <x v="10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280440000000"/>
    <n v="280440000000"/>
    <n v="280440000000"/>
    <n v="19987907200"/>
    <n v="32709852882"/>
    <n v="21954016500"/>
    <n v="25545494901"/>
    <n v="29834127341"/>
    <n v="27854851611"/>
    <n v="21186287631"/>
    <n v="23249604836"/>
    <n v="33426983703"/>
    <n v="19492910248"/>
    <n v="17237736067"/>
    <n v="35711949237"/>
    <n v="308191722157"/>
    <n v="-27751722157"/>
    <n v="109.9"/>
    <n v="-9.9"/>
  </r>
  <r>
    <x v="31"/>
    <x v="10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1560000000"/>
    <n v="211560000000"/>
    <n v="211560000000"/>
    <n v="19537653064.959999"/>
    <n v="15117875141.16"/>
    <n v="21221497724.23"/>
    <n v="15590533154.93"/>
    <n v="21212993070.459999"/>
    <n v="13866040302.629999"/>
    <n v="13076369927.780001"/>
    <n v="13587360180.49"/>
    <n v="13739575465.23"/>
    <n v="13901584580.530001"/>
    <n v="20964514893.27"/>
    <n v="20251710201.419998"/>
    <n v="202067707707.09"/>
    <n v="9492292292.9099998"/>
    <n v="95.51"/>
    <n v="4.49"/>
  </r>
  <r>
    <x v="32"/>
    <x v="10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1300000000"/>
    <n v="31300000000"/>
    <n v="31300000000"/>
    <n v="3635780826.6199999"/>
    <n v="2182720832.48"/>
    <n v="1789009715.6800001"/>
    <n v="3268218579"/>
    <n v="2812391201.4400001"/>
    <n v="2701869557.3699999"/>
    <n v="2337168954.3800001"/>
    <n v="2682793344.5"/>
    <n v="2879322269.0700002"/>
    <n v="2541994231.48"/>
    <n v="2475262321.54"/>
    <n v="3352323728.8299999"/>
    <n v="32658855562.389999"/>
    <n v="-1358855562.3900001"/>
    <n v="104.34"/>
    <n v="-4.34"/>
  </r>
  <r>
    <x v="33"/>
    <x v="10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2000000000"/>
    <n v="12000000000"/>
    <n v="12000000000"/>
    <n v="683147540.88"/>
    <n v="783044314.86000001"/>
    <n v="965775491.86000001"/>
    <n v="852838671.77999997"/>
    <n v="727644785.34000003"/>
    <n v="629597445.27999997"/>
    <n v="662469411.40999997"/>
    <n v="839734211.71000004"/>
    <n v="727007971.44000006"/>
    <n v="1249308632.8699999"/>
    <n v="1377633334.04"/>
    <n v="1019374208.28"/>
    <n v="10517576019.75"/>
    <n v="1482423980.25"/>
    <n v="87.65"/>
    <n v="12.35"/>
  </r>
  <r>
    <x v="34"/>
    <x v="10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000000000"/>
    <n v="40000000000"/>
    <n v="40000000000"/>
    <n v="3401080298.6399999"/>
    <n v="2616566734.6700001"/>
    <n v="2721784824.6199999"/>
    <n v="3308875161.4200001"/>
    <n v="3123560287.48"/>
    <n v="3068643611.4699998"/>
    <n v="2906807209.79"/>
    <n v="2895460211.98"/>
    <n v="2979152163.98"/>
    <n v="2891207660.1100001"/>
    <n v="3053589981.3699999"/>
    <n v="3092708967.52"/>
    <n v="36059437113.050003"/>
    <n v="3940562886.9499998"/>
    <n v="90.15"/>
    <n v="9.85"/>
  </r>
  <r>
    <x v="35"/>
    <x v="10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000000000"/>
    <n v="4000000000"/>
    <n v="4000000000"/>
    <n v="273343524.12"/>
    <n v="253089694.78999999"/>
    <n v="310115091.74000001"/>
    <n v="208058455.61000001"/>
    <n v="274392208.66000003"/>
    <n v="310917372.22000003"/>
    <n v="364652219.49000001"/>
    <n v="366373115.5"/>
    <n v="294089713.66000003"/>
    <n v="374306809.70999998"/>
    <n v="380865688.26999998"/>
    <n v="310907133.30000001"/>
    <n v="3721111027.0700002"/>
    <n v="278888972.93000001"/>
    <n v="93.03"/>
    <n v="6.97"/>
  </r>
  <r>
    <x v="190"/>
    <x v="10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60000000"/>
    <n v="3260000000"/>
    <n v="3260000000"/>
    <n v="219735682.81"/>
    <n v="213358803.63"/>
    <n v="230249812.31999999"/>
    <n v="166734981.58000001"/>
    <n v="227870298.28"/>
    <n v="235401088.72999999"/>
    <n v="149988507.56"/>
    <n v="202868614.11000001"/>
    <n v="166032069.38"/>
    <n v="222865977.25999999"/>
    <n v="143977227.41999999"/>
    <n v="152951134.87"/>
    <n v="2332034197.9499998"/>
    <n v="927965802.04999995"/>
    <n v="71.53"/>
    <n v="28.47"/>
  </r>
  <r>
    <x v="144"/>
    <x v="10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65000000"/>
    <n v="265000000"/>
    <n v="265000000"/>
    <n v="39335209.409999996"/>
    <n v="21977600.039999999"/>
    <n v="24929231.550000001"/>
    <n v="0"/>
    <n v="49965893.530000001"/>
    <n v="0"/>
    <n v="26889135.68"/>
    <n v="51357398.259999998"/>
    <n v="0"/>
    <n v="49222338.030000001"/>
    <n v="22675782.010000002"/>
    <n v="24934531.600000001"/>
    <n v="311287120.11000001"/>
    <n v="-46287120.109999999"/>
    <n v="117.47"/>
    <n v="-17.47"/>
  </r>
  <r>
    <x v="230"/>
    <x v="10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20000000000"/>
    <n v="20000000000"/>
    <n v="20000000000"/>
    <n v="2851703427.3000002"/>
    <n v="366496320"/>
    <n v="1201792559.5599999"/>
    <n v="5917840239.5"/>
    <n v="357477120"/>
    <n v="525181185"/>
    <n v="1359621120"/>
    <n v="4474042144"/>
    <n v="168374731.80000001"/>
    <n v="150704611.19999999"/>
    <n v="362373440"/>
    <n v="523448640"/>
    <n v="18259055538.360001"/>
    <n v="1740944461.6400001"/>
    <n v="91.3"/>
    <n v="8.6999999999999993"/>
  </r>
  <r>
    <x v="231"/>
    <x v="10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6400000000"/>
    <n v="16400000000"/>
    <n v="16400000000"/>
    <n v="1378255897.74"/>
    <n v="861993603.85000002"/>
    <n v="2010432000"/>
    <n v="1162586037.74"/>
    <n v="601058064"/>
    <n v="675269142.90999997"/>
    <n v="527354364"/>
    <n v="1021539165"/>
    <n v="1239583399"/>
    <n v="873700192"/>
    <n v="1117244064"/>
    <n v="862310027.59000003"/>
    <n v="12331325957.83"/>
    <n v="4068674042.1700001"/>
    <n v="75.19"/>
    <n v="24.81"/>
  </r>
  <r>
    <x v="37"/>
    <x v="10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133000000"/>
    <n v="1133000000"/>
    <n v="1133000000"/>
    <n v="132710385.33"/>
    <n v="82852173.439999998"/>
    <n v="87468932.900000006"/>
    <n v="76835299.189999998"/>
    <n v="29306855.079999998"/>
    <n v="59475017.460000001"/>
    <n v="49262692.420000002"/>
    <n v="61333225.469999999"/>
    <n v="60342657.890000001"/>
    <n v="45295541.149999999"/>
    <n v="75900794.180000007"/>
    <n v="64321286.399999999"/>
    <n v="825104860.90999997"/>
    <n v="307895139.08999997"/>
    <n v="72.819999999999993"/>
    <n v="27.18"/>
  </r>
  <r>
    <x v="244"/>
    <x v="10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2000000"/>
    <n v="52000000"/>
    <n v="52000000"/>
    <n v="0"/>
    <n v="0"/>
    <n v="16846350"/>
    <n v="0"/>
    <n v="0"/>
    <n v="18220050"/>
    <n v="0"/>
    <n v="0"/>
    <n v="18220050"/>
    <n v="0"/>
    <n v="0"/>
    <n v="12146700"/>
    <n v="65433150"/>
    <n v="-13433150"/>
    <n v="125.83"/>
    <n v="-25.83"/>
  </r>
  <r>
    <x v="145"/>
    <x v="10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9000000000"/>
    <n v="179000000000"/>
    <n v="179000000000"/>
    <n v="12629754127.950001"/>
    <n v="11139139653.58"/>
    <n v="12350384258.98"/>
    <n v="9572608198.6599998"/>
    <n v="12871984232.01"/>
    <n v="12569363630.85"/>
    <n v="11754339433.91"/>
    <n v="12783264492.35"/>
    <n v="12391433587.91"/>
    <n v="15237091881.870001"/>
    <n v="16075766187.24"/>
    <n v="13380377891.809999"/>
    <n v="152755507577.12"/>
    <n v="26244492422.880001"/>
    <n v="85.34"/>
    <n v="14.66"/>
  </r>
  <r>
    <x v="40"/>
    <x v="10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000000000"/>
    <n v="29000000000"/>
    <n v="29000000000"/>
    <n v="2056564528.3800001"/>
    <n v="1924847099.53"/>
    <n v="2388352899.02"/>
    <n v="1941970453.9100001"/>
    <n v="2362566847.2399998"/>
    <n v="2333690828.9099998"/>
    <n v="2095552514.0599999"/>
    <n v="2213869132.4000001"/>
    <n v="2099455416.5999999"/>
    <n v="2356562187.5500002"/>
    <n v="2574642916.6399999"/>
    <n v="2084329957.28"/>
    <n v="26432404781.52"/>
    <n v="2567595218.48"/>
    <n v="91.15"/>
    <n v="8.85"/>
  </r>
  <r>
    <x v="41"/>
    <x v="10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100000000"/>
    <n v="3100000000"/>
    <n v="3100000000"/>
    <n v="315746680.82999998"/>
    <n v="294268204.30000001"/>
    <n v="302493497.61000001"/>
    <n v="247860999.65000001"/>
    <n v="364322880.81999999"/>
    <n v="324982632.75999999"/>
    <n v="282261764.94999999"/>
    <n v="286877798.73000002"/>
    <n v="303586749.36000001"/>
    <n v="338903808.20999998"/>
    <n v="342806033.56999999"/>
    <n v="269235521.02999997"/>
    <n v="3673346571.8200002"/>
    <n v="-573346571.82000005"/>
    <n v="118.5"/>
    <n v="-18.5"/>
  </r>
  <r>
    <x v="42"/>
    <x v="10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65000000"/>
    <n v="165000000"/>
    <n v="165000000"/>
    <n v="17492410.5"/>
    <n v="16179823.5"/>
    <n v="16686159"/>
    <n v="13590220.5"/>
    <n v="19769119.5"/>
    <n v="17548476"/>
    <n v="15290679"/>
    <n v="15089970.66"/>
    <n v="16259175"/>
    <n v="18641412.84"/>
    <n v="18397321.5"/>
    <n v="14011543.5"/>
    <n v="198956311.5"/>
    <n v="-33956311.5"/>
    <n v="120.58"/>
    <n v="-20.58"/>
  </r>
  <r>
    <x v="245"/>
    <x v="10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732000000"/>
    <n v="1732000000"/>
    <n v="1732000000"/>
    <n v="136423318.75"/>
    <n v="136930659.75"/>
    <n v="159051554"/>
    <n v="131022624"/>
    <n v="159617035.75"/>
    <n v="160121407.75"/>
    <n v="144135199.75"/>
    <n v="154750689.5"/>
    <n v="149458602"/>
    <n v="148678358.25"/>
    <n v="155973885.5"/>
    <n v="130043302.5"/>
    <n v="1766206637.5"/>
    <n v="-34206637.5"/>
    <n v="101.97"/>
    <n v="-1.97"/>
  </r>
  <r>
    <x v="44"/>
    <x v="10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47500000000"/>
    <n v="47500000000"/>
    <n v="47500000000"/>
    <n v="5017678057.1199999"/>
    <n v="3796287428.79"/>
    <n v="4741837041.4799995"/>
    <n v="4169005808.52"/>
    <n v="3629192794.9400001"/>
    <n v="3443062406.3800001"/>
    <n v="3749160872.6599998"/>
    <n v="3921588205.0900002"/>
    <n v="2774806340.1100001"/>
    <n v="2873042564.5500002"/>
    <n v="3180180437.8200002"/>
    <n v="3696076916.5799999"/>
    <n v="44991918874.040001"/>
    <n v="2508081125.96"/>
    <n v="94.72"/>
    <n v="5.28"/>
  </r>
  <r>
    <x v="246"/>
    <x v="10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00000000"/>
    <n v="2600000000"/>
    <n v="2600000000"/>
    <n v="275652853.19999999"/>
    <n v="167916881.19999999"/>
    <n v="177235077.49000001"/>
    <n v="247651982.19999999"/>
    <n v="175716500.75"/>
    <n v="143411511.25"/>
    <n v="202145572.44999999"/>
    <n v="171724471"/>
    <n v="155796855.80000001"/>
    <n v="150428203.25"/>
    <n v="161967375.55000001"/>
    <n v="377681451.04000002"/>
    <n v="2407328735.1799998"/>
    <n v="192671264.81999999"/>
    <n v="92.59"/>
    <n v="7.41"/>
  </r>
  <r>
    <x v="45"/>
    <x v="10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342800000"/>
    <n v="4342800000"/>
    <n v="4342800000"/>
    <n v="387168005.19999999"/>
    <n v="97557152.430000007"/>
    <n v="432097512.23000002"/>
    <n v="42673975.590000004"/>
    <n v="463940910.72000003"/>
    <n v="247887263.12"/>
    <n v="0"/>
    <n v="541240971.03999996"/>
    <n v="256409398.37"/>
    <n v="258589011.47"/>
    <n v="59420410.280000001"/>
    <n v="417401472.55000001"/>
    <n v="3204386083"/>
    <n v="1138413917"/>
    <n v="73.790000000000006"/>
    <n v="26.21"/>
  </r>
  <r>
    <x v="232"/>
    <x v="10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064000000"/>
    <n v="1064000000"/>
    <n v="1064000000"/>
    <n v="70781664.099999994"/>
    <n v="78093159.260000005"/>
    <n v="118522446.18000001"/>
    <n v="103569384.73999999"/>
    <n v="61890737.149999999"/>
    <n v="102661286.72"/>
    <n v="96866511.780000001"/>
    <n v="74686308.140000001"/>
    <n v="60819562.899999999"/>
    <n v="109288069.42"/>
    <n v="114350170.59999999"/>
    <n v="120262414.62"/>
    <n v="1111791715.6099999"/>
    <n v="-47791715.609999999"/>
    <n v="104.49"/>
    <n v="-4.49"/>
  </r>
  <r>
    <x v="247"/>
    <x v="10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168000000"/>
    <n v="5168000000"/>
    <n v="5168000000"/>
    <n v="453156177.77999997"/>
    <n v="547004435.14999998"/>
    <n v="513806602.42000002"/>
    <n v="554131973.12"/>
    <n v="350308952.85000002"/>
    <n v="436462365.30000001"/>
    <n v="462749441.83999997"/>
    <n v="432276692.05000001"/>
    <n v="359325826.58999997"/>
    <n v="520953380.57999998"/>
    <n v="578144291.37"/>
    <n v="687658411.79999995"/>
    <n v="5895978550.8500004"/>
    <n v="-727978550.85000002"/>
    <n v="114.09"/>
    <n v="-14.09"/>
  </r>
  <r>
    <x v="233"/>
    <x v="10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8968000000"/>
    <n v="8968000000"/>
    <n v="8968000000"/>
    <n v="803533385.65999997"/>
    <n v="1025333093.52"/>
    <n v="878037730.83000004"/>
    <n v="1059097790.64"/>
    <n v="717261273.88"/>
    <n v="973990879.44000006"/>
    <n v="832215166.5"/>
    <n v="885660397.57000005"/>
    <n v="1049702296.15"/>
    <n v="785871227.75"/>
    <n v="870222106.32000005"/>
    <n v="994644515.11000001"/>
    <n v="10875569863.370001"/>
    <n v="-1907569863.3699999"/>
    <n v="121.27"/>
    <n v="-21.27"/>
  </r>
  <r>
    <x v="146"/>
    <x v="10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350000000"/>
    <n v="1350000000"/>
    <n v="1350000000"/>
    <n v="144576891.41"/>
    <n v="110745357.84"/>
    <n v="143016206.99000001"/>
    <n v="95705678.540000007"/>
    <n v="144771956.62"/>
    <n v="128396545.81"/>
    <n v="93965156.269999996"/>
    <n v="129964963.18000001"/>
    <n v="103065948.34999999"/>
    <n v="95807718.560000002"/>
    <n v="103005909.73"/>
    <n v="96229853.069999993"/>
    <n v="1389252186.3699999"/>
    <n v="-39252186.369999997"/>
    <n v="102.91"/>
    <n v="-2.91"/>
  </r>
  <r>
    <x v="47"/>
    <x v="10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50000000"/>
    <n v="5150000000"/>
    <n v="5150000000"/>
    <n v="328684288.43000001"/>
    <n v="386921767.98000002"/>
    <n v="354799121.73000002"/>
    <n v="334396939.56"/>
    <n v="262534145.38999999"/>
    <n v="340457923.88999999"/>
    <n v="935710619.04999995"/>
    <n v="541159629.99000001"/>
    <n v="264156960.11000001"/>
    <n v="530329182.08999997"/>
    <n v="460745128.81"/>
    <n v="508959906.25999999"/>
    <n v="5248855613.29"/>
    <n v="-98855613.290000007"/>
    <n v="101.92"/>
    <n v="-1.92"/>
  </r>
  <r>
    <x v="147"/>
    <x v="10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27395.05"/>
    <n v="39143.25"/>
    <n v="44668"/>
    <n v="37214.769999999997"/>
    <n v="46573.120000000003"/>
    <n v="231212.96"/>
    <n v="73961.649999999994"/>
    <n v="86755.15"/>
    <n v="193570.94"/>
    <n v="95949.47"/>
    <n v="463699.5"/>
    <n v="109413.97"/>
    <n v="1449557.83"/>
    <n v="-449557.83"/>
    <n v="144.96"/>
    <n v="-44.96"/>
  </r>
  <r>
    <x v="53"/>
    <x v="10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5621250000"/>
    <n v="25621250000"/>
    <n v="25621250000"/>
    <n v="3374205506.8099999"/>
    <n v="1505458202.2"/>
    <n v="1695153466.6400001"/>
    <n v="1973064271.02"/>
    <n v="1032159766.27"/>
    <n v="1585081152.6600001"/>
    <n v="1521495411.9000001"/>
    <n v="1469174875.8299999"/>
    <n v="1573701548.53"/>
    <n v="1722738991.25"/>
    <n v="1243574694.21"/>
    <n v="1194703336"/>
    <n v="19890511223.32"/>
    <n v="5730738776.6800003"/>
    <n v="77.63"/>
    <n v="22.37"/>
  </r>
  <r>
    <x v="282"/>
    <x v="10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24140630000"/>
    <n v="0"/>
    <n v="0"/>
    <n v="52372266.289999999"/>
    <n v="346146717.36000001"/>
    <n v="491045413.63"/>
    <n v="259978810.00999999"/>
    <n v="666899661.52999997"/>
    <n v="850325517.54999995"/>
    <n v="605495499.02999997"/>
    <n v="374307611.79000002"/>
    <n v="355341133.06999999"/>
    <n v="484806111.07999998"/>
    <n v="292335562.67000002"/>
    <n v="755418534.55999994"/>
    <n v="5534472838.5699997"/>
    <n v="-5534472838.5699997"/>
    <n v="0"/>
    <n v="100"/>
  </r>
  <r>
    <x v="54"/>
    <x v="10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0"/>
    <n v="24140630000"/>
    <n v="24140630000"/>
    <n v="2241314509.8099999"/>
    <n v="2296390550.0500002"/>
    <n v="2432753059.9400001"/>
    <n v="2369322412.5999999"/>
    <n v="2344150013.46"/>
    <n v="2379003294.0999999"/>
    <n v="2405596669.1500001"/>
    <n v="2439611463.1799998"/>
    <n v="2444486568.8800001"/>
    <n v="2440017510.5100002"/>
    <n v="2609251117.0300002"/>
    <n v="2473661238.6700001"/>
    <n v="28875558407.380001"/>
    <n v="-4734928407.3800001"/>
    <n v="119.61"/>
    <n v="-19.61"/>
  </r>
  <r>
    <x v="55"/>
    <x v="10"/>
    <x v="49"/>
    <n v="1"/>
    <x v="0"/>
    <n v="12"/>
    <x v="1"/>
    <n v="121"/>
    <x v="5"/>
    <n v="1213"/>
    <x v="16"/>
    <n v="121303"/>
    <x v="31"/>
    <n v="12130301"/>
    <x v="0"/>
    <n v="121303010"/>
    <x v="0"/>
    <n v="1213030100"/>
    <x v="0"/>
    <n v="1"/>
    <s v="Ingresos corrientes"/>
    <n v="17613125000"/>
    <n v="17613125000"/>
    <n v="17613125000"/>
    <n v="411354273.58999997"/>
    <n v="378171029.35000002"/>
    <n v="318237590.29000002"/>
    <n v="302490655.12"/>
    <n v="325524252.56"/>
    <n v="292051389.85000002"/>
    <n v="355242194.97000003"/>
    <n v="243810430.12"/>
    <n v="354429367.41000003"/>
    <n v="242206825.94"/>
    <n v="304531754.35000002"/>
    <n v="9019198776.6399994"/>
    <n v="12547248540.190001"/>
    <n v="5065876459.8100004"/>
    <n v="71.239999999999995"/>
    <n v="28.76"/>
  </r>
  <r>
    <x v="303"/>
    <x v="10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0"/>
    <n v="0"/>
    <n v="0"/>
    <n v="0"/>
    <n v="0"/>
    <n v="0"/>
    <n v="3305273843.8000002"/>
    <n v="1133527774.3"/>
    <n v="1109904661.9200001"/>
    <n v="1095017476.3800001"/>
    <n v="1092165202.95"/>
    <n v="1135312354.6300001"/>
    <n v="1093122594.9100001"/>
    <n v="1131854831.74"/>
    <n v="-6796481688.5"/>
    <n v="4299697052.1300001"/>
    <n v="-4299697052.1300001"/>
    <n v="0"/>
    <n v="100"/>
  </r>
  <r>
    <x v="304"/>
    <x v="10"/>
    <x v="267"/>
    <n v="1"/>
    <x v="0"/>
    <n v="12"/>
    <x v="1"/>
    <n v="121"/>
    <x v="5"/>
    <n v="1213"/>
    <x v="16"/>
    <n v="121304"/>
    <x v="101"/>
    <n v="12130401"/>
    <x v="0"/>
    <n v="121304010"/>
    <x v="0"/>
    <n v="1213040100"/>
    <x v="0"/>
    <n v="1"/>
    <s v="Ingresos corrientes"/>
    <n v="0"/>
    <n v="0"/>
    <n v="0"/>
    <n v="0"/>
    <n v="1100582035.4000001"/>
    <n v="1108921359.9000001"/>
    <n v="-2210481446.5500002"/>
    <n v="0"/>
    <n v="0"/>
    <n v="978051.25"/>
    <n v="0"/>
    <n v="0"/>
    <n v="0"/>
    <n v="0"/>
    <n v="0"/>
    <n v="0"/>
    <n v="0"/>
    <n v="0"/>
    <n v="100"/>
  </r>
  <r>
    <x v="191"/>
    <x v="10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100000"/>
    <n v="3100000"/>
    <n v="3100000"/>
    <n v="213835.8"/>
    <n v="141711.19"/>
    <n v="181252.65"/>
    <n v="190620.48"/>
    <n v="294513.38"/>
    <n v="185853.53"/>
    <n v="0"/>
    <n v="474890.82"/>
    <n v="196376.9"/>
    <n v="199095.87"/>
    <n v="156922.56"/>
    <n v="216932.16"/>
    <n v="2452005.34"/>
    <n v="647994.66"/>
    <n v="79.099999999999994"/>
    <n v="20.9"/>
  </r>
  <r>
    <x v="283"/>
    <x v="10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6400000"/>
    <n v="46400000"/>
    <n v="46400000"/>
    <n v="2936493.87"/>
    <n v="8243221.8200000003"/>
    <n v="5053573.08"/>
    <n v="-2473424.5099999998"/>
    <n v="2989004.97"/>
    <n v="2789023.39"/>
    <n v="2462975.1800000002"/>
    <n v="4201826.6500000004"/>
    <n v="2904441.69"/>
    <n v="3909960.64"/>
    <n v="4103251.56"/>
    <n v="4298450.8499999996"/>
    <n v="41418799.189999998"/>
    <n v="4981200.8099999996"/>
    <n v="89.26"/>
    <n v="10.74"/>
  </r>
  <r>
    <x v="284"/>
    <x v="10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23700000"/>
    <n v="23700000"/>
    <n v="23700000"/>
    <n v="1451350.19"/>
    <n v="1184628.97"/>
    <n v="1408292.07"/>
    <n v="1310993.32"/>
    <n v="1534507.87"/>
    <n v="1234226.22"/>
    <n v="1523849.66"/>
    <n v="1362304.71"/>
    <n v="1050128.56"/>
    <n v="1490718.32"/>
    <n v="1220257.24"/>
    <n v="1506564.57"/>
    <n v="16277821.699999999"/>
    <n v="7422178.2999999998"/>
    <n v="68.680000000000007"/>
    <n v="31.32"/>
  </r>
  <r>
    <x v="58"/>
    <x v="10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3400000"/>
    <n v="13400000"/>
    <n v="13400000"/>
    <n v="1260000"/>
    <n v="1752500"/>
    <n v="720000"/>
    <n v="720000"/>
    <n v="2144900"/>
    <n v="720000"/>
    <n v="720000"/>
    <n v="5265.82"/>
    <n v="720000"/>
    <n v="720700"/>
    <n v="720000"/>
    <n v="720000"/>
    <n v="10923365.82"/>
    <n v="2476634.1800000002"/>
    <n v="81.52"/>
    <n v="18.48"/>
  </r>
  <r>
    <x v="305"/>
    <x v="10"/>
    <x v="268"/>
    <n v="1"/>
    <x v="0"/>
    <n v="13"/>
    <x v="2"/>
    <n v="131"/>
    <x v="6"/>
    <n v="1312"/>
    <x v="18"/>
    <n v="131204"/>
    <x v="102"/>
    <n v="13120409"/>
    <x v="0"/>
    <n v="131204090"/>
    <x v="0"/>
    <n v="1312040900"/>
    <x v="0"/>
    <n v="1"/>
    <s v="Ingresos corrientes"/>
    <n v="0"/>
    <n v="0"/>
    <n v="0"/>
    <n v="0"/>
    <n v="0"/>
    <n v="0"/>
    <n v="0"/>
    <n v="0"/>
    <n v="0"/>
    <n v="0"/>
    <n v="0"/>
    <n v="0"/>
    <n v="0"/>
    <n v="7240733.2599999998"/>
    <n v="0"/>
    <n v="7240733.2599999998"/>
    <n v="-7240733.2599999998"/>
    <n v="0"/>
    <n v="100"/>
  </r>
  <r>
    <x v="59"/>
    <x v="10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41000000"/>
    <n v="41000000"/>
    <n v="41000000"/>
    <n v="3290707.06"/>
    <n v="6470232.1799999997"/>
    <n v="1104642.5"/>
    <n v="10670596.279999999"/>
    <n v="3573779.77"/>
    <n v="8258038.8099999996"/>
    <n v="3216254.01"/>
    <n v="7350949.9100000001"/>
    <n v="6693630.0999999996"/>
    <n v="10162156.449999999"/>
    <n v="8146485.2400000002"/>
    <n v="8253187.5499999998"/>
    <n v="77190659.859999999"/>
    <n v="-36190659.859999999"/>
    <n v="188.27"/>
    <n v="-88.27"/>
  </r>
  <r>
    <x v="193"/>
    <x v="10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39000000"/>
    <n v="139000000"/>
    <n v="139000000"/>
    <n v="314395.2"/>
    <n v="243939.20000000001"/>
    <n v="788816.6"/>
    <n v="473119.1"/>
    <n v="-39263.199999999997"/>
    <n v="13733596.800000001"/>
    <n v="4660567.5"/>
    <n v="154639805.21000001"/>
    <n v="-5019.3"/>
    <n v="68877.600000000006"/>
    <n v="23553790.09"/>
    <n v="33179420.199999999"/>
    <n v="231612045"/>
    <n v="-92612045"/>
    <n v="166.63"/>
    <n v="-66.63"/>
  </r>
  <r>
    <x v="258"/>
    <x v="10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377299.87"/>
    <n v="942576.74"/>
    <n v="3190725.01"/>
    <n v="411827.84"/>
    <n v="357187.81"/>
    <n v="9631406.1799999997"/>
    <n v="1200926.2"/>
    <n v="8320137.0099999998"/>
    <n v="707962.23"/>
    <n v="481211.69"/>
    <n v="13677038.6"/>
    <n v="2924003.28"/>
    <n v="42222302.460000001"/>
    <n v="-28222302.460000001"/>
    <n v="301.58999999999997"/>
    <n v="-201.59"/>
  </r>
  <r>
    <x v="248"/>
    <x v="10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81549067"/>
    <n v="422630220"/>
    <n v="422630220"/>
    <n v="281549066.91000003"/>
    <n v="0"/>
    <n v="0"/>
    <n v="0"/>
    <n v="0"/>
    <n v="0"/>
    <n v="0"/>
    <n v="0"/>
    <n v="0"/>
    <n v="141081153"/>
    <n v="0"/>
    <n v="0"/>
    <n v="422630219.91000003"/>
    <n v="0.09"/>
    <n v="100"/>
    <n v="0"/>
  </r>
  <r>
    <x v="267"/>
    <x v="10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517200000"/>
    <n v="517200000"/>
    <n v="517200000"/>
    <n v="68369000"/>
    <n v="74214800"/>
    <n v="69464800"/>
    <n v="82105000"/>
    <n v="62944200"/>
    <n v="60279680"/>
    <n v="154383800"/>
    <n v="156086400"/>
    <n v="-27482200"/>
    <n v="88603400"/>
    <n v="192340200"/>
    <n v="109947600"/>
    <n v="1091256680"/>
    <n v="-574056680"/>
    <n v="210.99"/>
    <n v="-110.99"/>
  </r>
  <r>
    <x v="62"/>
    <x v="10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4350"/>
    <n v="6450"/>
    <n v="0"/>
    <n v="0"/>
    <n v="300"/>
    <n v="0"/>
    <n v="200"/>
    <n v="200"/>
    <n v="0"/>
    <n v="800"/>
    <n v="0"/>
    <n v="0"/>
    <n v="12300"/>
    <n v="-12300"/>
    <n v="0"/>
    <n v="100"/>
  </r>
  <r>
    <x v="63"/>
    <x v="10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4852800000"/>
    <n v="4852800000"/>
    <n v="4852800000"/>
    <n v="343692094.94999999"/>
    <n v="146483267.44999999"/>
    <n v="70901822.349999994"/>
    <n v="36422148.780000001"/>
    <n v="36607937.979999997"/>
    <n v="28213638.98"/>
    <n v="626517464.51999998"/>
    <n v="18347826"/>
    <n v="11648425.710000001"/>
    <n v="9637676.1999999993"/>
    <n v="373759183"/>
    <n v="4096898080.2600002"/>
    <n v="5799129566.1800003"/>
    <n v="-946329566.17999995"/>
    <n v="119.5"/>
    <n v="-19.5"/>
  </r>
  <r>
    <x v="64"/>
    <x v="10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34000000"/>
    <n v="34000000"/>
    <n v="34000000"/>
    <n v="3835559.43"/>
    <n v="3297320.54"/>
    <n v="3797971.4"/>
    <n v="1968119.12"/>
    <n v="5704017.9400000004"/>
    <n v="3014223.86"/>
    <n v="2652250"/>
    <n v="3436311.62"/>
    <n v="3432292.12"/>
    <n v="2998405.72"/>
    <n v="4038482.52"/>
    <n v="1769276.64"/>
    <n v="39944230.909999996"/>
    <n v="-5944230.9100000001"/>
    <n v="117.48"/>
    <n v="-17.48"/>
  </r>
  <r>
    <x v="65"/>
    <x v="10"/>
    <x v="59"/>
    <n v="1"/>
    <x v="0"/>
    <n v="13"/>
    <x v="2"/>
    <n v="131"/>
    <x v="6"/>
    <n v="1313"/>
    <x v="19"/>
    <n v="131301"/>
    <x v="35"/>
    <n v="13130103"/>
    <x v="28"/>
    <n v="131301032"/>
    <x v="17"/>
    <n v="1313010320"/>
    <x v="0"/>
    <n v="1"/>
    <s v="Ingresos corrientes"/>
    <n v="3100000"/>
    <n v="3100000"/>
    <n v="3100000"/>
    <n v="419416"/>
    <n v="167768"/>
    <n v="222725"/>
    <n v="130616"/>
    <n v="415603"/>
    <n v="217480"/>
    <n v="461108"/>
    <n v="235670"/>
    <n v="190470"/>
    <n v="161956"/>
    <n v="174160"/>
    <n v="82620"/>
    <n v="2879592"/>
    <n v="220408"/>
    <n v="92.89"/>
    <n v="7.11"/>
  </r>
  <r>
    <x v="66"/>
    <x v="10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4000000"/>
    <n v="104000000"/>
    <n v="104000000"/>
    <n v="9254783.1099999994"/>
    <n v="12247753.359999999"/>
    <n v="10910878.609999999"/>
    <n v="8343806.5599999996"/>
    <n v="8604011.5500000007"/>
    <n v="7639780"/>
    <n v="5941012.3499999996"/>
    <n v="8025483.5999999996"/>
    <n v="7255799.0499999998"/>
    <n v="8065793.5"/>
    <n v="8403110"/>
    <n v="8150041.5"/>
    <n v="102842253.19"/>
    <n v="1157746.81"/>
    <n v="98.89"/>
    <n v="1.1100000000000001"/>
  </r>
  <r>
    <x v="67"/>
    <x v="10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3000000"/>
    <n v="53000000"/>
    <n v="53000000"/>
    <n v="2551731"/>
    <n v="3734753.96"/>
    <n v="5732541.5"/>
    <n v="3226084"/>
    <n v="3845692"/>
    <n v="5604162"/>
    <n v="6274130"/>
    <n v="4375431.6900000004"/>
    <n v="4650258"/>
    <n v="4157782"/>
    <n v="7791723"/>
    <n v="5649775"/>
    <n v="57594064.149999999"/>
    <n v="-4594064.1500000004"/>
    <n v="108.67"/>
    <n v="-8.67"/>
  </r>
  <r>
    <x v="285"/>
    <x v="10"/>
    <x v="250"/>
    <n v="1"/>
    <x v="0"/>
    <n v="13"/>
    <x v="2"/>
    <n v="131"/>
    <x v="6"/>
    <n v="1313"/>
    <x v="19"/>
    <n v="131302"/>
    <x v="63"/>
    <n v="13130201"/>
    <x v="103"/>
    <n v="131302013"/>
    <x v="40"/>
    <n v="1313020130"/>
    <x v="0"/>
    <n v="1"/>
    <s v="Ingresos corrientes"/>
    <n v="4581900000"/>
    <n v="4581900000"/>
    <n v="4581900000"/>
    <n v="0"/>
    <n v="0"/>
    <n v="623316185.72000003"/>
    <n v="0"/>
    <n v="947264283.80999994"/>
    <n v="0"/>
    <n v="1739794430.46"/>
    <n v="76448447.819999993"/>
    <n v="0"/>
    <n v="1051312365.91"/>
    <n v="0"/>
    <n v="123075685.36"/>
    <n v="4561211399.0799999"/>
    <n v="20688600.920000002"/>
    <n v="99.55"/>
    <n v="0.45"/>
  </r>
  <r>
    <x v="286"/>
    <x v="10"/>
    <x v="251"/>
    <n v="1"/>
    <x v="0"/>
    <n v="13"/>
    <x v="2"/>
    <n v="131"/>
    <x v="6"/>
    <n v="1313"/>
    <x v="19"/>
    <n v="131302"/>
    <x v="63"/>
    <n v="13130201"/>
    <x v="103"/>
    <n v="131302014"/>
    <x v="41"/>
    <n v="1313020140"/>
    <x v="0"/>
    <n v="1"/>
    <s v="Ingresos corrientes"/>
    <n v="249973182"/>
    <n v="249973182"/>
    <n v="249973182"/>
    <n v="0"/>
    <n v="0"/>
    <n v="60351486.189999998"/>
    <n v="0"/>
    <n v="63534601.140000001"/>
    <n v="0"/>
    <n v="67909254.230000004"/>
    <n v="1195983.8400000001"/>
    <n v="0"/>
    <n v="59206354.119999997"/>
    <n v="0"/>
    <n v="3056384.02"/>
    <n v="255254063.53999999"/>
    <n v="-5280881.54"/>
    <n v="102.11"/>
    <n v="-2.11"/>
  </r>
  <r>
    <x v="148"/>
    <x v="10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1635500"/>
    <n v="1538500"/>
    <n v="3469000"/>
    <n v="1123000"/>
    <n v="1905884"/>
    <n v="1246741.8799999999"/>
    <n v="2246059.0299999998"/>
    <n v="2159023.25"/>
    <n v="1429000"/>
    <n v="1792000"/>
    <n v="1785000"/>
    <n v="867000"/>
    <n v="21196708.16"/>
    <n v="1803291.84"/>
    <n v="92.16"/>
    <n v="7.84"/>
  </r>
  <r>
    <x v="149"/>
    <x v="10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7000000"/>
    <n v="37000000"/>
    <n v="37000000"/>
    <n v="5270000"/>
    <n v="11213000"/>
    <n v="4102478.78"/>
    <n v="39000"/>
    <n v="5889440"/>
    <n v="659815.75"/>
    <n v="0"/>
    <n v="740000"/>
    <n v="500000"/>
    <n v="1872000"/>
    <n v="45000"/>
    <n v="0"/>
    <n v="30330734.530000001"/>
    <n v="6669265.4699999997"/>
    <n v="81.97"/>
    <n v="18.03"/>
  </r>
  <r>
    <x v="259"/>
    <x v="10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46200000"/>
    <n v="646200000"/>
    <n v="646200000"/>
    <n v="0"/>
    <n v="0"/>
    <n v="0"/>
    <n v="0"/>
    <n v="0"/>
    <n v="529978990.14999998"/>
    <n v="80906211.349999994"/>
    <n v="769851.45"/>
    <n v="0"/>
    <n v="0"/>
    <n v="0"/>
    <n v="6393000"/>
    <n v="618048052.95000005"/>
    <n v="28151947.050000001"/>
    <n v="95.64"/>
    <n v="4.3600000000000003"/>
  </r>
  <r>
    <x v="306"/>
    <x v="10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3300000"/>
    <n v="3300000"/>
    <n v="3300000"/>
    <n v="0"/>
    <n v="0"/>
    <n v="0"/>
    <n v="0"/>
    <n v="0"/>
    <n v="0"/>
    <n v="0"/>
    <n v="0"/>
    <n v="0"/>
    <n v="0"/>
    <n v="0"/>
    <n v="3076454.5"/>
    <n v="3076454.5"/>
    <n v="223545.5"/>
    <n v="93.23"/>
    <n v="6.77"/>
  </r>
  <r>
    <x v="268"/>
    <x v="10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9750000000"/>
    <n v="9750000000"/>
    <n v="9750000000"/>
    <n v="0"/>
    <n v="0"/>
    <n v="17800972155.759998"/>
    <n v="0"/>
    <n v="0"/>
    <n v="0"/>
    <n v="0"/>
    <n v="0"/>
    <n v="0"/>
    <n v="0"/>
    <n v="0"/>
    <n v="0"/>
    <n v="17800972155.759998"/>
    <n v="-8050972155.7600002"/>
    <n v="182.57"/>
    <n v="-82.57"/>
  </r>
  <r>
    <x v="287"/>
    <x v="10"/>
    <x v="252"/>
    <n v="1"/>
    <x v="0"/>
    <n v="13"/>
    <x v="2"/>
    <n v="132"/>
    <x v="7"/>
    <n v="1323"/>
    <x v="22"/>
    <n v="132301"/>
    <x v="39"/>
    <n v="13230101"/>
    <x v="104"/>
    <n v="132301010"/>
    <x v="0"/>
    <n v="1323010100"/>
    <x v="0"/>
    <n v="1"/>
    <s v="Ingresos corrientes"/>
    <n v="0"/>
    <n v="0"/>
    <n v="0"/>
    <n v="0"/>
    <n v="849748.33"/>
    <n v="-849748.33"/>
    <n v="0"/>
    <n v="0"/>
    <n v="0"/>
    <n v="0"/>
    <n v="0"/>
    <n v="0"/>
    <n v="0"/>
    <n v="0"/>
    <n v="0"/>
    <n v="0"/>
    <n v="0"/>
    <n v="0"/>
    <n v="100"/>
  </r>
  <r>
    <x v="150"/>
    <x v="10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23600000"/>
    <n v="123600000"/>
    <n v="123600000"/>
    <n v="35454954.340000004"/>
    <n v="63521147.170000002"/>
    <n v="98137115.900000006"/>
    <n v="78799675.590000004"/>
    <n v="96830066.290000007"/>
    <n v="61721728.240000002"/>
    <n v="32250203.949999999"/>
    <n v="77885255.810000002"/>
    <n v="25188079.25"/>
    <n v="41088392.520000003"/>
    <n v="1871773868.3099999"/>
    <n v="280533811.97000003"/>
    <n v="2763184299.3400002"/>
    <n v="-2639584299.3400002"/>
    <n v="2235.59"/>
    <n v="-2135.59"/>
  </r>
  <r>
    <x v="194"/>
    <x v="10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283000000"/>
    <n v="283000000"/>
    <n v="283000000"/>
    <n v="28252574.710000001"/>
    <n v="0"/>
    <n v="0"/>
    <n v="0"/>
    <n v="53690"/>
    <n v="0"/>
    <n v="129726314.58"/>
    <n v="0"/>
    <n v="0"/>
    <n v="0"/>
    <n v="0"/>
    <n v="110391144.18000001"/>
    <n v="268423723.47"/>
    <n v="14576276.529999999"/>
    <n v="94.85"/>
    <n v="5.15"/>
  </r>
  <r>
    <x v="151"/>
    <x v="10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3017600000"/>
    <n v="3017600000"/>
    <n v="3017600000"/>
    <n v="371965549.25999999"/>
    <n v="681915557.61000001"/>
    <n v="302521132"/>
    <n v="197551900"/>
    <n v="1847812091"/>
    <n v="537434129"/>
    <n v="421783237.22000003"/>
    <n v="225673046"/>
    <n v="458966617"/>
    <n v="174914934"/>
    <n v="354544495.99000001"/>
    <n v="525908686"/>
    <n v="6100991375.0799999"/>
    <n v="-3083391375.0799999"/>
    <n v="202.18"/>
    <n v="-102.18"/>
  </r>
  <r>
    <x v="152"/>
    <x v="10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102400000"/>
    <n v="1102400000"/>
    <n v="1102400000"/>
    <n v="62926363.32"/>
    <n v="22464591.800000001"/>
    <n v="73155754.780000001"/>
    <n v="96813991.829999998"/>
    <n v="45291801.43"/>
    <n v="54196647.149999999"/>
    <n v="76983368.510000005"/>
    <n v="65451063.729999997"/>
    <n v="38480429.130000003"/>
    <n v="383697642.10000002"/>
    <n v="79432961.700000003"/>
    <n v="-115673124.81"/>
    <n v="883221490.66999996"/>
    <n v="219178509.33000001"/>
    <n v="80.12"/>
    <n v="19.88"/>
  </r>
  <r>
    <x v="74"/>
    <x v="10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190000000"/>
    <n v="6190000000"/>
    <n v="6190000000"/>
    <n v="344507988"/>
    <n v="852222267"/>
    <n v="1034365792"/>
    <n v="299815631"/>
    <n v="511710553"/>
    <n v="574478016"/>
    <n v="311091776.97000003"/>
    <n v="328205267.97000003"/>
    <n v="378285004.30000001"/>
    <n v="587895140"/>
    <n v="365909702.00999999"/>
    <n v="580872778.73000002"/>
    <n v="6169359916.9799995"/>
    <n v="20640083.02"/>
    <n v="99.67"/>
    <n v="0.33"/>
  </r>
  <r>
    <x v="153"/>
    <x v="10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0000000"/>
    <n v="110000000"/>
    <n v="110000000"/>
    <n v="5238346.28"/>
    <n v="6603596.1299999999"/>
    <n v="9903797.0500000007"/>
    <n v="5971689.4299999997"/>
    <n v="49010440.380000003"/>
    <n v="29866528.579999998"/>
    <n v="15574100"/>
    <n v="13993975.550000001"/>
    <n v="7220594"/>
    <n v="978250"/>
    <n v="87788481.879999995"/>
    <n v="19790063.059999999"/>
    <n v="251939862.34"/>
    <n v="-141939862.34"/>
    <n v="229.04"/>
    <n v="-129.04"/>
  </r>
  <r>
    <x v="155"/>
    <x v="10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94400000"/>
    <n v="494400000"/>
    <n v="494400000"/>
    <n v="20533500"/>
    <n v="17681000"/>
    <n v="30768000"/>
    <n v="75431750"/>
    <n v="50165000"/>
    <n v="25640250"/>
    <n v="42337000"/>
    <n v="68673500"/>
    <n v="27643000"/>
    <n v="40324500"/>
    <n v="40696500"/>
    <n v="40115500"/>
    <n v="480009500"/>
    <n v="14390500"/>
    <n v="97.09"/>
    <n v="2.91"/>
  </r>
  <r>
    <x v="156"/>
    <x v="10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482000000"/>
    <n v="513168314"/>
    <n v="513168314"/>
    <n v="3750078.57"/>
    <n v="3724133.14"/>
    <n v="10577374.08"/>
    <n v="7783215.1100000003"/>
    <n v="4681338.29"/>
    <n v="5401290.8700000001"/>
    <n v="11560179.49"/>
    <n v="45349043.329999998"/>
    <n v="63128028.539999999"/>
    <n v="34205578.469999999"/>
    <n v="20767014.870000001"/>
    <n v="28529247.07"/>
    <n v="239456537.37"/>
    <n v="273711776.63"/>
    <n v="46.66"/>
    <n v="53.34"/>
  </r>
  <r>
    <x v="207"/>
    <x v="10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0"/>
    <n v="176312813.15000001"/>
    <n v="176312813.15000001"/>
    <n v="0"/>
    <n v="176312813.15000001"/>
    <n v="0"/>
    <n v="0"/>
    <n v="0"/>
    <n v="0"/>
    <n v="0"/>
    <n v="0"/>
    <n v="0"/>
    <n v="0"/>
    <n v="0"/>
    <n v="0"/>
    <n v="176312813.15000001"/>
    <n v="0"/>
    <n v="100"/>
    <n v="0"/>
  </r>
  <r>
    <x v="288"/>
    <x v="10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30300000"/>
    <n v="30300000"/>
    <n v="30300000"/>
    <n v="0"/>
    <n v="0"/>
    <n v="0"/>
    <n v="0"/>
    <n v="0"/>
    <n v="6363000"/>
    <n v="2017000"/>
    <n v="2121100"/>
    <n v="0"/>
    <n v="0"/>
    <n v="0"/>
    <n v="0"/>
    <n v="10501100"/>
    <n v="19798900"/>
    <n v="34.659999999999997"/>
    <n v="65.34"/>
  </r>
  <r>
    <x v="307"/>
    <x v="10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239800000"/>
    <n v="239800000"/>
    <n v="239800000"/>
    <n v="0"/>
    <n v="0"/>
    <n v="0"/>
    <n v="0"/>
    <n v="0"/>
    <n v="0"/>
    <n v="0"/>
    <n v="0"/>
    <n v="0"/>
    <n v="0"/>
    <n v="0"/>
    <n v="0"/>
    <n v="0"/>
    <n v="239800000"/>
    <n v="0"/>
    <n v="100"/>
  </r>
  <r>
    <x v="195"/>
    <x v="10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36000000"/>
    <n v="136000000"/>
    <n v="136000000"/>
    <n v="2401225"/>
    <n v="608090.5"/>
    <n v="57550842.799999997"/>
    <n v="778593.35"/>
    <n v="743201.1"/>
    <n v="41153830.509999998"/>
    <n v="2248698"/>
    <n v="2242646.6"/>
    <n v="266600554.00999999"/>
    <n v="255249.57"/>
    <n v="2684633.02"/>
    <n v="102603105.51000001"/>
    <n v="479870669.97000003"/>
    <n v="-343870669.97000003"/>
    <n v="352.85"/>
    <n v="-252.85"/>
  </r>
  <r>
    <x v="80"/>
    <x v="10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57000000"/>
    <n v="57000000"/>
    <n v="57000000"/>
    <n v="4247134.5"/>
    <n v="0"/>
    <n v="4535206.0199999996"/>
    <n v="2607000"/>
    <n v="0"/>
    <n v="504941.53"/>
    <n v="3859139.07"/>
    <n v="6191803"/>
    <n v="10041227.609999999"/>
    <n v="27280530.460000001"/>
    <n v="0"/>
    <n v="53038745.130000003"/>
    <n v="112305727.31999999"/>
    <n v="-55305727.32"/>
    <n v="197.03"/>
    <n v="-97.03"/>
  </r>
  <r>
    <x v="260"/>
    <x v="10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3605000000"/>
    <n v="3605000000"/>
    <n v="3605000000"/>
    <n v="40299533.079999998"/>
    <n v="42610552.299999997"/>
    <n v="41263564.829999998"/>
    <n v="33410119.550000001"/>
    <n v="37215344.509999998"/>
    <n v="37652721.380000003"/>
    <n v="4991411.6500000004"/>
    <n v="34598324.409999996"/>
    <n v="33703944.270000003"/>
    <n v="27157992.84"/>
    <n v="47326980.960000001"/>
    <n v="65954407.200000003"/>
    <n v="446184896.98000002"/>
    <n v="3158815103.02"/>
    <n v="12.38"/>
    <n v="87.62"/>
  </r>
  <r>
    <x v="157"/>
    <x v="10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17365195357"/>
    <n v="17365195357"/>
    <n v="17365195357"/>
    <n v="14547718478.6"/>
    <n v="1133112285.3199999"/>
    <n v="621131673.86000001"/>
    <n v="420675779.75"/>
    <n v="379030194.54000002"/>
    <n v="605983457.17999995"/>
    <n v="262231622.30000001"/>
    <n v="292435393.60000002"/>
    <n v="320320324.08999997"/>
    <n v="361018078.88999999"/>
    <n v="2458275660.7399998"/>
    <n v="229694664.15000001"/>
    <n v="21631627613.02"/>
    <n v="-4266432256.02"/>
    <n v="124.57"/>
    <n v="-24.57"/>
  </r>
  <r>
    <x v="158"/>
    <x v="10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781000000"/>
    <n v="2781000000"/>
    <n v="2781000000"/>
    <n v="104807419.22"/>
    <n v="949677882.19000006"/>
    <n v="228689459.31"/>
    <n v="158143938.34"/>
    <n v="221379031.34999999"/>
    <n v="250161728.56999999"/>
    <n v="228474998.40000001"/>
    <n v="412086020.24000001"/>
    <n v="232687155.94999999"/>
    <n v="118708256.73999999"/>
    <n v="505767948.68000001"/>
    <n v="284422906.39999998"/>
    <n v="3695006745.3899999"/>
    <n v="-914006745.38999999"/>
    <n v="132.87"/>
    <n v="-32.869999999999997"/>
  </r>
  <r>
    <x v="159"/>
    <x v="10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0383125794"/>
    <n v="31043575472.849998"/>
    <n v="31043575472.849998"/>
    <n v="0"/>
    <n v="0"/>
    <n v="529922250"/>
    <n v="0"/>
    <n v="1798650889.3199999"/>
    <n v="3615623845.9400001"/>
    <n v="7884757207.6800003"/>
    <n v="0"/>
    <n v="12343114487.6"/>
    <n v="0"/>
    <n v="4867585521.8000002"/>
    <n v="0"/>
    <n v="31039654202.34"/>
    <n v="3921270.51"/>
    <n v="99.99"/>
    <n v="0.01"/>
  </r>
  <r>
    <x v="235"/>
    <x v="10"/>
    <x v="204"/>
    <n v="1"/>
    <x v="0"/>
    <n v="14"/>
    <x v="3"/>
    <n v="141"/>
    <x v="10"/>
    <n v="1412"/>
    <x v="27"/>
    <n v="141201"/>
    <x v="45"/>
    <n v="14120102"/>
    <x v="95"/>
    <n v="141201020"/>
    <x v="0"/>
    <n v="1412010200"/>
    <x v="0"/>
    <n v="1"/>
    <s v="Ingresos corrientes"/>
    <n v="409000000"/>
    <n v="409000000"/>
    <n v="409000000"/>
    <n v="0"/>
    <n v="0"/>
    <n v="0"/>
    <n v="0"/>
    <n v="0"/>
    <n v="0"/>
    <n v="0"/>
    <n v="0"/>
    <n v="0"/>
    <n v="0"/>
    <n v="0"/>
    <n v="0"/>
    <n v="0"/>
    <n v="409000000"/>
    <n v="0"/>
    <n v="100"/>
  </r>
  <r>
    <x v="160"/>
    <x v="10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349057709"/>
    <n v="12349057709"/>
    <n v="12349057709"/>
    <n v="0"/>
    <n v="0"/>
    <n v="11235000"/>
    <n v="2172190000"/>
    <n v="1471072500"/>
    <n v="843885000"/>
    <n v="924155000"/>
    <n v="956221250"/>
    <n v="962068750"/>
    <n v="955561250"/>
    <n v="856642500"/>
    <n v="905575000"/>
    <n v="10058606250"/>
    <n v="2290451459"/>
    <n v="81.45"/>
    <n v="18.55"/>
  </r>
  <r>
    <x v="196"/>
    <x v="10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150000000"/>
    <n v="150000000"/>
    <n v="0"/>
    <n v="300000000"/>
    <n v="150000000"/>
    <n v="150000000"/>
    <n v="0"/>
    <n v="150000000"/>
    <n v="0"/>
    <n v="300000000"/>
    <n v="0"/>
    <n v="1350000000"/>
    <n v="450000000"/>
    <n v="75"/>
    <n v="25"/>
  </r>
  <r>
    <x v="208"/>
    <x v="10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3338395087"/>
    <n v="73338395087"/>
    <n v="73338395087"/>
    <n v="0"/>
    <n v="6111532923.9200001"/>
    <n v="6111532923.9200001"/>
    <n v="1822054221.2"/>
    <n v="12223065847.799999"/>
    <n v="6111532923.8999996"/>
    <n v="6111532923.8999996"/>
    <n v="6111532913.8999996"/>
    <n v="0"/>
    <n v="6111532923.8999996"/>
    <n v="12223065847"/>
    <n v="6111532923.8999996"/>
    <n v="69048916373.339996"/>
    <n v="4289478713.6599998"/>
    <n v="94.15"/>
    <n v="5.85"/>
  </r>
  <r>
    <x v="209"/>
    <x v="10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3804222149.8899999"/>
    <n v="0"/>
    <n v="10030631113.629999"/>
    <n v="3903421565.46"/>
    <n v="0"/>
    <n v="0"/>
    <n v="0"/>
    <n v="0"/>
    <n v="0"/>
    <n v="0"/>
    <n v="17738274828.98"/>
    <n v="0.02"/>
    <n v="100"/>
    <n v="0"/>
  </r>
  <r>
    <x v="210"/>
    <x v="10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3594172693.8499999"/>
    <n v="4445000000"/>
    <n v="3545000000"/>
    <n v="0"/>
    <n v="7001169901.3999996"/>
    <n v="4742321999.8999996"/>
    <n v="3487982000"/>
    <n v="0"/>
    <n v="7307606000"/>
    <n v="0"/>
    <n v="7904337500"/>
    <n v="5502916517.3999996"/>
    <n v="47530506612.550003"/>
    <n v="2469493387.4499998"/>
    <n v="95.06"/>
    <n v="4.9400000000000004"/>
  </r>
  <r>
    <x v="211"/>
    <x v="10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0000"/>
    <n v="0"/>
    <n v="1162582259"/>
    <n v="631735341.20000005"/>
    <n v="0"/>
    <n v="1159869671"/>
    <n v="625050006"/>
    <n v="607437982"/>
    <n v="598103520"/>
    <n v="598159941"/>
    <n v="6579138720.1999998"/>
    <n v="598103519.79999995"/>
    <n v="91.67"/>
    <n v="8.33"/>
  </r>
  <r>
    <x v="212"/>
    <x v="10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932734150"/>
    <n v="2932734150"/>
    <n v="2932734150"/>
    <n v="0"/>
    <n v="147235070"/>
    <n v="0"/>
    <n v="520650297.88"/>
    <n v="94893563.280000001"/>
    <n v="0"/>
    <n v="0"/>
    <n v="172551491.40000001"/>
    <n v="0"/>
    <n v="95674948.109999999"/>
    <n v="301639173.55000001"/>
    <n v="246418158.55000001"/>
    <n v="1579062702.77"/>
    <n v="1353671447.23"/>
    <n v="53.84"/>
    <n v="46.16"/>
  </r>
  <r>
    <x v="301"/>
    <x v="10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92"/>
    <x v="10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29363146"/>
    <n v="3429363146"/>
    <n v="3429363146"/>
    <n v="0"/>
    <n v="428595458.55000001"/>
    <n v="216406601.12"/>
    <n v="222983582.75999999"/>
    <n v="222783386.13"/>
    <n v="224151656.47"/>
    <n v="231144944.65000001"/>
    <n v="224440363.31"/>
    <n v="228884126.75999999"/>
    <n v="231158528.19999999"/>
    <n v="228202322.43000001"/>
    <n v="657509748"/>
    <n v="3116260718.3800001"/>
    <n v="313102427.62"/>
    <n v="90.87"/>
    <n v="9.1300000000000008"/>
  </r>
  <r>
    <x v="269"/>
    <x v="10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9367131"/>
    <n v="649367131"/>
    <n v="649367131"/>
    <n v="0"/>
    <n v="0"/>
    <n v="0"/>
    <n v="0"/>
    <n v="0"/>
    <n v="0"/>
    <n v="529612000"/>
    <n v="0"/>
    <n v="0"/>
    <n v="0"/>
    <n v="0"/>
    <n v="0"/>
    <n v="529612000"/>
    <n v="119755131"/>
    <n v="81.56"/>
    <n v="18.440000000000001"/>
  </r>
  <r>
    <x v="270"/>
    <x v="10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55240461"/>
    <n v="555240461"/>
    <n v="555240461"/>
    <n v="0"/>
    <n v="0"/>
    <n v="0"/>
    <n v="0"/>
    <n v="174743431.16999999"/>
    <n v="43876135.75"/>
    <n v="44217735.75"/>
    <n v="0"/>
    <n v="0"/>
    <n v="101939945.47"/>
    <n v="29623669.079999998"/>
    <n v="19740227.329999998"/>
    <n v="414141144.55000001"/>
    <n v="141099316.44999999"/>
    <n v="74.59"/>
    <n v="25.41"/>
  </r>
  <r>
    <x v="308"/>
    <x v="10"/>
    <x v="271"/>
    <n v="1"/>
    <x v="0"/>
    <n v="14"/>
    <x v="3"/>
    <n v="141"/>
    <x v="10"/>
    <n v="1412"/>
    <x v="27"/>
    <n v="141212"/>
    <x v="103"/>
    <n v="14121200"/>
    <x v="0"/>
    <n v="141212000"/>
    <x v="0"/>
    <n v="14121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385925120.58999997"/>
    <n v="385925120.58999997"/>
    <n v="-385925120.58999997"/>
    <n v="0"/>
    <n v="100"/>
  </r>
  <r>
    <x v="94"/>
    <x v="10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3700000"/>
    <n v="3700000"/>
    <n v="3700000"/>
    <n v="0"/>
    <n v="3700000"/>
    <n v="0"/>
    <n v="0"/>
    <n v="0"/>
    <n v="0"/>
    <n v="0"/>
    <n v="0"/>
    <n v="0"/>
    <n v="0"/>
    <n v="0"/>
    <n v="0"/>
    <n v="3700000"/>
    <n v="0"/>
    <n v="100"/>
    <n v="0"/>
  </r>
  <r>
    <x v="164"/>
    <x v="10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0"/>
    <n v="0"/>
    <n v="0"/>
    <n v="0"/>
    <n v="0"/>
    <n v="0"/>
    <n v="0"/>
    <n v="0"/>
    <n v="0"/>
    <n v="0"/>
    <n v="0"/>
    <n v="0"/>
    <n v="300000"/>
    <n v="0"/>
    <n v="100"/>
  </r>
  <r>
    <x v="95"/>
    <x v="10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8800000"/>
    <n v="38800000"/>
    <n v="38800000"/>
    <n v="0"/>
    <n v="0"/>
    <n v="38800000"/>
    <n v="0"/>
    <n v="0"/>
    <n v="0"/>
    <n v="0"/>
    <n v="0"/>
    <n v="0"/>
    <n v="0"/>
    <n v="0"/>
    <n v="0"/>
    <n v="38800000"/>
    <n v="0"/>
    <n v="100"/>
    <n v="0"/>
  </r>
  <r>
    <x v="96"/>
    <x v="10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100000"/>
    <n v="7100000"/>
    <n v="7100000"/>
    <n v="0"/>
    <n v="0"/>
    <n v="0"/>
    <n v="0"/>
    <n v="0"/>
    <n v="0"/>
    <n v="0"/>
    <n v="0"/>
    <n v="7100000"/>
    <n v="0"/>
    <n v="0"/>
    <n v="0"/>
    <n v="7100000"/>
    <n v="0"/>
    <n v="100"/>
    <n v="0"/>
  </r>
  <r>
    <x v="97"/>
    <x v="10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3300000"/>
    <n v="53300000"/>
    <n v="53300000"/>
    <n v="0"/>
    <n v="53300000"/>
    <n v="0"/>
    <n v="0"/>
    <n v="0"/>
    <n v="0"/>
    <n v="0"/>
    <n v="0"/>
    <n v="0"/>
    <n v="0"/>
    <n v="0"/>
    <n v="0"/>
    <n v="53300000"/>
    <n v="0"/>
    <n v="100"/>
    <n v="0"/>
  </r>
  <r>
    <x v="165"/>
    <x v="10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41700000"/>
    <n v="41700000"/>
    <n v="41700000"/>
    <n v="0"/>
    <n v="0"/>
    <n v="0"/>
    <n v="0"/>
    <n v="0"/>
    <n v="0"/>
    <n v="41700000"/>
    <n v="0"/>
    <n v="0"/>
    <n v="0"/>
    <n v="0"/>
    <n v="0"/>
    <n v="41700000"/>
    <n v="0"/>
    <n v="100"/>
    <n v="0"/>
  </r>
  <r>
    <x v="197"/>
    <x v="10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57200000"/>
    <n v="57200000"/>
    <n v="57200000"/>
    <n v="0"/>
    <n v="50000000"/>
    <n v="0"/>
    <n v="0"/>
    <n v="6000000"/>
    <n v="0"/>
    <n v="0"/>
    <n v="30093359.829999998"/>
    <n v="0"/>
    <n v="-280505.58"/>
    <n v="0"/>
    <n v="0"/>
    <n v="85812854.25"/>
    <n v="-28612854.25"/>
    <n v="150.02000000000001"/>
    <n v="-50.02"/>
  </r>
  <r>
    <x v="166"/>
    <x v="10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0000000"/>
    <n v="10000000"/>
    <n v="10000000"/>
    <n v="0"/>
    <n v="0"/>
    <n v="0"/>
    <n v="0"/>
    <n v="0"/>
    <n v="0"/>
    <n v="0"/>
    <n v="0"/>
    <n v="10000000"/>
    <n v="0"/>
    <n v="0"/>
    <n v="0"/>
    <n v="10000000"/>
    <n v="0"/>
    <n v="100"/>
    <n v="0"/>
  </r>
  <r>
    <x v="99"/>
    <x v="10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60200000"/>
    <n v="60200000"/>
    <n v="60200000"/>
    <n v="0"/>
    <n v="0"/>
    <n v="0"/>
    <n v="60200000"/>
    <n v="0"/>
    <n v="0"/>
    <n v="0"/>
    <n v="0"/>
    <n v="0"/>
    <n v="0"/>
    <n v="0"/>
    <n v="0"/>
    <n v="60200000"/>
    <n v="0"/>
    <n v="100"/>
    <n v="0"/>
  </r>
  <r>
    <x v="100"/>
    <x v="10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200000"/>
    <n v="8200000"/>
    <n v="8200000"/>
    <n v="0"/>
    <n v="0"/>
    <n v="0"/>
    <n v="8200000"/>
    <n v="0"/>
    <n v="0"/>
    <n v="0"/>
    <n v="0"/>
    <n v="0"/>
    <n v="0"/>
    <n v="0"/>
    <n v="0"/>
    <n v="8200000"/>
    <n v="0"/>
    <n v="100"/>
    <n v="0"/>
  </r>
  <r>
    <x v="101"/>
    <x v="10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46000000"/>
    <n v="146000000"/>
    <n v="146000000"/>
    <n v="0"/>
    <n v="0"/>
    <n v="0"/>
    <n v="0"/>
    <n v="0"/>
    <n v="0"/>
    <n v="146000000"/>
    <n v="0"/>
    <n v="0"/>
    <n v="0"/>
    <n v="0"/>
    <n v="0"/>
    <n v="146000000"/>
    <n v="0"/>
    <n v="100"/>
    <n v="0"/>
  </r>
  <r>
    <x v="102"/>
    <x v="10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1100000"/>
    <n v="31100000"/>
    <n v="31100000"/>
    <n v="0"/>
    <n v="9200000"/>
    <n v="0"/>
    <n v="0"/>
    <n v="0"/>
    <n v="7775000"/>
    <n v="7775000"/>
    <n v="0"/>
    <n v="0"/>
    <n v="0"/>
    <n v="0"/>
    <n v="15550000"/>
    <n v="40300000"/>
    <n v="-9200000"/>
    <n v="129.58000000000001"/>
    <n v="-29.58"/>
  </r>
  <r>
    <x v="105"/>
    <x v="10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408688490"/>
    <n v="5408688490"/>
    <n v="5408688490"/>
    <n v="0"/>
    <n v="0"/>
    <n v="0"/>
    <n v="0"/>
    <n v="0"/>
    <n v="0"/>
    <n v="0"/>
    <n v="0"/>
    <n v="5408688491"/>
    <n v="0"/>
    <n v="0"/>
    <n v="0"/>
    <n v="5408688491"/>
    <n v="-1"/>
    <n v="100"/>
    <n v="0"/>
  </r>
  <r>
    <x v="167"/>
    <x v="10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532900000"/>
    <n v="532900000"/>
    <n v="532900000"/>
    <n v="70272610.159999996"/>
    <n v="0"/>
    <n v="0"/>
    <n v="0"/>
    <n v="0"/>
    <n v="0"/>
    <n v="0"/>
    <n v="0"/>
    <n v="88816666.659999996"/>
    <n v="0"/>
    <n v="88816666.659999996"/>
    <n v="0"/>
    <n v="247905943.47999999"/>
    <n v="284994056.51999998"/>
    <n v="46.52"/>
    <n v="53.48"/>
  </r>
  <r>
    <x v="249"/>
    <x v="10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6484798"/>
    <n v="446484798"/>
    <n v="446484798"/>
    <n v="0"/>
    <n v="0"/>
    <n v="0"/>
    <n v="0"/>
    <n v="403930176.5"/>
    <n v="0"/>
    <n v="0"/>
    <n v="0"/>
    <n v="0"/>
    <n v="0"/>
    <n v="0"/>
    <n v="41144269.5"/>
    <n v="445074446"/>
    <n v="1410352"/>
    <n v="99.68"/>
    <n v="0.32"/>
  </r>
  <r>
    <x v="290"/>
    <x v="10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1000000"/>
    <n v="31000000"/>
    <n v="31000000"/>
    <n v="0"/>
    <n v="0"/>
    <n v="0"/>
    <n v="0"/>
    <n v="1200000"/>
    <n v="0"/>
    <n v="0"/>
    <n v="0"/>
    <n v="0"/>
    <n v="0"/>
    <n v="0"/>
    <n v="0"/>
    <n v="1200000"/>
    <n v="29800000"/>
    <n v="3.87"/>
    <n v="96.13"/>
  </r>
  <r>
    <x v="106"/>
    <x v="10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500000000"/>
    <n v="500000000"/>
    <n v="500000000"/>
    <n v="122445663.58"/>
    <n v="14711359.01"/>
    <n v="27273611.350000001"/>
    <n v="105130309.98999999"/>
    <n v="128219321.62"/>
    <n v="114222918.14"/>
    <n v="112567657.22"/>
    <n v="45999516.740000002"/>
    <n v="41324091.939999998"/>
    <n v="96682589.180000007"/>
    <n v="135629584.66999999"/>
    <n v="78623268.780000001"/>
    <n v="1022829892.22"/>
    <n v="-522829892.22000003"/>
    <n v="204.57"/>
    <n v="-104.57"/>
  </r>
  <r>
    <x v="107"/>
    <x v="10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5900000"/>
    <n v="145900000"/>
    <n v="145900000"/>
    <n v="0"/>
    <n v="0"/>
    <n v="120000000"/>
    <n v="0"/>
    <n v="0"/>
    <n v="0"/>
    <n v="0"/>
    <n v="0"/>
    <n v="0"/>
    <n v="0"/>
    <n v="0"/>
    <n v="25900000"/>
    <n v="145900000"/>
    <n v="0"/>
    <n v="100"/>
    <n v="0"/>
  </r>
  <r>
    <x v="108"/>
    <x v="10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03900000"/>
    <n v="303900000"/>
    <n v="303900000"/>
    <n v="0"/>
    <n v="0"/>
    <n v="0"/>
    <n v="0"/>
    <n v="0"/>
    <n v="0"/>
    <n v="0"/>
    <n v="0"/>
    <n v="0"/>
    <n v="0"/>
    <n v="0"/>
    <n v="303900000"/>
    <n v="303900000"/>
    <n v="0"/>
    <n v="100"/>
    <n v="0"/>
  </r>
  <r>
    <x v="109"/>
    <x v="10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19500000"/>
    <n v="19500000"/>
    <n v="19500000"/>
    <n v="0"/>
    <n v="0"/>
    <n v="0"/>
    <n v="19500000"/>
    <n v="8025906.8700000001"/>
    <n v="-8025906.8700000001"/>
    <n v="0"/>
    <n v="0"/>
    <n v="0"/>
    <n v="0"/>
    <n v="0"/>
    <n v="0"/>
    <n v="19500000"/>
    <n v="0"/>
    <n v="100"/>
    <n v="0"/>
  </r>
  <r>
    <x v="110"/>
    <x v="10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8000000"/>
    <n v="38000000"/>
    <n v="38000000"/>
    <n v="0"/>
    <n v="0"/>
    <n v="0"/>
    <n v="33000000"/>
    <n v="0"/>
    <n v="0"/>
    <n v="0"/>
    <n v="0"/>
    <n v="0"/>
    <n v="0"/>
    <n v="5000000"/>
    <n v="0"/>
    <n v="38000000"/>
    <n v="0"/>
    <n v="100"/>
    <n v="0"/>
  </r>
  <r>
    <x v="111"/>
    <x v="10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3800000"/>
    <n v="23800000"/>
    <n v="23800000"/>
    <n v="0"/>
    <n v="0"/>
    <n v="0"/>
    <n v="0"/>
    <n v="0"/>
    <n v="0"/>
    <n v="0"/>
    <n v="0"/>
    <n v="0"/>
    <n v="0"/>
    <n v="0"/>
    <n v="0"/>
    <n v="0"/>
    <n v="23800000"/>
    <n v="0"/>
    <n v="100"/>
  </r>
  <r>
    <x v="218"/>
    <x v="10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0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778600000"/>
    <n v="778600000"/>
    <n v="778600000"/>
    <n v="598700000"/>
    <n v="0"/>
    <n v="0"/>
    <n v="0"/>
    <n v="0"/>
    <n v="0"/>
    <n v="0"/>
    <n v="0"/>
    <n v="0"/>
    <n v="0"/>
    <n v="778600000"/>
    <n v="0"/>
    <n v="1377300000"/>
    <n v="-598700000"/>
    <n v="176.89"/>
    <n v="-76.89"/>
  </r>
  <r>
    <x v="169"/>
    <x v="10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23300000"/>
    <n v="123300000"/>
    <n v="123300000"/>
    <n v="10275000"/>
    <n v="0"/>
    <n v="20550000"/>
    <n v="10275000"/>
    <n v="10275000"/>
    <n v="10275000"/>
    <n v="10275000"/>
    <n v="10275000"/>
    <n v="10275000"/>
    <n v="10275000"/>
    <n v="10275000"/>
    <n v="0"/>
    <n v="113025000"/>
    <n v="10275000"/>
    <n v="91.67"/>
    <n v="8.33"/>
  </r>
  <r>
    <x v="170"/>
    <x v="10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027700000"/>
    <n v="1027700000"/>
    <n v="1027700000"/>
    <n v="0"/>
    <n v="0"/>
    <n v="0"/>
    <n v="0"/>
    <n v="0"/>
    <n v="0"/>
    <n v="0"/>
    <n v="0"/>
    <n v="0"/>
    <n v="0"/>
    <n v="0"/>
    <n v="1027700000"/>
    <n v="1027700000"/>
    <n v="0"/>
    <n v="100"/>
    <n v="0"/>
  </r>
  <r>
    <x v="171"/>
    <x v="10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7900000"/>
    <n v="27900000"/>
    <n v="27900000"/>
    <n v="0"/>
    <n v="0"/>
    <n v="27900000"/>
    <n v="0"/>
    <n v="0"/>
    <n v="0"/>
    <n v="0"/>
    <n v="0"/>
    <n v="0"/>
    <n v="0"/>
    <n v="0"/>
    <n v="0"/>
    <n v="27900000"/>
    <n v="0"/>
    <n v="100"/>
    <n v="0"/>
  </r>
  <r>
    <x v="198"/>
    <x v="10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8300000"/>
    <n v="18300000"/>
    <n v="18300000"/>
    <n v="0"/>
    <n v="0"/>
    <n v="0"/>
    <n v="0"/>
    <n v="0"/>
    <n v="18300000"/>
    <n v="0"/>
    <n v="0"/>
    <n v="0"/>
    <n v="0"/>
    <n v="0"/>
    <n v="0"/>
    <n v="18300000"/>
    <n v="0"/>
    <n v="100"/>
    <n v="0"/>
  </r>
  <r>
    <x v="251"/>
    <x v="10"/>
    <x v="219"/>
    <n v="1"/>
    <x v="0"/>
    <n v="14"/>
    <x v="3"/>
    <n v="143"/>
    <x v="18"/>
    <n v="1432"/>
    <x v="40"/>
    <n v="143203"/>
    <x v="76"/>
    <n v="14320300"/>
    <x v="0"/>
    <n v="143203000"/>
    <x v="0"/>
    <n v="1432030000"/>
    <x v="0"/>
    <n v="1"/>
    <s v="Ingresos corrientes"/>
    <n v="2172300000"/>
    <n v="1468542121"/>
    <n v="1468542121"/>
    <n v="0"/>
    <n v="0"/>
    <n v="0"/>
    <n v="0"/>
    <n v="0"/>
    <n v="0"/>
    <n v="0"/>
    <n v="0"/>
    <n v="0"/>
    <n v="0"/>
    <n v="0"/>
    <n v="1468542194.48"/>
    <n v="1468542194.48"/>
    <n v="-73.48"/>
    <n v="100"/>
    <n v="0"/>
  </r>
  <r>
    <x v="292"/>
    <x v="10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5291350"/>
    <n v="25291350"/>
    <n v="0"/>
    <n v="0"/>
    <n v="0"/>
    <n v="0"/>
    <n v="0"/>
    <n v="0"/>
    <n v="0"/>
    <n v="0"/>
    <n v="0"/>
    <n v="252710424.06999999"/>
    <n v="0"/>
    <n v="-227419074.06999999"/>
    <n v="25291350"/>
    <n v="0"/>
    <n v="100"/>
    <n v="0"/>
  </r>
  <r>
    <x v="309"/>
    <x v="10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227419074.06999999"/>
    <n v="227419074.06999999"/>
    <n v="0"/>
    <n v="0"/>
    <n v="0"/>
    <n v="0"/>
    <n v="0"/>
    <n v="0"/>
    <n v="0"/>
    <n v="0"/>
    <n v="0"/>
    <n v="0"/>
    <n v="0"/>
    <n v="227419074.06999999"/>
    <n v="227419074.06999999"/>
    <n v="0"/>
    <n v="100"/>
    <n v="0"/>
  </r>
  <r>
    <x v="252"/>
    <x v="10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0"/>
    <n v="0"/>
    <n v="0"/>
    <n v="0"/>
    <n v="0"/>
    <n v="0"/>
    <n v="0"/>
    <n v="0"/>
    <n v="240339148.59999999"/>
    <n v="240339148.59999999"/>
    <n v="-240339148.59999999"/>
    <n v="0"/>
    <n v="100"/>
  </r>
  <r>
    <x v="294"/>
    <x v="10"/>
    <x v="258"/>
    <n v="2"/>
    <x v="1"/>
    <n v="24"/>
    <x v="4"/>
    <n v="241"/>
    <x v="12"/>
    <n v="2412"/>
    <x v="33"/>
    <n v="241207"/>
    <x v="98"/>
    <n v="24120700"/>
    <x v="0"/>
    <n v="241207000"/>
    <x v="0"/>
    <n v="2412070000"/>
    <x v="0"/>
    <n v="60"/>
    <s v="Transferencia de capital OD"/>
    <n v="1586909834"/>
    <n v="1586909834"/>
    <n v="1586909834"/>
    <n v="1586896833.8299999"/>
    <n v="0"/>
    <n v="0"/>
    <n v="0"/>
    <n v="0"/>
    <n v="0"/>
    <n v="0"/>
    <n v="0"/>
    <n v="0"/>
    <n v="0"/>
    <n v="0"/>
    <n v="0"/>
    <n v="1586896833.8299999"/>
    <n v="13000.17"/>
    <n v="100"/>
    <n v="0"/>
  </r>
  <r>
    <x v="277"/>
    <x v="10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1000000000"/>
    <n v="1000000000"/>
    <n v="0"/>
    <n v="0"/>
    <n v="0"/>
    <n v="0"/>
    <n v="0"/>
    <n v="0"/>
    <n v="0"/>
    <n v="0"/>
    <n v="0"/>
    <n v="0"/>
    <n v="0"/>
    <n v="0"/>
    <n v="0"/>
    <n v="1000000000"/>
    <n v="0"/>
    <n v="100"/>
  </r>
  <r>
    <x v="310"/>
    <x v="10"/>
    <x v="236"/>
    <n v="2"/>
    <x v="1"/>
    <n v="24"/>
    <x v="4"/>
    <n v="241"/>
    <x v="12"/>
    <n v="2412"/>
    <x v="33"/>
    <n v="241209"/>
    <x v="105"/>
    <n v="24120900"/>
    <x v="0"/>
    <n v="241209000"/>
    <x v="0"/>
    <n v="2412090000"/>
    <x v="0"/>
    <n v="60"/>
    <s v="Transferencia de capital OD"/>
    <n v="450000000"/>
    <n v="450000000"/>
    <n v="450000000"/>
    <n v="0"/>
    <n v="0"/>
    <n v="0"/>
    <n v="0"/>
    <n v="0"/>
    <n v="0"/>
    <n v="450000000"/>
    <n v="0"/>
    <n v="0"/>
    <n v="0"/>
    <n v="0"/>
    <n v="0"/>
    <n v="450000000"/>
    <n v="0"/>
    <n v="100"/>
    <n v="0"/>
  </r>
  <r>
    <x v="311"/>
    <x v="10"/>
    <x v="273"/>
    <n v="2"/>
    <x v="1"/>
    <n v="24"/>
    <x v="4"/>
    <n v="241"/>
    <x v="12"/>
    <n v="2412"/>
    <x v="33"/>
    <n v="241210"/>
    <x v="106"/>
    <n v="24121000"/>
    <x v="0"/>
    <n v="241210000"/>
    <x v="0"/>
    <n v="2412100000"/>
    <x v="0"/>
    <n v="60"/>
    <s v="Transferencia de capital OD"/>
    <n v="430000000"/>
    <n v="430000000"/>
    <n v="430000000"/>
    <n v="430000000"/>
    <n v="0"/>
    <n v="0"/>
    <n v="0"/>
    <n v="0"/>
    <n v="0"/>
    <n v="0"/>
    <n v="0"/>
    <n v="0"/>
    <n v="0"/>
    <n v="0"/>
    <n v="0"/>
    <n v="430000000"/>
    <n v="0"/>
    <n v="100"/>
    <n v="0"/>
  </r>
  <r>
    <x v="312"/>
    <x v="10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2044644487"/>
    <n v="2523793796"/>
    <n v="2523793796"/>
    <n v="2044644487"/>
    <n v="0"/>
    <n v="0"/>
    <n v="0"/>
    <n v="0"/>
    <n v="0"/>
    <n v="0"/>
    <n v="0"/>
    <n v="0"/>
    <n v="479149309"/>
    <n v="0"/>
    <n v="0"/>
    <n v="2523793796"/>
    <n v="0"/>
    <n v="100"/>
    <n v="0"/>
  </r>
  <r>
    <x v="313"/>
    <x v="10"/>
    <x v="275"/>
    <n v="2"/>
    <x v="1"/>
    <n v="24"/>
    <x v="4"/>
    <n v="241"/>
    <x v="12"/>
    <n v="2412"/>
    <x v="33"/>
    <n v="241212"/>
    <x v="108"/>
    <n v="24121200"/>
    <x v="0"/>
    <n v="241212000"/>
    <x v="0"/>
    <n v="2412120000"/>
    <x v="0"/>
    <n v="60"/>
    <s v="Transferencia de capital OD"/>
    <n v="61442827"/>
    <n v="61442827"/>
    <n v="61442827"/>
    <n v="61442827"/>
    <n v="0"/>
    <n v="0"/>
    <n v="0"/>
    <n v="0"/>
    <n v="0"/>
    <n v="0"/>
    <n v="0"/>
    <n v="0"/>
    <n v="0"/>
    <n v="0"/>
    <n v="0"/>
    <n v="61442827"/>
    <n v="0"/>
    <n v="100"/>
    <n v="0"/>
  </r>
  <r>
    <x v="314"/>
    <x v="10"/>
    <x v="276"/>
    <n v="2"/>
    <x v="1"/>
    <n v="24"/>
    <x v="4"/>
    <n v="241"/>
    <x v="12"/>
    <n v="2412"/>
    <x v="33"/>
    <n v="241213"/>
    <x v="109"/>
    <n v="24121300"/>
    <x v="0"/>
    <n v="241213000"/>
    <x v="0"/>
    <n v="2412130000"/>
    <x v="0"/>
    <n v="60"/>
    <s v="Transferencia de capital OD"/>
    <n v="1761796590"/>
    <n v="1761796590"/>
    <n v="1761796590"/>
    <n v="1761796590"/>
    <n v="0"/>
    <n v="0"/>
    <n v="0"/>
    <n v="0"/>
    <n v="0"/>
    <n v="0"/>
    <n v="0"/>
    <n v="0"/>
    <n v="0"/>
    <n v="0"/>
    <n v="0"/>
    <n v="1761796590"/>
    <n v="0"/>
    <n v="100"/>
    <n v="0"/>
  </r>
  <r>
    <x v="174"/>
    <x v="10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791509241452"/>
    <n v="976809241452"/>
    <n v="976809241452"/>
    <n v="19448129227.049999"/>
    <n v="1302796242.6700001"/>
    <n v="6974974841.7600002"/>
    <n v="7500076682.79"/>
    <n v="23361743027.82"/>
    <n v="20139513359"/>
    <n v="17581935243.060001"/>
    <n v="33250070014.790001"/>
    <n v="33737895659.259998"/>
    <n v="49822921506.830002"/>
    <n v="102113558348.72"/>
    <n v="567280561384.21997"/>
    <n v="882514175537.96997"/>
    <n v="94295065914.029999"/>
    <n v="90.35"/>
    <n v="9.65"/>
  </r>
  <r>
    <x v="200"/>
    <x v="10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3716722788"/>
    <n v="3754486044"/>
    <n v="3754486044"/>
    <n v="0"/>
    <n v="0"/>
    <n v="0"/>
    <n v="0"/>
    <n v="0"/>
    <n v="0"/>
    <n v="0"/>
    <n v="0"/>
    <n v="0"/>
    <n v="0"/>
    <n v="0"/>
    <n v="0"/>
    <n v="0"/>
    <n v="3754486044"/>
    <n v="0"/>
    <n v="100"/>
  </r>
  <r>
    <x v="254"/>
    <x v="10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75000000000"/>
    <n v="75000000000"/>
    <n v="0"/>
    <n v="0"/>
    <n v="0"/>
    <n v="0"/>
    <n v="0"/>
    <n v="0"/>
    <n v="0"/>
    <n v="0"/>
    <n v="0"/>
    <n v="0"/>
    <n v="0"/>
    <n v="0"/>
    <n v="0"/>
    <n v="75000000000"/>
    <n v="0"/>
    <n v="100"/>
  </r>
  <r>
    <x v="175"/>
    <x v="10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211990793928"/>
    <n v="3098178454245.1899"/>
    <n v="3098178454245.1899"/>
    <n v="204036459193.26999"/>
    <n v="194536633678.79999"/>
    <n v="255712124156.22"/>
    <n v="133738719363.12"/>
    <n v="237412208601.76001"/>
    <n v="230901893998.5"/>
    <n v="59613484821.800003"/>
    <n v="107641712601.8"/>
    <n v="313053796613.03003"/>
    <n v="139764654150.04999"/>
    <n v="188140585682.32001"/>
    <n v="245612245651.63"/>
    <n v="2310164518512.2998"/>
    <n v="788013935732.89001"/>
    <n v="74.569999999999993"/>
    <n v="25.43"/>
  </r>
  <r>
    <x v="201"/>
    <x v="10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0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5831035543.599998"/>
    <n v="3244734217.0599999"/>
    <n v="0"/>
    <n v="0"/>
    <n v="0"/>
    <n v="0"/>
    <n v="0"/>
    <n v="0"/>
    <n v="0"/>
    <n v="418201920.06"/>
    <n v="3389997"/>
    <n v="2823142300"/>
    <n v="0"/>
    <n v="0"/>
    <n v="3244734217.0599999"/>
    <n v="0"/>
    <n v="100"/>
    <n v="0"/>
  </r>
  <r>
    <x v="202"/>
    <x v="10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0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6090697028.5600004"/>
    <n v="511677280.36000001"/>
    <n v="0"/>
    <n v="0"/>
    <n v="0"/>
    <n v="0"/>
    <n v="0"/>
    <n v="0"/>
    <n v="511677280.36000001"/>
    <n v="0"/>
    <n v="0"/>
    <n v="0"/>
    <n v="0"/>
    <n v="0"/>
    <n v="511677280.36000001"/>
    <n v="0"/>
    <n v="100"/>
    <n v="0"/>
  </r>
  <r>
    <x v="239"/>
    <x v="10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12732274456.049999"/>
    <n v="10328374161.77"/>
    <n v="6437185.9900000002"/>
    <n v="1634527257.1199999"/>
    <n v="1019756942.5700001"/>
    <n v="971199348.16999996"/>
    <n v="1059353530.99"/>
    <n v="0"/>
    <n v="1172597082.1300001"/>
    <n v="627513861.66999996"/>
    <n v="748281701.59000003"/>
    <n v="945497242.60000002"/>
    <n v="530870397.75"/>
    <n v="1612339611.1900001"/>
    <n v="10328374161.77"/>
    <n v="0"/>
    <n v="100"/>
    <n v="0"/>
  </r>
  <r>
    <x v="240"/>
    <x v="10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1134286650.25"/>
    <n v="1134283714.3800001"/>
    <n v="0"/>
    <n v="0"/>
    <n v="515213203.44"/>
    <n v="0"/>
    <n v="238092690.5"/>
    <n v="0"/>
    <n v="0"/>
    <n v="380977820.44"/>
    <n v="0"/>
    <n v="0"/>
    <n v="0"/>
    <n v="0"/>
    <n v="1134283714.3800001"/>
    <n v="0"/>
    <n v="100"/>
    <n v="0"/>
  </r>
  <r>
    <x v="241"/>
    <x v="10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11265923049.110001"/>
    <n v="11259290310.280001"/>
    <n v="0"/>
    <n v="0"/>
    <n v="0"/>
    <n v="0"/>
    <n v="0"/>
    <n v="0"/>
    <n v="0"/>
    <n v="0"/>
    <n v="6927960000"/>
    <n v="0"/>
    <n v="0"/>
    <n v="4331330310.2799997"/>
    <n v="11259290310.280001"/>
    <n v="0"/>
    <n v="100"/>
    <n v="0"/>
  </r>
  <r>
    <x v="264"/>
    <x v="10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5633878625.68"/>
    <n v="1471003328.8499999"/>
    <n v="13822945.220000001"/>
    <n v="64512642.509999998"/>
    <n v="169691311.59999999"/>
    <n v="139634802.41"/>
    <n v="49297027.219999999"/>
    <n v="0"/>
    <n v="226727202.66"/>
    <n v="203635958.63"/>
    <n v="115846155.87"/>
    <n v="142154410.25"/>
    <n v="155723782.09999999"/>
    <n v="189957090.38"/>
    <n v="1471003328.8499999"/>
    <n v="0"/>
    <n v="100"/>
    <n v="0"/>
  </r>
  <r>
    <x v="278"/>
    <x v="10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219522589600"/>
    <n v="25706950000"/>
    <n v="0"/>
    <n v="0"/>
    <n v="0"/>
    <n v="0"/>
    <n v="0"/>
    <n v="0"/>
    <n v="2874150000"/>
    <n v="0"/>
    <n v="0"/>
    <n v="0"/>
    <n v="0"/>
    <n v="22832800000"/>
    <n v="25706950000"/>
    <n v="0"/>
    <n v="100"/>
    <n v="0"/>
  </r>
  <r>
    <x v="279"/>
    <x v="10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0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233377200000"/>
    <n v="58293900000"/>
    <n v="58293900000"/>
    <n v="0"/>
    <n v="0"/>
    <n v="0"/>
    <n v="0"/>
    <n v="0"/>
    <n v="0"/>
    <n v="0"/>
    <n v="0"/>
    <n v="0"/>
    <n v="0"/>
    <n v="0"/>
    <n v="58293900000"/>
    <n v="0"/>
    <n v="100"/>
    <n v="0"/>
  </r>
  <r>
    <x v="204"/>
    <x v="10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8225886374.529999"/>
    <n v="6648886374.5299997"/>
    <n v="0"/>
    <n v="0"/>
    <n v="0"/>
    <n v="0"/>
    <n v="0"/>
    <n v="0"/>
    <n v="0"/>
    <n v="0"/>
    <n v="0"/>
    <n v="0"/>
    <n v="6648886374.5299997"/>
    <n v="0"/>
    <n v="6648886374.5299997"/>
    <n v="0"/>
    <n v="100"/>
    <n v="0"/>
  </r>
  <r>
    <x v="256"/>
    <x v="10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73878573746.289993"/>
    <n v="46362618310.709999"/>
    <n v="14646899310.709999"/>
    <n v="1706340000"/>
    <n v="0"/>
    <n v="0"/>
    <n v="2942853000"/>
    <n v="0"/>
    <n v="12449145000"/>
    <n v="0"/>
    <n v="2943261000"/>
    <n v="0"/>
    <n v="2576520000"/>
    <n v="9097600000"/>
    <n v="46362618310.709999"/>
    <n v="0"/>
    <n v="100"/>
    <n v="0"/>
  </r>
  <r>
    <x v="224"/>
    <x v="10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17943726783.290001"/>
    <n v="9491272611.6700001"/>
    <n v="0"/>
    <n v="432526367.48000002"/>
    <n v="300875693.83999997"/>
    <n v="1802790404.3199999"/>
    <n v="963774715.46000004"/>
    <n v="0"/>
    <n v="488916106.25999999"/>
    <n v="961263536.45000005"/>
    <n v="546965638.72000003"/>
    <n v="549223400.13999999"/>
    <n v="368327556.45999998"/>
    <n v="3076609192.54"/>
    <n v="9491272611.6700001"/>
    <n v="0"/>
    <n v="100"/>
    <n v="0"/>
  </r>
  <r>
    <x v="225"/>
    <x v="10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9396310744.7900009"/>
    <n v="4411501561.54"/>
    <n v="0"/>
    <n v="0"/>
    <n v="364546627.18000001"/>
    <n v="1264057141.49"/>
    <n v="0"/>
    <n v="0"/>
    <n v="1109237578.05"/>
    <n v="603309544.89999998"/>
    <n v="643282747.46000004"/>
    <n v="0"/>
    <n v="409085659.83999997"/>
    <n v="17982262.620000001"/>
    <n v="4411501561.54"/>
    <n v="0"/>
    <n v="100"/>
    <n v="0"/>
  </r>
  <r>
    <x v="280"/>
    <x v="10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8995205838.7600002"/>
    <n v="1079877561.24"/>
    <n v="0"/>
    <n v="0"/>
    <n v="0"/>
    <n v="0"/>
    <n v="0"/>
    <n v="0"/>
    <n v="0"/>
    <n v="0"/>
    <n v="0"/>
    <n v="1093155912.1700001"/>
    <n v="0"/>
    <n v="-13278350.93"/>
    <n v="1079877561.24"/>
    <n v="0"/>
    <n v="100"/>
    <n v="0"/>
  </r>
  <r>
    <x v="281"/>
    <x v="10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0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6"/>
    <x v="10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0"/>
    <n v="2807635868"/>
    <n v="2807635868"/>
    <n v="0"/>
    <n v="0"/>
    <n v="0"/>
    <n v="0"/>
    <n v="0"/>
    <n v="0"/>
    <n v="0"/>
    <n v="0"/>
    <n v="0"/>
    <n v="0"/>
    <n v="0"/>
    <n v="2807635868"/>
    <n v="2807635868"/>
    <n v="0"/>
    <n v="100"/>
    <n v="0"/>
  </r>
  <r>
    <x v="133"/>
    <x v="11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66000000000"/>
    <n v="261500000000"/>
    <n v="261500000000"/>
    <n v="20073362594.169998"/>
    <n v="19741219713.580002"/>
    <n v="20546226425.200001"/>
    <n v="22922185033.369999"/>
    <n v="20475552922"/>
    <n v="21853624256.459999"/>
    <n v="20779704523.099998"/>
    <n v="21113684730.610001"/>
    <n v="22824462652.27"/>
    <n v="23059201218.23"/>
    <n v="20910163934.939999"/>
    <n v="21390695623.75"/>
    <n v="255690083627.67999"/>
    <n v="5809916372.3199997"/>
    <n v="97.78"/>
    <n v="2.2200000000000002"/>
  </r>
  <r>
    <x v="134"/>
    <x v="11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57500000000"/>
    <n v="177000000000"/>
    <n v="177000000000"/>
    <n v="15307693558.74"/>
    <n v="13263561152.16"/>
    <n v="14090956104.059999"/>
    <n v="17866891029.029999"/>
    <n v="15437513140.68"/>
    <n v="14561524193.02"/>
    <n v="14197045980.190001"/>
    <n v="14131902828.4"/>
    <n v="14076736222.08"/>
    <n v="14893375852.040001"/>
    <n v="13856377890.34"/>
    <n v="14817784422.52"/>
    <n v="176501362373.26001"/>
    <n v="498637626.74000001"/>
    <n v="99.72"/>
    <n v="0.28000000000000003"/>
  </r>
  <r>
    <x v="135"/>
    <x v="11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54000000000"/>
    <n v="54000000000"/>
    <n v="2342391051.54"/>
    <n v="829425611.41999996"/>
    <n v="6603088450.0500002"/>
    <n v="2699327165.5700002"/>
    <n v="962725565.11000001"/>
    <n v="5103821864.46"/>
    <n v="2439299851.6599998"/>
    <n v="817668944.5"/>
    <n v="4483255353"/>
    <n v="3890493275.0700002"/>
    <n v="2449727804.3600001"/>
    <n v="18831891115.84"/>
    <n v="51453116052.580002"/>
    <n v="2546883947.4200001"/>
    <n v="95.28"/>
    <n v="4.72"/>
  </r>
  <r>
    <x v="180"/>
    <x v="11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51300000000"/>
    <n v="122300000000"/>
    <n v="122300000000"/>
    <n v="10699236646.83"/>
    <n v="4382315045.8000002"/>
    <n v="38946381098.699997"/>
    <n v="6116331661.6099997"/>
    <n v="-15445637638.620001"/>
    <n v="15954842002.33"/>
    <n v="6546507272.9200001"/>
    <n v="5668746865.0299997"/>
    <n v="15019818573.469999"/>
    <n v="5916275216.5500002"/>
    <n v="6155196536.3299999"/>
    <n v="15970914024.290001"/>
    <n v="115930927305.24001"/>
    <n v="6369072694.7600002"/>
    <n v="94.79"/>
    <n v="5.21"/>
  </r>
  <r>
    <x v="137"/>
    <x v="11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700000000"/>
    <n v="727000000000"/>
    <n v="727000000000"/>
    <n v="21579794962.900002"/>
    <n v="14983933415.110001"/>
    <n v="144999607432.72"/>
    <n v="20424341443.200001"/>
    <n v="16276981951.48"/>
    <n v="128717443414.64"/>
    <n v="26302682340.049999"/>
    <n v="11855291960.459999"/>
    <n v="121122770388.56"/>
    <n v="30471459457.700001"/>
    <n v="18385406480.41"/>
    <n v="244233023801.01999"/>
    <n v="799352737048.25"/>
    <n v="-72352737048.25"/>
    <n v="109.95"/>
    <n v="-9.9499999999999993"/>
  </r>
  <r>
    <x v="181"/>
    <x v="11"/>
    <x v="161"/>
    <n v="1"/>
    <x v="0"/>
    <n v="11"/>
    <x v="0"/>
    <n v="111"/>
    <x v="0"/>
    <n v="1113"/>
    <x v="2"/>
    <n v="111301"/>
    <x v="5"/>
    <n v="11130101"/>
    <x v="1"/>
    <n v="111301010"/>
    <x v="0"/>
    <n v="1113010100"/>
    <x v="0"/>
    <n v="1"/>
    <s v="Ingresos corrientes"/>
    <n v="1000000000"/>
    <n v="880952381"/>
    <n v="880952381"/>
    <n v="22844377"/>
    <n v="356954586"/>
    <n v="93493654.450000003"/>
    <n v="35492914"/>
    <n v="36924092"/>
    <n v="37748530"/>
    <n v="78299984"/>
    <n v="59424409"/>
    <n v="46469188"/>
    <n v="53052306"/>
    <n v="30673229"/>
    <n v="30350956"/>
    <n v="881728225.45000005"/>
    <n v="-775844.45"/>
    <n v="100.09"/>
    <n v="-0.09"/>
  </r>
  <r>
    <x v="138"/>
    <x v="11"/>
    <x v="120"/>
    <n v="1"/>
    <x v="0"/>
    <n v="11"/>
    <x v="0"/>
    <n v="111"/>
    <x v="0"/>
    <n v="1113"/>
    <x v="2"/>
    <n v="111301"/>
    <x v="5"/>
    <n v="11130102"/>
    <x v="2"/>
    <n v="111301020"/>
    <x v="0"/>
    <n v="1113010200"/>
    <x v="0"/>
    <n v="1"/>
    <s v="Ingresos corrientes"/>
    <n v="41000000000"/>
    <n v="36119047619"/>
    <n v="36119047619"/>
    <n v="4055088857.5999999"/>
    <n v="2294767696.79"/>
    <n v="1250878402.6300001"/>
    <n v="1822214980.3399999"/>
    <n v="3969124800.27"/>
    <n v="3055536006.9400001"/>
    <n v="3787977754.5100002"/>
    <n v="3186793406.9400001"/>
    <n v="2720172182.0999999"/>
    <n v="2547540761.98"/>
    <n v="6135018880.0100002"/>
    <n v="5341058002.5799999"/>
    <n v="40166171732.690002"/>
    <n v="-4047124113.6900001"/>
    <n v="111.2"/>
    <n v="-11.2"/>
  </r>
  <r>
    <x v="182"/>
    <x v="11"/>
    <x v="161"/>
    <n v="1"/>
    <x v="0"/>
    <n v="11"/>
    <x v="0"/>
    <n v="111"/>
    <x v="0"/>
    <n v="1113"/>
    <x v="2"/>
    <n v="111302"/>
    <x v="6"/>
    <n v="11130201"/>
    <x v="1"/>
    <n v="111302010"/>
    <x v="0"/>
    <n v="1113020100"/>
    <x v="0"/>
    <n v="1"/>
    <s v="Ingresos corrientes"/>
    <n v="62300000000"/>
    <n v="54377456647"/>
    <n v="54377456647"/>
    <n v="4896653036.0500002"/>
    <n v="2549096957.8400002"/>
    <n v="1302166488.6300001"/>
    <n v="7868538850.5"/>
    <n v="1988117320.5999999"/>
    <n v="6469137561.3800001"/>
    <n v="5356592701.1899996"/>
    <n v="2182818983.3899999"/>
    <n v="1411146088.23"/>
    <n v="7094476248.5200005"/>
    <n v="3113437157.8600001"/>
    <n v="7685139691.3800001"/>
    <n v="51917321085.57"/>
    <n v="2460135561.4299998"/>
    <n v="95.48"/>
    <n v="4.5199999999999996"/>
  </r>
  <r>
    <x v="183"/>
    <x v="11"/>
    <x v="120"/>
    <n v="1"/>
    <x v="0"/>
    <n v="11"/>
    <x v="0"/>
    <n v="111"/>
    <x v="0"/>
    <n v="1113"/>
    <x v="2"/>
    <n v="111302"/>
    <x v="6"/>
    <n v="11130202"/>
    <x v="2"/>
    <n v="111302020"/>
    <x v="0"/>
    <n v="1113020200"/>
    <x v="0"/>
    <n v="1"/>
    <s v="Ingresos corrientes"/>
    <n v="24200000000"/>
    <n v="21122543353"/>
    <n v="21122543353"/>
    <n v="2573059015.0700002"/>
    <n v="1208507247.1099999"/>
    <n v="1692887902.8499999"/>
    <n v="1507782487.3099999"/>
    <n v="2224591359.8400002"/>
    <n v="1637273838.1099999"/>
    <n v="2138277734.6199999"/>
    <n v="2218999745.9299998"/>
    <n v="2048967502.0999999"/>
    <n v="1620137500.29"/>
    <n v="2491404263.71"/>
    <n v="1976914309.5599999"/>
    <n v="23338802906.5"/>
    <n v="-2216259553.5"/>
    <n v="110.49"/>
    <n v="-10.49"/>
  </r>
  <r>
    <x v="184"/>
    <x v="11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7000000000"/>
    <n v="171280000000"/>
    <n v="171280000000"/>
    <n v="20133694154.099998"/>
    <n v="9280885287.1499996"/>
    <n v="16343889534.110001"/>
    <n v="11743705734.870001"/>
    <n v="10641916085.33"/>
    <n v="13847908787.209999"/>
    <n v="18627178754.700001"/>
    <n v="9353834987.4799995"/>
    <n v="15064809835.129999"/>
    <n v="18406040109.709999"/>
    <n v="23366950097.650002"/>
    <n v="17215342269.060001"/>
    <n v="184026155636.5"/>
    <n v="-12746155636.5"/>
    <n v="107.44"/>
    <n v="-7.44"/>
  </r>
  <r>
    <x v="18"/>
    <x v="11"/>
    <x v="18"/>
    <n v="1"/>
    <x v="0"/>
    <n v="11"/>
    <x v="0"/>
    <n v="111"/>
    <x v="0"/>
    <n v="1115"/>
    <x v="4"/>
    <n v="111501"/>
    <x v="8"/>
    <n v="11150101"/>
    <x v="0"/>
    <n v="111501010"/>
    <x v="0"/>
    <n v="1115010100"/>
    <x v="0"/>
    <n v="1"/>
    <s v="Ingresos corrientes"/>
    <n v="0"/>
    <n v="0"/>
    <n v="0"/>
    <n v="823500.32"/>
    <n v="603791.91"/>
    <n v="1736303.24"/>
    <n v="1297237.57"/>
    <n v="1854878.06"/>
    <n v="1491822.21"/>
    <n v="1247697.56"/>
    <n v="-9055230.8699999992"/>
    <n v="0"/>
    <n v="0"/>
    <n v="0"/>
    <n v="0"/>
    <n v="0"/>
    <n v="0"/>
    <n v="0"/>
    <n v="100"/>
  </r>
  <r>
    <x v="186"/>
    <x v="11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223000000"/>
    <n v="4525000000"/>
    <n v="4525000000"/>
    <n v="3648950314"/>
    <n v="230691352"/>
    <n v="97763426"/>
    <n v="73883450"/>
    <n v="127342704"/>
    <n v="52696891.899999999"/>
    <n v="28968357"/>
    <n v="42865126"/>
    <n v="21123873"/>
    <n v="48031869"/>
    <n v="51895255"/>
    <n v="43302415"/>
    <n v="4467515032.8999996"/>
    <n v="57484967.100000001"/>
    <n v="98.73"/>
    <n v="1.27"/>
  </r>
  <r>
    <x v="141"/>
    <x v="11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5000000000"/>
    <n v="168000000000"/>
    <n v="168000000000"/>
    <n v="10399678244.540001"/>
    <n v="2519912277.46"/>
    <n v="2482073768.79"/>
    <n v="2056478476.45"/>
    <n v="2236228117.7199998"/>
    <n v="1920638293.98"/>
    <n v="1180909719.25"/>
    <n v="1080925262.05"/>
    <n v="844053801.85000002"/>
    <n v="565087785.84000003"/>
    <n v="662474887.46000004"/>
    <n v="145574177924.29001"/>
    <n v="171522638559.67999"/>
    <n v="-3522638559.6799998"/>
    <n v="102.1"/>
    <n v="-2.1"/>
  </r>
  <r>
    <x v="21"/>
    <x v="11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72000000"/>
    <n v="1650000000"/>
    <n v="1650000000"/>
    <n v="129480924"/>
    <n v="22011478"/>
    <n v="19905663"/>
    <n v="12851459"/>
    <n v="11777082"/>
    <n v="10133386"/>
    <n v="7343620"/>
    <n v="7504894"/>
    <n v="6404158"/>
    <n v="4702939"/>
    <n v="7403922"/>
    <n v="1432115016"/>
    <n v="1671634541"/>
    <n v="-21634541"/>
    <n v="101.31"/>
    <n v="-1.31"/>
  </r>
  <r>
    <x v="22"/>
    <x v="11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74000000"/>
    <n v="460000000"/>
    <n v="460000000"/>
    <n v="29186342.789999999"/>
    <n v="41404257.82"/>
    <n v="28539346.030000001"/>
    <n v="178003883"/>
    <n v="67801853.329999998"/>
    <n v="20282275.34"/>
    <n v="31809092.359999999"/>
    <n v="27578997.440000001"/>
    <n v="28466453.07"/>
    <n v="25650891.280000001"/>
    <n v="26363084.32"/>
    <n v="26434101.43"/>
    <n v="531520578.20999998"/>
    <n v="-71520578.209999993"/>
    <n v="115.55"/>
    <n v="-15.55"/>
  </r>
  <r>
    <x v="302"/>
    <x v="11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1000000000"/>
    <n v="24700000000"/>
    <n v="24700000000"/>
    <n v="10350718163.030001"/>
    <n v="6561214492.04"/>
    <n v="1875708829.26"/>
    <n v="1273909052.79"/>
    <n v="1078848991.5999999"/>
    <n v="842226343.29999995"/>
    <n v="717360224.28999996"/>
    <n v="1143351205.49"/>
    <n v="641116618.78999996"/>
    <n v="566071385.38"/>
    <n v="507763005.27999997"/>
    <n v="499019726.06"/>
    <n v="26057308037.310001"/>
    <n v="-1357308037.3099999"/>
    <n v="105.5"/>
    <n v="-5.5"/>
  </r>
  <r>
    <x v="23"/>
    <x v="11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44300000000"/>
    <n v="35600000000"/>
    <n v="35600000000"/>
    <n v="2898418947"/>
    <n v="2519451391.52"/>
    <n v="2775802413"/>
    <n v="3172576292"/>
    <n v="3018103357"/>
    <n v="3146588376.5"/>
    <n v="2748865419.5"/>
    <n v="3412558406.1799998"/>
    <n v="2765148692"/>
    <n v="3315623634.4899998"/>
    <n v="3022827719"/>
    <n v="2927573824"/>
    <n v="35723538472.190002"/>
    <n v="-123538472.19"/>
    <n v="100.35"/>
    <n v="-0.35"/>
  </r>
  <r>
    <x v="24"/>
    <x v="11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000000000"/>
    <n v="22300000000"/>
    <n v="22300000000"/>
    <n v="1923398622"/>
    <n v="1863753496"/>
    <n v="1854131588"/>
    <n v="1853947076"/>
    <n v="2036026107"/>
    <n v="1975256148"/>
    <n v="1972950634"/>
    <n v="1910012647"/>
    <n v="1702553387"/>
    <n v="1895836666.21"/>
    <n v="1876753179"/>
    <n v="1400584091"/>
    <n v="22265203641.209999"/>
    <n v="34796358.789999999"/>
    <n v="99.84"/>
    <n v="0.16"/>
  </r>
  <r>
    <x v="142"/>
    <x v="11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28800000000"/>
    <n v="779700000000"/>
    <n v="779700000000"/>
    <n v="80562090412.059998"/>
    <n v="66652994557.800003"/>
    <n v="62037727368.610001"/>
    <n v="65613550726.540001"/>
    <n v="61677426426.639999"/>
    <n v="60326683525.57"/>
    <n v="61074435167.599998"/>
    <n v="62424108885.910004"/>
    <n v="62760958837.540001"/>
    <n v="61615907027.790001"/>
    <n v="62163188710.480003"/>
    <n v="72507274881.889999"/>
    <n v="779416346528.43005"/>
    <n v="283653471.56999999"/>
    <n v="99.96"/>
    <n v="0.04"/>
  </r>
  <r>
    <x v="187"/>
    <x v="11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81700000000"/>
    <n v="720300000000"/>
    <n v="720300000000"/>
    <n v="57039038535.220001"/>
    <n v="51689530177.809998"/>
    <n v="56121248404.110001"/>
    <n v="59909416449.599998"/>
    <n v="59977345553.68"/>
    <n v="53232193568"/>
    <n v="59374046256.760002"/>
    <n v="57682621693.989998"/>
    <n v="49506694826.5"/>
    <n v="70249439879.529999"/>
    <n v="76325471538.710007"/>
    <n v="57096609191.699997"/>
    <n v="708203656075.60999"/>
    <n v="12096343924.389999"/>
    <n v="98.32"/>
    <n v="1.68"/>
  </r>
  <r>
    <x v="188"/>
    <x v="11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4500000000"/>
    <n v="20219000000"/>
    <n v="20219000000"/>
    <n v="2155363218.8400002"/>
    <n v="1416058422.76"/>
    <n v="1679642984.8599999"/>
    <n v="6762548514.1400003"/>
    <n v="801529666.59000003"/>
    <n v="1042798615.33"/>
    <n v="702605169.03999996"/>
    <n v="733243151.57000005"/>
    <n v="795129118.01999998"/>
    <n v="743603243.64999998"/>
    <n v="988244762.30999994"/>
    <n v="1605346622.1300001"/>
    <n v="19426113489.240002"/>
    <n v="792886510.75999999"/>
    <n v="96.08"/>
    <n v="3.92"/>
  </r>
  <r>
    <x v="189"/>
    <x v="11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50000000000"/>
    <n v="204434000000"/>
    <n v="204434000000"/>
    <n v="15744739973.799999"/>
    <n v="15400649325.030001"/>
    <n v="19327565588.759998"/>
    <n v="18823962139.919998"/>
    <n v="16938986959.6"/>
    <n v="14648385970.450001"/>
    <n v="15017806259.16"/>
    <n v="13390643337.219999"/>
    <n v="15770748272.940001"/>
    <n v="19967185591.240002"/>
    <n v="22333718905.57"/>
    <n v="14409624584.48"/>
    <n v="201774016908.17001"/>
    <n v="2659983091.8299999"/>
    <n v="98.7"/>
    <n v="1.3"/>
  </r>
  <r>
    <x v="30"/>
    <x v="11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15000000000"/>
    <n v="312686000000"/>
    <n v="312686000000"/>
    <n v="35499964801"/>
    <n v="23189810025"/>
    <n v="4103326554"/>
    <n v="40749375749"/>
    <n v="22196229088"/>
    <n v="23723247518"/>
    <n v="35372139205"/>
    <n v="24193800236"/>
    <n v="24109940889"/>
    <n v="23742129349"/>
    <n v="24084146112"/>
    <n v="32055158070"/>
    <n v="313019267596"/>
    <n v="-333267596"/>
    <n v="100.11"/>
    <n v="-0.11"/>
  </r>
  <r>
    <x v="31"/>
    <x v="11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205008000000"/>
    <n v="205008000000"/>
    <n v="18311288540.330002"/>
    <n v="7387928041.8599997"/>
    <n v="33265008044.18"/>
    <n v="19994201939.450001"/>
    <n v="12822125838.040001"/>
    <n v="18785568241.16"/>
    <n v="18968478456.790001"/>
    <n v="13660505817.049999"/>
    <n v="14015931305.42"/>
    <n v="14220042568.879999"/>
    <n v="13939007323.360001"/>
    <n v="19276457964.509998"/>
    <n v="204646544081.03"/>
    <n v="361455918.97000003"/>
    <n v="99.82"/>
    <n v="0.18"/>
  </r>
  <r>
    <x v="32"/>
    <x v="11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4300000000"/>
    <n v="33660000000"/>
    <n v="33660000000"/>
    <n v="4003198067.9699998"/>
    <n v="2422323624.2199998"/>
    <n v="2378793765.98"/>
    <n v="2787867854.8800001"/>
    <n v="2638048658"/>
    <n v="2454154156.3899999"/>
    <n v="2342930084.0900002"/>
    <n v="2876566288.5300002"/>
    <n v="2917023309.1500001"/>
    <n v="3050430881.3299999"/>
    <n v="3113481452.3299999"/>
    <n v="3286824864.23"/>
    <n v="34271643007.099998"/>
    <n v="-611643007.10000002"/>
    <n v="101.82"/>
    <n v="-1.82"/>
  </r>
  <r>
    <x v="33"/>
    <x v="11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0300000000"/>
    <n v="10840000000"/>
    <n v="10840000000"/>
    <n v="826762539.38"/>
    <n v="963568206.50999999"/>
    <n v="931316487.66999996"/>
    <n v="864267406.48000002"/>
    <n v="643305678.82000005"/>
    <n v="830706462.21000004"/>
    <n v="748417732.87"/>
    <n v="896292248.69000006"/>
    <n v="797053824.38999999"/>
    <n v="1272056321.04"/>
    <n v="1332877744.8800001"/>
    <n v="1231746443.03"/>
    <n v="11338371095.969999"/>
    <n v="-498371095.97000003"/>
    <n v="104.6"/>
    <n v="-4.5999999999999996"/>
  </r>
  <r>
    <x v="34"/>
    <x v="11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7600000000"/>
    <n v="37600000000"/>
    <n v="37600000000"/>
    <n v="3461259323.5100002"/>
    <n v="2949792651.7600002"/>
    <n v="2865445745.54"/>
    <n v="3391658211"/>
    <n v="3022144289.25"/>
    <n v="3262390000.7600002"/>
    <n v="3123984811.9200001"/>
    <n v="2911413052.1999998"/>
    <n v="3165636992.7199998"/>
    <n v="2857392230.8400002"/>
    <n v="2877361955.7800002"/>
    <n v="3012531911.54"/>
    <n v="36901011176.82"/>
    <n v="698988823.17999995"/>
    <n v="98.14"/>
    <n v="1.86"/>
  </r>
  <r>
    <x v="35"/>
    <x v="11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400000000"/>
    <n v="3491000000"/>
    <n v="3491000000"/>
    <n v="271572281.75999999"/>
    <n v="223587741.08000001"/>
    <n v="315149468.64999998"/>
    <n v="302698107.83999997"/>
    <n v="320225709.33999997"/>
    <n v="227407641.19999999"/>
    <n v="315069027.44999999"/>
    <n v="271775667.70999998"/>
    <n v="185118631.16999999"/>
    <n v="296597590.13"/>
    <n v="314550394.35000002"/>
    <n v="236812728.88"/>
    <n v="3280564989.5599999"/>
    <n v="210435010.44"/>
    <n v="93.97"/>
    <n v="6.03"/>
  </r>
  <r>
    <x v="190"/>
    <x v="11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700000000"/>
    <n v="2358000000"/>
    <n v="2358000000"/>
    <n v="243668920.72"/>
    <n v="201469495.13999999"/>
    <n v="213295998.66"/>
    <n v="209715206.06999999"/>
    <n v="216926312.06999999"/>
    <n v="222433398.09"/>
    <n v="217132818.66999999"/>
    <n v="229093947.28999999"/>
    <n v="214706810.74000001"/>
    <n v="315569454.48000002"/>
    <n v="234395503.61000001"/>
    <n v="193328485.41999999"/>
    <n v="2711736350.96"/>
    <n v="-353736350.95999998"/>
    <n v="115"/>
    <n v="-15"/>
  </r>
  <r>
    <x v="144"/>
    <x v="11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88000000"/>
    <n v="320000000"/>
    <n v="320000000"/>
    <n v="25165686.25"/>
    <n v="23882861.890000001"/>
    <n v="0"/>
    <n v="21409801.41"/>
    <n v="52813336.619999997"/>
    <n v="27402037.300000001"/>
    <n v="24481139.039999999"/>
    <n v="24117854.969999999"/>
    <n v="23941722.559999999"/>
    <n v="21653220.890000001"/>
    <n v="22325518.030000001"/>
    <n v="21372204.5"/>
    <n v="288565383.45999998"/>
    <n v="31434616.539999999"/>
    <n v="90.18"/>
    <n v="9.82"/>
  </r>
  <r>
    <x v="230"/>
    <x v="11"/>
    <x v="199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18750000000"/>
    <n v="11003000000"/>
    <n v="11003000000"/>
    <n v="1253091840"/>
    <n v="794576640"/>
    <n v="1257519457.4000001"/>
    <n v="7698800715.3999996"/>
    <n v="0"/>
    <n v="0"/>
    <n v="0"/>
    <n v="0"/>
    <n v="0"/>
    <n v="0"/>
    <n v="0"/>
    <n v="0"/>
    <n v="11003988652.799999"/>
    <n v="-988652.8"/>
    <n v="100.01"/>
    <n v="-0.01"/>
  </r>
  <r>
    <x v="231"/>
    <x v="11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14550000000"/>
    <n v="18050000000"/>
    <n v="18050000000"/>
    <n v="799210700.52999997"/>
    <n v="1312220862.8099999"/>
    <n v="1589636178.53"/>
    <n v="598039364"/>
    <n v="1392830723.99"/>
    <n v="858926138.84000003"/>
    <n v="2016214122.45"/>
    <n v="1113582052.4000001"/>
    <n v="2191181812"/>
    <n v="2132829572"/>
    <n v="3508547857.3099999"/>
    <n v="2248530875.3200002"/>
    <n v="19761750260.18"/>
    <n v="-1711750260.1800001"/>
    <n v="109.48"/>
    <n v="-9.48"/>
  </r>
  <r>
    <x v="37"/>
    <x v="11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230000000"/>
    <n v="789000000"/>
    <n v="789000000"/>
    <n v="70609238.269999996"/>
    <n v="76081551.329999998"/>
    <n v="59101127.75"/>
    <n v="90785634.349999994"/>
    <n v="80068131.269999996"/>
    <n v="72312684.480000004"/>
    <n v="68527214.290000007"/>
    <n v="108681480.05"/>
    <n v="89379931.829999998"/>
    <n v="76279775.079999998"/>
    <n v="85484190.390000001"/>
    <n v="102708518.81"/>
    <n v="980019477.89999998"/>
    <n v="-191019477.90000001"/>
    <n v="124.21"/>
    <n v="-24.21"/>
  </r>
  <r>
    <x v="244"/>
    <x v="11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4000000"/>
    <n v="55000000"/>
    <n v="55000000"/>
    <n v="12146700"/>
    <n v="0"/>
    <n v="12146700"/>
    <n v="0"/>
    <n v="0"/>
    <n v="18425250"/>
    <n v="0"/>
    <n v="0"/>
    <n v="18425250"/>
    <n v="0"/>
    <n v="0"/>
    <n v="18425250"/>
    <n v="79569150"/>
    <n v="-24569150"/>
    <n v="144.66999999999999"/>
    <n v="-44.67"/>
  </r>
  <r>
    <x v="145"/>
    <x v="11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73000000000"/>
    <n v="149000000000"/>
    <n v="149000000000"/>
    <n v="12482044939.049999"/>
    <n v="11666097896.370001"/>
    <n v="11053737495.469999"/>
    <n v="11662593415.709999"/>
    <n v="11471139718.629999"/>
    <n v="10874278077.09"/>
    <n v="11485624557.379999"/>
    <n v="12067385668.67"/>
    <n v="9996422097.1100006"/>
    <n v="15271835286.549999"/>
    <n v="17272358315.900002"/>
    <n v="13713518729.690001"/>
    <n v="149017036197.62"/>
    <n v="-17036197.620000001"/>
    <n v="100.01"/>
    <n v="-0.01"/>
  </r>
  <r>
    <x v="40"/>
    <x v="11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9300000000"/>
    <n v="25900000000"/>
    <n v="25900000000"/>
    <n v="2136414384.8499999"/>
    <n v="1965876959.3699999"/>
    <n v="2124106981.02"/>
    <n v="2313670327.4400001"/>
    <n v="2244353356.6300001"/>
    <n v="1943429405.1400001"/>
    <n v="2160101503.4499998"/>
    <n v="2222130318.1799998"/>
    <n v="1784881378.8699999"/>
    <n v="2454835128.1300001"/>
    <n v="2869033508.96"/>
    <n v="2131779509.21"/>
    <n v="26350612761.25"/>
    <n v="-450612761.25"/>
    <n v="101.74"/>
    <n v="-1.74"/>
  </r>
  <r>
    <x v="41"/>
    <x v="11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416000000"/>
    <n v="3555000000"/>
    <n v="3555000000"/>
    <n v="314369662.58999997"/>
    <n v="261860364.44"/>
    <n v="295782849.95999998"/>
    <n v="307745885.44"/>
    <n v="331540305.76999998"/>
    <n v="323400213.69"/>
    <n v="333098471.83999997"/>
    <n v="284428794.52999997"/>
    <n v="220583544.61000001"/>
    <n v="315219096.67000002"/>
    <n v="329918463.35000002"/>
    <n v="275638425.00999999"/>
    <n v="3593586077.9000001"/>
    <n v="-38586077.899999999"/>
    <n v="101.09"/>
    <n v="-1.0900000000000001"/>
  </r>
  <r>
    <x v="42"/>
    <x v="11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72500000"/>
    <n v="186000000"/>
    <n v="186000000"/>
    <n v="17067910.5"/>
    <n v="14095674"/>
    <n v="16006588.5"/>
    <n v="16671864"/>
    <n v="18007008"/>
    <n v="17651262"/>
    <n v="18158740.5"/>
    <n v="15493309.5"/>
    <n v="11888142"/>
    <n v="16681831.5"/>
    <n v="16818132"/>
    <n v="14060953.5"/>
    <n v="192601416"/>
    <n v="-6601416"/>
    <n v="103.55"/>
    <n v="-3.55"/>
  </r>
  <r>
    <x v="245"/>
    <x v="11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44000000"/>
    <n v="1750000000"/>
    <n v="1750000000"/>
    <n v="146522490.25"/>
    <n v="144619278"/>
    <n v="152332604.25"/>
    <n v="156361223.5"/>
    <n v="150654044.5"/>
    <n v="83704148.5"/>
    <n v="127523312.25"/>
    <n v="147555824.75"/>
    <n v="135137416.5"/>
    <n v="151844543.25"/>
    <n v="155389924.75"/>
    <n v="129908051.61"/>
    <n v="1681552862.1099999"/>
    <n v="68447137.890000001"/>
    <n v="96.09"/>
    <n v="3.91"/>
  </r>
  <r>
    <x v="44"/>
    <x v="11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2700000000"/>
    <n v="47885000000"/>
    <n v="47885000000"/>
    <n v="5405844345.4499998"/>
    <n v="4156459741.0799999"/>
    <n v="4537697072.3299999"/>
    <n v="4524870929.1300001"/>
    <n v="3738735213.3899999"/>
    <n v="3419276248.0900002"/>
    <n v="4236172599.1599998"/>
    <n v="3858174525.6300001"/>
    <n v="2719989077.6999998"/>
    <n v="3136116087.1199999"/>
    <n v="3614126826"/>
    <n v="4088689519.0700002"/>
    <n v="47436152184.150002"/>
    <n v="448847815.85000002"/>
    <n v="99.06"/>
    <n v="0.94"/>
  </r>
  <r>
    <x v="246"/>
    <x v="11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623000000"/>
    <n v="2311000000"/>
    <n v="2311000000"/>
    <n v="294646964.60000002"/>
    <n v="173322808.34999999"/>
    <n v="231282924.50999999"/>
    <n v="172190407.80000001"/>
    <n v="115267633.2"/>
    <n v="64891479.299999997"/>
    <n v="118322633.65000001"/>
    <n v="122903093.2"/>
    <n v="122767314.8"/>
    <n v="154759935.55000001"/>
    <n v="161020684.15000001"/>
    <n v="326750004.75"/>
    <n v="2058125883.8599999"/>
    <n v="252874116.13999999"/>
    <n v="89.06"/>
    <n v="10.94"/>
  </r>
  <r>
    <x v="45"/>
    <x v="11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05600000"/>
    <n v="3275000000"/>
    <n v="3275000000"/>
    <n v="279010660.98000002"/>
    <n v="396767725.06"/>
    <n v="266278501.28999999"/>
    <n v="428139812.37"/>
    <n v="257112241.69"/>
    <n v="280771494.26999998"/>
    <n v="219197179.78"/>
    <n v="300812427.5"/>
    <n v="447714976.22000003"/>
    <n v="420280511.30000001"/>
    <n v="300635714"/>
    <n v="298406575.81"/>
    <n v="3895127820.27"/>
    <n v="-620127820.26999998"/>
    <n v="118.94"/>
    <n v="-18.940000000000001"/>
  </r>
  <r>
    <x v="232"/>
    <x v="11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4000000"/>
    <n v="1088000000"/>
    <n v="1088000000"/>
    <n v="81097099.370000005"/>
    <n v="94502039.950000003"/>
    <n v="97983016.040000007"/>
    <n v="95248377.810000002"/>
    <n v="106206081.13"/>
    <n v="98870980.019999996"/>
    <n v="93053615.620000005"/>
    <n v="95156472.829999998"/>
    <n v="93308066.569999993"/>
    <n v="91873820.159999996"/>
    <n v="101805521.09"/>
    <n v="95962789.609999999"/>
    <n v="1145067880.2"/>
    <n v="-57067880.200000003"/>
    <n v="105.25"/>
    <n v="-5.25"/>
  </r>
  <r>
    <x v="247"/>
    <x v="11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7373000000"/>
    <n v="5770000000"/>
    <n v="5770000000"/>
    <n v="485663823.73000002"/>
    <n v="597155365.95000005"/>
    <n v="567224777.42999995"/>
    <n v="502662639.14999998"/>
    <n v="508657450.13"/>
    <n v="506020043.32999998"/>
    <n v="447620028.63999999"/>
    <n v="473674843.14999998"/>
    <n v="480386353.45999998"/>
    <n v="444007868.68000001"/>
    <n v="571202281.38999999"/>
    <n v="605211752.24000001"/>
    <n v="6189487227.2799997"/>
    <n v="-419487227.27999997"/>
    <n v="107.27"/>
    <n v="-7.27"/>
  </r>
  <r>
    <x v="233"/>
    <x v="11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993000000"/>
    <n v="10642000000"/>
    <n v="10642000000"/>
    <n v="695980860.98000002"/>
    <n v="875645450.16999996"/>
    <n v="867055565.66999996"/>
    <n v="817451617.97000003"/>
    <n v="859010670.82000005"/>
    <n v="834012566.63"/>
    <n v="732860102.34000003"/>
    <n v="780284782.32000005"/>
    <n v="809447472.69000006"/>
    <n v="708388898.80999994"/>
    <n v="917136983.5"/>
    <n v="901775090.67999995"/>
    <n v="9799050062.5799999"/>
    <n v="842949937.41999996"/>
    <n v="92.08"/>
    <n v="7.92"/>
  </r>
  <r>
    <x v="146"/>
    <x v="11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700000000"/>
    <n v="1400000000"/>
    <n v="1400000000"/>
    <n v="140735921.41"/>
    <n v="107438556.98999999"/>
    <n v="127252039.72"/>
    <n v="110465735.37"/>
    <n v="155115127.72"/>
    <n v="71962098.909999996"/>
    <n v="110709116.43000001"/>
    <n v="206911498"/>
    <n v="93761550.109999999"/>
    <n v="187033973.56"/>
    <n v="133995611.48999999"/>
    <n v="143913752.68000001"/>
    <n v="1589294982.3900001"/>
    <n v="-189294982.38999999"/>
    <n v="113.52"/>
    <n v="-13.52"/>
  </r>
  <r>
    <x v="47"/>
    <x v="11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3900000000"/>
    <n v="5800000000"/>
    <n v="5800000000"/>
    <n v="348065742.79000002"/>
    <n v="484977969.56999999"/>
    <n v="510597430.50999999"/>
    <n v="329100997.54000002"/>
    <n v="418078774.68000001"/>
    <n v="600081570.48000002"/>
    <n v="306798268.13"/>
    <n v="742752130.21000004"/>
    <n v="374475098.19"/>
    <n v="462771207.44999999"/>
    <n v="527111158.45999998"/>
    <n v="465640429.80000001"/>
    <n v="5570450777.8100004"/>
    <n v="229549222.19"/>
    <n v="96.04"/>
    <n v="3.96"/>
  </r>
  <r>
    <x v="147"/>
    <x v="11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9151.23"/>
    <n v="187477.6"/>
    <n v="72896.53"/>
    <n v="276969.46000000002"/>
    <n v="150518.04"/>
    <n v="131786.57999999999"/>
    <n v="208588.74"/>
    <n v="378981.29"/>
    <n v="1429336.49"/>
    <n v="470096.2"/>
    <n v="749041.49"/>
    <n v="8399062.7599999998"/>
    <n v="12563906.41"/>
    <n v="-11563906.41"/>
    <n v="1256.3900000000001"/>
    <n v="-1156.3900000000001"/>
  </r>
  <r>
    <x v="53"/>
    <x v="11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3072000000"/>
    <n v="20129000000"/>
    <n v="20129000000"/>
    <n v="3581568159.3000002"/>
    <n v="1566570793.6199999"/>
    <n v="1660831293.79"/>
    <n v="1588949260.25"/>
    <n v="1541597543.3499999"/>
    <n v="1114920893.0999999"/>
    <n v="1782128904.7"/>
    <n v="1443527651.78"/>
    <n v="1078170949.75"/>
    <n v="1659092681.8199999"/>
    <n v="1110252751.0999999"/>
    <n v="1457129181.26"/>
    <n v="19584740063.82"/>
    <n v="544259936.17999995"/>
    <n v="97.3"/>
    <n v="2.7"/>
  </r>
  <r>
    <x v="282"/>
    <x v="11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0"/>
    <n v="5601000000"/>
    <n v="5601000000"/>
    <n v="549243972.38999999"/>
    <n v="191412074.41999999"/>
    <n v="509647734.29000002"/>
    <n v="709949985.28999996"/>
    <n v="242577881.91999999"/>
    <n v="406892095.76999998"/>
    <n v="880930538.78999996"/>
    <n v="477885321.31"/>
    <n v="626897965.33000004"/>
    <n v="1035570111.66"/>
    <n v="713612173.57000005"/>
    <n v="9898112465.7199993"/>
    <n v="16242732320.459999"/>
    <n v="-10641732320.459999"/>
    <n v="290"/>
    <n v="-190"/>
  </r>
  <r>
    <x v="54"/>
    <x v="11"/>
    <x v="48"/>
    <n v="1"/>
    <x v="0"/>
    <n v="12"/>
    <x v="1"/>
    <n v="121"/>
    <x v="5"/>
    <n v="1213"/>
    <x v="16"/>
    <n v="121302"/>
    <x v="30"/>
    <n v="12130201"/>
    <x v="0"/>
    <n v="121302010"/>
    <x v="0"/>
    <n v="1213020100"/>
    <x v="0"/>
    <n v="1"/>
    <s v="Ingresos corrientes"/>
    <n v="28840000000"/>
    <n v="29221000000"/>
    <n v="29221000000"/>
    <n v="2427065788.6999998"/>
    <n v="2449577178.0300002"/>
    <n v="2479024941.6999998"/>
    <n v="2639688323.77"/>
    <n v="2553007091.8499999"/>
    <n v="2558948949.73"/>
    <n v="2592363391.2600002"/>
    <n v="2613898705.0700002"/>
    <n v="2601305738.5100002"/>
    <n v="2636564038.3299999"/>
    <n v="2641401029.4699998"/>
    <n v="2643027577.29"/>
    <n v="30835872753.709999"/>
    <n v="-1614872753.71"/>
    <n v="105.53"/>
    <n v="-5.53"/>
  </r>
  <r>
    <x v="55"/>
    <x v="11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6756040000"/>
    <n v="12698000000"/>
    <n v="12698000000"/>
    <n v="1131918147.72"/>
    <n v="1069117614.87"/>
    <n v="1124883732.53"/>
    <n v="999284299.66999996"/>
    <n v="1311501488.4300001"/>
    <n v="1394558902.53"/>
    <n v="1311016508.5899999"/>
    <n v="1505165449.6099999"/>
    <n v="1295910346.1099999"/>
    <n v="1310873880.3199999"/>
    <n v="1292831197.5699999"/>
    <n v="1349240296.6400001"/>
    <n v="15096301864.59"/>
    <n v="-2398301864.5900002"/>
    <n v="118.89"/>
    <n v="-18.89"/>
  </r>
  <r>
    <x v="303"/>
    <x v="11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3431960000"/>
    <n v="4351000000"/>
    <n v="4351000000"/>
    <n v="342057508.10000002"/>
    <n v="337669110.81"/>
    <n v="349079675.49000001"/>
    <n v="334096923.30000001"/>
    <n v="285938721.88"/>
    <n v="289221451.33999997"/>
    <n v="295887259.02999997"/>
    <n v="279150960.52999997"/>
    <n v="284108008.47000003"/>
    <n v="282588308.04000002"/>
    <n v="277440136.08999997"/>
    <n v="289625416.10000002"/>
    <n v="3646863479.1799998"/>
    <n v="704136520.82000005"/>
    <n v="83.82"/>
    <n v="16.18"/>
  </r>
  <r>
    <x v="191"/>
    <x v="11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300000"/>
    <n v="2000000"/>
    <n v="2000000"/>
    <n v="186859.51"/>
    <n v="144844.94"/>
    <n v="183036.55"/>
    <n v="193403.31"/>
    <n v="206723.76"/>
    <n v="212303.24"/>
    <n v="221454.87"/>
    <n v="203408.91"/>
    <n v="217399.89"/>
    <n v="240491.31"/>
    <n v="188635.48"/>
    <n v="231560.91"/>
    <n v="2430122.6800000002"/>
    <n v="-430122.68"/>
    <n v="121.51"/>
    <n v="-21.51"/>
  </r>
  <r>
    <x v="283"/>
    <x v="11"/>
    <x v="277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3000000"/>
    <n v="43000000"/>
    <n v="43000000"/>
    <n v="4514930.75"/>
    <n v="3310205.64"/>
    <n v="1677618.52"/>
    <n v="4589801.5999999996"/>
    <n v="2778733.5"/>
    <n v="2960286.06"/>
    <n v="2850158"/>
    <n v="4469681.37"/>
    <n v="2644740.77"/>
    <n v="3533012.93"/>
    <n v="4312485.97"/>
    <n v="317447.08"/>
    <n v="37959102.189999998"/>
    <n v="5040897.8099999996"/>
    <n v="88.28"/>
    <n v="11.72"/>
  </r>
  <r>
    <x v="284"/>
    <x v="11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239777.97"/>
    <n v="1533573.74"/>
    <n v="1397632.58"/>
    <n v="1201304.8899999999"/>
    <n v="1435950"/>
    <n v="1188390.6000000001"/>
    <n v="1225847.3500000001"/>
    <n v="1069051.6499999999"/>
    <n v="1653314.51"/>
    <n v="1090324.73"/>
    <n v="1535467.64"/>
    <n v="1056141.1200000001"/>
    <n v="15626776.779999999"/>
    <n v="1873223.22"/>
    <n v="89.3"/>
    <n v="10.7"/>
  </r>
  <r>
    <x v="58"/>
    <x v="11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9500000"/>
    <n v="15000000"/>
    <n v="15000000"/>
    <n v="1080000"/>
    <n v="7936120.4900000002"/>
    <n v="360000"/>
    <n v="1110000"/>
    <n v="30000"/>
    <n v="0"/>
    <n v="0"/>
    <n v="0"/>
    <n v="2160000"/>
    <n v="1440000"/>
    <n v="34000"/>
    <n v="418928.94"/>
    <n v="14569049.43"/>
    <n v="430950.57"/>
    <n v="97.13"/>
    <n v="2.87"/>
  </r>
  <r>
    <x v="59"/>
    <x v="11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72000000"/>
    <n v="85000000"/>
    <n v="85000000"/>
    <n v="11097283.279999999"/>
    <n v="4628050.4800000004"/>
    <n v="6708548.1600000001"/>
    <n v="4187001.19"/>
    <n v="5379462.29"/>
    <n v="9547295.7899999991"/>
    <n v="6427872.3099999996"/>
    <n v="9084434.2200000007"/>
    <n v="5255829.5199999996"/>
    <n v="5164717.9800000004"/>
    <n v="8172255.21"/>
    <n v="8249546.1699999999"/>
    <n v="83902296.599999994"/>
    <n v="1097703.3999999999"/>
    <n v="98.71"/>
    <n v="1.29"/>
  </r>
  <r>
    <x v="193"/>
    <x v="11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36000000"/>
    <n v="171000000"/>
    <n v="171000000"/>
    <n v="0"/>
    <n v="0"/>
    <n v="34560"/>
    <n v="62325005.270000003"/>
    <n v="0"/>
    <n v="113790"/>
    <n v="0"/>
    <n v="68711767.230000004"/>
    <n v="21401254.050000001"/>
    <n v="0"/>
    <n v="0"/>
    <n v="34264876.640000001"/>
    <n v="186851253.19"/>
    <n v="-15851253.189999999"/>
    <n v="109.27"/>
    <n v="-9.27"/>
  </r>
  <r>
    <x v="258"/>
    <x v="11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21500000"/>
    <n v="14000000"/>
    <n v="14000000"/>
    <n v="751617.95"/>
    <n v="1096488.3700000001"/>
    <n v="760588.94"/>
    <n v="3085602.87"/>
    <n v="940603.25"/>
    <n v="1747200.5"/>
    <n v="881521.56"/>
    <n v="11750795.66"/>
    <n v="1543868.95"/>
    <n v="2860277.75"/>
    <n v="977921.72"/>
    <n v="5182034.43"/>
    <n v="31578521.949999999"/>
    <n v="-17578521.949999999"/>
    <n v="225.56"/>
    <n v="-125.56"/>
  </r>
  <r>
    <x v="248"/>
    <x v="11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3599875"/>
    <n v="13600000"/>
    <n v="13600000"/>
    <n v="0"/>
    <n v="0"/>
    <n v="13599875"/>
    <n v="0"/>
    <n v="0"/>
    <n v="0"/>
    <n v="0"/>
    <n v="0"/>
    <n v="0"/>
    <n v="0"/>
    <n v="0"/>
    <n v="0"/>
    <n v="13599875"/>
    <n v="125"/>
    <n v="100"/>
    <n v="0"/>
  </r>
  <r>
    <x v="267"/>
    <x v="11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030000000"/>
    <n v="1435000000"/>
    <n v="1435000000"/>
    <n v="82758600"/>
    <n v="89289800"/>
    <n v="85706000"/>
    <n v="114948600"/>
    <n v="96363800"/>
    <n v="168790400"/>
    <n v="86129800"/>
    <n v="85467600"/>
    <n v="88492000"/>
    <n v="92237000"/>
    <n v="97412200"/>
    <n v="104614800"/>
    <n v="1192210600"/>
    <n v="242789400"/>
    <n v="83.08"/>
    <n v="16.920000000000002"/>
  </r>
  <r>
    <x v="62"/>
    <x v="11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400"/>
    <n v="0"/>
    <n v="10000"/>
    <n v="0"/>
    <n v="0"/>
    <n v="0"/>
    <n v="200"/>
    <n v="200"/>
    <n v="0"/>
    <n v="10800"/>
    <n v="-10800"/>
    <n v="0"/>
    <n v="100"/>
  </r>
  <r>
    <x v="63"/>
    <x v="11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5483911363"/>
    <n v="5484000000"/>
    <n v="5484000000"/>
    <n v="349926909"/>
    <n v="213765713"/>
    <n v="138003577"/>
    <n v="89266680"/>
    <n v="77852513"/>
    <n v="64006444"/>
    <n v="36833988.799999997"/>
    <n v="25060699"/>
    <n v="23192064"/>
    <n v="19917863.5"/>
    <n v="12909006.82"/>
    <n v="3020248379.3200002"/>
    <n v="4070983837.4400001"/>
    <n v="1413016162.5599999"/>
    <n v="74.23"/>
    <n v="25.77"/>
  </r>
  <r>
    <x v="64"/>
    <x v="11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4000000"/>
    <n v="44000000"/>
    <n v="44000000"/>
    <n v="3037873.51"/>
    <n v="2031042"/>
    <n v="3035231.46"/>
    <n v="3622142.86"/>
    <n v="2574932.08"/>
    <n v="2730616.8"/>
    <n v="2138411.9500000002"/>
    <n v="3103878.8"/>
    <n v="2124310.88"/>
    <n v="2492696.14"/>
    <n v="1364326.5"/>
    <n v="1505156.6"/>
    <n v="29760619.579999998"/>
    <n v="14239380.42"/>
    <n v="67.64"/>
    <n v="32.36"/>
  </r>
  <r>
    <x v="65"/>
    <x v="11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3200000"/>
    <n v="4000000"/>
    <n v="4000000"/>
    <n v="106350"/>
    <n v="21310"/>
    <n v="326060"/>
    <n v="183220"/>
    <n v="106370"/>
    <n v="301750"/>
    <n v="150300"/>
    <n v="364060"/>
    <n v="473125"/>
    <n v="0"/>
    <n v="451170"/>
    <n v="449690"/>
    <n v="2933405"/>
    <n v="1066595"/>
    <n v="73.34"/>
    <n v="26.66"/>
  </r>
  <r>
    <x v="66"/>
    <x v="11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107000000"/>
    <n v="85000000"/>
    <n v="85000000"/>
    <n v="8256392.2999999998"/>
    <n v="6993936"/>
    <n v="7858656"/>
    <n v="8108008.1100000003"/>
    <n v="8068406.5"/>
    <n v="7093573.0999999996"/>
    <n v="6372932.0499999998"/>
    <n v="6385507.5"/>
    <n v="5291424"/>
    <n v="7749313.5"/>
    <n v="7637774.5999999996"/>
    <n v="9333355.2899999991"/>
    <n v="89149278.950000003"/>
    <n v="-4149278.95"/>
    <n v="104.88"/>
    <n v="-4.88"/>
  </r>
  <r>
    <x v="67"/>
    <x v="11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65000000"/>
    <n v="55000000"/>
    <n v="55000000"/>
    <n v="2851305"/>
    <n v="2673578"/>
    <n v="3903212"/>
    <n v="3479324"/>
    <n v="4104590"/>
    <n v="5460648.5"/>
    <n v="7479239"/>
    <n v="4884207.97"/>
    <n v="7092640"/>
    <n v="5172528.5"/>
    <n v="6619722"/>
    <n v="9163992"/>
    <n v="62884986.969999999"/>
    <n v="-7884986.9699999997"/>
    <n v="114.34"/>
    <n v="-14.34"/>
  </r>
  <r>
    <x v="285"/>
    <x v="11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5784943756"/>
    <n v="5785000000"/>
    <n v="5785000000"/>
    <n v="0"/>
    <n v="0"/>
    <n v="0"/>
    <n v="2141100226.6800001"/>
    <n v="0"/>
    <n v="0"/>
    <n v="1464257418.0999999"/>
    <n v="293625137.95999998"/>
    <n v="0"/>
    <n v="0"/>
    <n v="0"/>
    <n v="1501815476.0899999"/>
    <n v="5400798258.8299999"/>
    <n v="384201741.17000002"/>
    <n v="93.36"/>
    <n v="6.64"/>
  </r>
  <r>
    <x v="286"/>
    <x v="11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38420205"/>
    <n v="338420205"/>
    <n v="338420205"/>
    <n v="0"/>
    <n v="0"/>
    <n v="0"/>
    <n v="134960596.09999999"/>
    <n v="0"/>
    <n v="0"/>
    <n v="61635398.939999998"/>
    <n v="179558991.41"/>
    <n v="0"/>
    <n v="0"/>
    <n v="0"/>
    <n v="97487404.329999998"/>
    <n v="473642390.77999997"/>
    <n v="-135222185.78"/>
    <n v="139.96"/>
    <n v="-39.96"/>
  </r>
  <r>
    <x v="148"/>
    <x v="11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2000000"/>
    <n v="22000000"/>
    <n v="1329000"/>
    <n v="975000"/>
    <n v="2252000"/>
    <n v="1785000"/>
    <n v="1071000"/>
    <n v="3724000"/>
    <n v="1524000"/>
    <n v="2097000"/>
    <n v="1326000"/>
    <n v="1071000"/>
    <n v="817000"/>
    <n v="715000"/>
    <n v="18686000"/>
    <n v="3314000"/>
    <n v="84.94"/>
    <n v="15.06"/>
  </r>
  <r>
    <x v="149"/>
    <x v="11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30000000"/>
    <n v="48000000"/>
    <n v="48000000"/>
    <n v="360000"/>
    <n v="10805000"/>
    <n v="2685000"/>
    <n v="12362000"/>
    <n v="69500"/>
    <n v="256000"/>
    <n v="0"/>
    <n v="600000"/>
    <n v="333000"/>
    <n v="1040000"/>
    <n v="0"/>
    <n v="0"/>
    <n v="28510500"/>
    <n v="19489500"/>
    <n v="59.4"/>
    <n v="40.6"/>
  </r>
  <r>
    <x v="259"/>
    <x v="11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664835000"/>
    <n v="664000000"/>
    <n v="664000000"/>
    <n v="0"/>
    <n v="0"/>
    <n v="0"/>
    <n v="594394578.05999994"/>
    <n v="0"/>
    <n v="0"/>
    <n v="0"/>
    <n v="34591537.869999997"/>
    <n v="0"/>
    <n v="0"/>
    <n v="0"/>
    <n v="83298460.810000002"/>
    <n v="712284576.74000001"/>
    <n v="-48284576.740000002"/>
    <n v="107.27"/>
    <n v="-7.27"/>
  </r>
  <r>
    <x v="306"/>
    <x v="11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7857123"/>
    <n v="2000000"/>
    <n v="2000000"/>
    <n v="57500"/>
    <n v="71700"/>
    <n v="29555.59"/>
    <n v="550693.75"/>
    <n v="66183.19"/>
    <n v="100175"/>
    <n v="1844356.5"/>
    <n v="2384775"/>
    <n v="3634143.35"/>
    <n v="4850651.13"/>
    <n v="5195548.75"/>
    <n v="4887968"/>
    <n v="23673250.260000002"/>
    <n v="-21673250.260000002"/>
    <n v="1183.6600000000001"/>
    <n v="-1083.6600000000001"/>
  </r>
  <r>
    <x v="268"/>
    <x v="11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3805000000"/>
    <n v="20450400000"/>
    <n v="20450400000"/>
    <n v="0"/>
    <n v="0"/>
    <n v="0"/>
    <n v="0"/>
    <n v="20450383145.970001"/>
    <n v="0"/>
    <n v="0"/>
    <n v="0"/>
    <n v="0"/>
    <n v="0"/>
    <n v="0"/>
    <n v="0"/>
    <n v="20450383145.970001"/>
    <n v="16854.03"/>
    <n v="100"/>
    <n v="0"/>
  </r>
  <r>
    <x v="315"/>
    <x v="11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6589929030.3500004"/>
    <n v="6589929030.3500004"/>
    <n v="-6589929030.3500004"/>
    <n v="0"/>
    <n v="100"/>
  </r>
  <r>
    <x v="150"/>
    <x v="11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600000000"/>
    <n v="154000000"/>
    <n v="154000000"/>
    <n v="15811252.27"/>
    <n v="12164805.119999999"/>
    <n v="4798468.83"/>
    <n v="13321431.140000001"/>
    <n v="5586391.96"/>
    <n v="26671478.800000001"/>
    <n v="264932574.46000001"/>
    <n v="5988599.7599999998"/>
    <n v="8241551.6500000004"/>
    <n v="21611901.859999999"/>
    <n v="6513936.4100000001"/>
    <n v="10660661.119999999"/>
    <n v="396303053.38"/>
    <n v="-242303053.38"/>
    <n v="257.33999999999997"/>
    <n v="-157.34"/>
  </r>
  <r>
    <x v="194"/>
    <x v="11"/>
    <x v="169"/>
    <n v="1"/>
    <x v="0"/>
    <n v="13"/>
    <x v="2"/>
    <n v="133"/>
    <x v="8"/>
    <n v="1331"/>
    <x v="23"/>
    <n v="133101"/>
    <x v="40"/>
    <n v="13310100"/>
    <x v="0"/>
    <n v="133101000"/>
    <x v="0"/>
    <n v="1331010000"/>
    <x v="0"/>
    <n v="1"/>
    <s v="Ingresos corrientes"/>
    <n v="350000000"/>
    <n v="350000000"/>
    <n v="350000000"/>
    <n v="0"/>
    <n v="20349617.859999999"/>
    <n v="0"/>
    <n v="0"/>
    <n v="0"/>
    <n v="0"/>
    <n v="151954502.02000001"/>
    <n v="0"/>
    <n v="0"/>
    <n v="0"/>
    <n v="0"/>
    <n v="111976135.88"/>
    <n v="284280255.75999999"/>
    <n v="65719744.240000002"/>
    <n v="81.22"/>
    <n v="18.78"/>
  </r>
  <r>
    <x v="151"/>
    <x v="11"/>
    <x v="133"/>
    <n v="1"/>
    <x v="0"/>
    <n v="13"/>
    <x v="2"/>
    <n v="133"/>
    <x v="8"/>
    <n v="1331"/>
    <x v="23"/>
    <n v="133102"/>
    <x v="58"/>
    <n v="13310201"/>
    <x v="56"/>
    <n v="133102010"/>
    <x v="0"/>
    <n v="1331020100"/>
    <x v="0"/>
    <n v="1"/>
    <s v="Ingresos corrientes"/>
    <n v="4500000000"/>
    <n v="5335000000"/>
    <n v="5335000000"/>
    <n v="510022847"/>
    <n v="427704860"/>
    <n v="583711524.83000004"/>
    <n v="307846714"/>
    <n v="822055870.17999995"/>
    <n v="336409503"/>
    <n v="292422934"/>
    <n v="446118918.29000002"/>
    <n v="606197799"/>
    <n v="474409224.39999998"/>
    <n v="633997453.09000003"/>
    <n v="645794759"/>
    <n v="6086692406.79"/>
    <n v="-751692406.78999996"/>
    <n v="114.09"/>
    <n v="-14.09"/>
  </r>
  <r>
    <x v="152"/>
    <x v="11"/>
    <x v="134"/>
    <n v="1"/>
    <x v="0"/>
    <n v="13"/>
    <x v="2"/>
    <n v="133"/>
    <x v="8"/>
    <n v="1331"/>
    <x v="23"/>
    <n v="133102"/>
    <x v="58"/>
    <n v="13310202"/>
    <x v="57"/>
    <n v="133102020"/>
    <x v="0"/>
    <n v="1331020200"/>
    <x v="0"/>
    <n v="1"/>
    <s v="Ingresos corrientes"/>
    <n v="1500000000"/>
    <n v="772000000"/>
    <n v="772000000"/>
    <n v="48001975.130000003"/>
    <n v="141246642.19999999"/>
    <n v="63635562.640000001"/>
    <n v="67637363.920000002"/>
    <n v="57946590.719999999"/>
    <n v="51186574.899999999"/>
    <n v="60422480.149999999"/>
    <n v="193547737.18000001"/>
    <n v="85281729.269999996"/>
    <n v="74940286.560000002"/>
    <n v="137958674.88"/>
    <n v="125721355.3"/>
    <n v="1107526972.8499999"/>
    <n v="-335526972.85000002"/>
    <n v="143.46"/>
    <n v="-43.46"/>
  </r>
  <r>
    <x v="74"/>
    <x v="11"/>
    <x v="68"/>
    <n v="1"/>
    <x v="0"/>
    <n v="13"/>
    <x v="2"/>
    <n v="133"/>
    <x v="8"/>
    <n v="1331"/>
    <x v="23"/>
    <n v="133104"/>
    <x v="41"/>
    <n v="13310401"/>
    <x v="31"/>
    <n v="133104010"/>
    <x v="0"/>
    <n v="1331040100"/>
    <x v="0"/>
    <n v="1"/>
    <s v="Ingresos corrientes"/>
    <n v="6386510000"/>
    <n v="4151000000"/>
    <n v="4151000000"/>
    <n v="350757757"/>
    <n v="325370020"/>
    <n v="428357191"/>
    <n v="472626629"/>
    <n v="403835929.5"/>
    <n v="388169124"/>
    <n v="394898094"/>
    <n v="329851040.80000001"/>
    <n v="366896812.75"/>
    <n v="1046049660.29"/>
    <n v="1350527149.23"/>
    <n v="1012148915.36"/>
    <n v="6869488322.9300003"/>
    <n v="-2718488322.9299998"/>
    <n v="165.49"/>
    <n v="-65.489999999999995"/>
  </r>
  <r>
    <x v="153"/>
    <x v="11"/>
    <x v="135"/>
    <n v="1"/>
    <x v="0"/>
    <n v="13"/>
    <x v="2"/>
    <n v="133"/>
    <x v="8"/>
    <n v="1331"/>
    <x v="23"/>
    <n v="133104"/>
    <x v="41"/>
    <n v="13310402"/>
    <x v="58"/>
    <n v="133104020"/>
    <x v="0"/>
    <n v="1331040200"/>
    <x v="0"/>
    <n v="1"/>
    <s v="Ingresos corrientes"/>
    <n v="113490000"/>
    <n v="169000000"/>
    <n v="169000000"/>
    <n v="19532940.539999999"/>
    <n v="6097566.96"/>
    <n v="5615541.46"/>
    <n v="16534178.029999999"/>
    <n v="-12551294.9"/>
    <n v="1996217.84"/>
    <n v="7000011.1699999999"/>
    <n v="2492447.06"/>
    <n v="6850000"/>
    <n v="22311219.109999999"/>
    <n v="5896928.54"/>
    <n v="1819705.24"/>
    <n v="83595461.049999997"/>
    <n v="85404538.950000003"/>
    <n v="49.46"/>
    <n v="50.54"/>
  </r>
  <r>
    <x v="154"/>
    <x v="11"/>
    <x v="136"/>
    <n v="1"/>
    <x v="0"/>
    <n v="13"/>
    <x v="2"/>
    <n v="133"/>
    <x v="8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0"/>
    <n v="0"/>
    <n v="0"/>
    <n v="0"/>
    <n v="0"/>
    <n v="0"/>
    <n v="0"/>
    <n v="0"/>
    <n v="42120000"/>
    <n v="0"/>
    <n v="42120000"/>
    <n v="-42120000"/>
    <n v="0"/>
    <n v="100"/>
  </r>
  <r>
    <x v="155"/>
    <x v="11"/>
    <x v="137"/>
    <n v="1"/>
    <x v="0"/>
    <n v="13"/>
    <x v="2"/>
    <n v="133"/>
    <x v="8"/>
    <n v="1331"/>
    <x v="23"/>
    <n v="133109"/>
    <x v="42"/>
    <n v="13310902"/>
    <x v="60"/>
    <n v="133109020"/>
    <x v="0"/>
    <n v="1331090200"/>
    <x v="0"/>
    <n v="1"/>
    <s v="Ingresos corrientes"/>
    <n v="422000000"/>
    <n v="160000000"/>
    <n v="160000000"/>
    <n v="12273000"/>
    <n v="9721000"/>
    <n v="5205000"/>
    <n v="33727000"/>
    <n v="13845000"/>
    <n v="39452000"/>
    <n v="9920500"/>
    <n v="22936000"/>
    <n v="12210500"/>
    <n v="7587000"/>
    <n v="5133500"/>
    <n v="9272500"/>
    <n v="181283000"/>
    <n v="-21283000"/>
    <n v="113.3"/>
    <n v="-13.3"/>
  </r>
  <r>
    <x v="156"/>
    <x v="11"/>
    <x v="70"/>
    <n v="1"/>
    <x v="0"/>
    <n v="13"/>
    <x v="2"/>
    <n v="133"/>
    <x v="8"/>
    <n v="1331"/>
    <x v="23"/>
    <n v="133109"/>
    <x v="42"/>
    <n v="13310903"/>
    <x v="61"/>
    <n v="133109030"/>
    <x v="0"/>
    <n v="1331090300"/>
    <x v="0"/>
    <n v="1"/>
    <s v="Ingresos corrientes"/>
    <n v="56000000"/>
    <n v="80000000"/>
    <n v="80000000"/>
    <n v="3215528.73"/>
    <n v="9289645.5399999991"/>
    <n v="25586064.41"/>
    <n v="4128363.41"/>
    <n v="19595418.079999998"/>
    <n v="4560626.04"/>
    <n v="3470728.95"/>
    <n v="19597669.989999998"/>
    <n v="14175316.59"/>
    <n v="22635357.66"/>
    <n v="7422348.7400000002"/>
    <n v="45454536.450000003"/>
    <n v="179131604.59"/>
    <n v="-99131604.590000004"/>
    <n v="223.91"/>
    <n v="-123.91"/>
  </r>
  <r>
    <x v="207"/>
    <x v="11"/>
    <x v="182"/>
    <n v="1"/>
    <x v="0"/>
    <n v="13"/>
    <x v="2"/>
    <n v="133"/>
    <x v="8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68268247.63"/>
    <n v="0"/>
    <n v="0"/>
    <n v="0"/>
    <n v="0"/>
    <n v="168268247.63"/>
    <n v="31731752.370000001"/>
    <n v="84.13"/>
    <n v="15.87"/>
  </r>
  <r>
    <x v="288"/>
    <x v="11"/>
    <x v="253"/>
    <n v="1"/>
    <x v="0"/>
    <n v="13"/>
    <x v="2"/>
    <n v="133"/>
    <x v="8"/>
    <n v="1331"/>
    <x v="23"/>
    <n v="133109"/>
    <x v="42"/>
    <n v="13310905"/>
    <x v="105"/>
    <n v="133109050"/>
    <x v="0"/>
    <n v="1331090500"/>
    <x v="0"/>
    <n v="1"/>
    <s v="Ingresos corrientes"/>
    <n v="10000000"/>
    <n v="10000000"/>
    <n v="10000000"/>
    <n v="0"/>
    <n v="0"/>
    <n v="0"/>
    <n v="4145200"/>
    <n v="0"/>
    <n v="0"/>
    <n v="0"/>
    <n v="11216000"/>
    <n v="0"/>
    <n v="0"/>
    <n v="0"/>
    <n v="8125000"/>
    <n v="23486200"/>
    <n v="-13486200"/>
    <n v="234.86"/>
    <n v="-134.86000000000001"/>
  </r>
  <r>
    <x v="307"/>
    <x v="11"/>
    <x v="270"/>
    <n v="1"/>
    <x v="0"/>
    <n v="13"/>
    <x v="2"/>
    <n v="133"/>
    <x v="8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1"/>
    <x v="170"/>
    <n v="1"/>
    <x v="0"/>
    <n v="13"/>
    <x v="2"/>
    <n v="133"/>
    <x v="8"/>
    <n v="1331"/>
    <x v="23"/>
    <n v="133109"/>
    <x v="42"/>
    <n v="13310909"/>
    <x v="77"/>
    <n v="133109090"/>
    <x v="0"/>
    <n v="1331090900"/>
    <x v="0"/>
    <n v="1"/>
    <s v="Ingresos corrientes"/>
    <n v="162000000"/>
    <n v="161000000"/>
    <n v="161000000"/>
    <n v="49000"/>
    <n v="6257856.4000000004"/>
    <n v="1229527.98"/>
    <n v="514831.25"/>
    <n v="19551343.57"/>
    <n v="1196380"/>
    <n v="8620000"/>
    <n v="0"/>
    <n v="4640062.68"/>
    <n v="4402600"/>
    <n v="1360799.44"/>
    <n v="90334495.950000003"/>
    <n v="138156897.27000001"/>
    <n v="22843102.73"/>
    <n v="85.81"/>
    <n v="14.19"/>
  </r>
  <r>
    <x v="80"/>
    <x v="11"/>
    <x v="74"/>
    <n v="1"/>
    <x v="0"/>
    <n v="13"/>
    <x v="2"/>
    <n v="133"/>
    <x v="8"/>
    <n v="1332"/>
    <x v="24"/>
    <n v="133201"/>
    <x v="43"/>
    <n v="13320101"/>
    <x v="37"/>
    <n v="133201010"/>
    <x v="0"/>
    <n v="1332010100"/>
    <x v="0"/>
    <n v="1"/>
    <s v="Ingresos corrientes"/>
    <n v="24000000"/>
    <n v="60000000"/>
    <n v="60000000"/>
    <n v="3392021.39"/>
    <n v="0"/>
    <n v="15926628.83"/>
    <n v="5982556.8200000003"/>
    <n v="4365212.07"/>
    <n v="1400000"/>
    <n v="0"/>
    <n v="5225060.82"/>
    <n v="9148153.8599999994"/>
    <n v="184813857"/>
    <n v="11441760.710000001"/>
    <n v="-181962736.81999999"/>
    <n v="59732514.68"/>
    <n v="267485.32"/>
    <n v="99.55"/>
    <n v="0.45"/>
  </r>
  <r>
    <x v="260"/>
    <x v="11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474000000"/>
    <n v="487000000"/>
    <n v="487000000"/>
    <n v="55523763.950000003"/>
    <n v="32864725.34"/>
    <n v="43564534.479999997"/>
    <n v="37554929.310000002"/>
    <n v="41320263.130000003"/>
    <n v="43918247.810000002"/>
    <n v="34033327.68"/>
    <n v="39773555.909999996"/>
    <n v="41840906.159999996"/>
    <n v="30424161.309999999"/>
    <n v="56108641.299999997"/>
    <n v="54375165.619999997"/>
    <n v="511302222"/>
    <n v="-24302222"/>
    <n v="104.99"/>
    <n v="-4.99"/>
  </r>
  <r>
    <x v="157"/>
    <x v="11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6265000000"/>
    <n v="6450000000"/>
    <n v="6450000000"/>
    <n v="219131856.27000001"/>
    <n v="631251342.92999995"/>
    <n v="565984158.61000001"/>
    <n v="367094396.06"/>
    <n v="370210168.31"/>
    <n v="1718432187.3299999"/>
    <n v="230209957.27000001"/>
    <n v="391985203.06999999"/>
    <n v="166769938.31999999"/>
    <n v="229761226.06"/>
    <n v="157070577.93000001"/>
    <n v="1488012.18"/>
    <n v="5049389024.3400002"/>
    <n v="1400610975.6600001"/>
    <n v="78.290000000000006"/>
    <n v="21.71"/>
  </r>
  <r>
    <x v="158"/>
    <x v="11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2380000000"/>
    <n v="3900000000"/>
    <n v="3900000000"/>
    <n v="280617341.54000002"/>
    <n v="397493435.11000001"/>
    <n v="522513812.49000001"/>
    <n v="379683836.05000001"/>
    <n v="285479578.00999999"/>
    <n v="201508043.94999999"/>
    <n v="236007632.84999999"/>
    <n v="717445109.09000003"/>
    <n v="-57735670.630000003"/>
    <n v="245093972.02000001"/>
    <n v="326922245.14999998"/>
    <n v="656167063.96000004"/>
    <n v="4191196399.5900002"/>
    <n v="-291196399.58999997"/>
    <n v="107.47"/>
    <n v="-7.47"/>
  </r>
  <r>
    <x v="159"/>
    <x v="11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1608091650"/>
    <n v="34180491214"/>
    <n v="34180491214"/>
    <n v="0"/>
    <n v="0"/>
    <n v="551584493.10000002"/>
    <n v="1360408145.7"/>
    <n v="4815414546.4399996"/>
    <n v="10545732577"/>
    <n v="11624630123"/>
    <n v="1742282386.5999999"/>
    <n v="0"/>
    <n v="967917026.36000001"/>
    <n v="222350.32"/>
    <n v="0"/>
    <n v="31608191648.52"/>
    <n v="2572299565.48"/>
    <n v="92.47"/>
    <n v="7.53"/>
  </r>
  <r>
    <x v="160"/>
    <x v="11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03500000"/>
    <n v="12502304382"/>
    <n v="12502304382"/>
    <n v="0"/>
    <n v="0"/>
    <n v="3730000"/>
    <n v="2176297500"/>
    <n v="1253675000"/>
    <n v="1044185000"/>
    <n v="629305000"/>
    <n v="942952500"/>
    <n v="1023251250"/>
    <n v="1111826250"/>
    <n v="1107433750"/>
    <n v="10000"/>
    <n v="9292666250"/>
    <n v="3209638132"/>
    <n v="74.33"/>
    <n v="25.67"/>
  </r>
  <r>
    <x v="196"/>
    <x v="11"/>
    <x v="171"/>
    <n v="1"/>
    <x v="0"/>
    <n v="14"/>
    <x v="3"/>
    <n v="141"/>
    <x v="10"/>
    <n v="1412"/>
    <x v="27"/>
    <n v="141201"/>
    <x v="45"/>
    <n v="14120104"/>
    <x v="78"/>
    <n v="141201040"/>
    <x v="0"/>
    <n v="1412010400"/>
    <x v="0"/>
    <n v="1"/>
    <s v="Ingresos corrientes"/>
    <n v="1800000000"/>
    <n v="1800000000"/>
    <n v="1800000000"/>
    <n v="0"/>
    <n v="0"/>
    <n v="0"/>
    <n v="450000000"/>
    <n v="150000000"/>
    <n v="150000000"/>
    <n v="0"/>
    <n v="300000000"/>
    <n v="150000000"/>
    <n v="150000000"/>
    <n v="150000000"/>
    <n v="0"/>
    <n v="1500000000"/>
    <n v="300000000"/>
    <n v="83.33"/>
    <n v="16.670000000000002"/>
  </r>
  <r>
    <x v="208"/>
    <x v="11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76844636375"/>
    <n v="78839752775"/>
    <n v="78839752775"/>
    <n v="0"/>
    <n v="6403719697.8999996"/>
    <n v="12515252631.799999"/>
    <n v="6403719697.8999996"/>
    <n v="6403719697.8999996"/>
    <n v="6403719697.8999996"/>
    <n v="0"/>
    <n v="12807439395.84"/>
    <n v="6403719697.9099998"/>
    <n v="6403719697.9300003"/>
    <n v="6403719697.9099998"/>
    <n v="6403728030"/>
    <n v="76552457942.990005"/>
    <n v="2287294832.0100002"/>
    <n v="97.1"/>
    <n v="2.9"/>
  </r>
  <r>
    <x v="209"/>
    <x v="11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5001255699.5"/>
    <n v="8189710717"/>
    <n v="4887639872.46"/>
    <n v="0"/>
    <n v="0"/>
    <n v="0"/>
    <n v="0"/>
    <n v="0"/>
    <n v="0"/>
    <n v="0"/>
    <n v="18078606288.959999"/>
    <n v="-340331459.95999998"/>
    <n v="101.92"/>
    <n v="-1.92"/>
  </r>
  <r>
    <x v="210"/>
    <x v="11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500000000"/>
    <n v="6531899360.8000002"/>
    <n v="3997483703.3000002"/>
    <n v="4135000000"/>
    <n v="4160550000"/>
    <n v="4665271420.1000004"/>
    <n v="3582952000"/>
    <n v="0"/>
    <n v="4987099084"/>
    <n v="7605130614.3199997"/>
    <n v="0"/>
    <n v="44165386182.519997"/>
    <n v="5834613817.4799995"/>
    <n v="88.33"/>
    <n v="11.67"/>
  </r>
  <r>
    <x v="211"/>
    <x v="11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598103520"/>
    <n v="663805000"/>
    <n v="567000000"/>
    <n v="598603520"/>
    <n v="0"/>
    <n v="1452215960"/>
    <n v="674209633"/>
    <n v="688382440"/>
    <n v="666554998"/>
    <n v="595451500"/>
    <n v="7102426571"/>
    <n v="74815669"/>
    <n v="98.96"/>
    <n v="1.04"/>
  </r>
  <r>
    <x v="212"/>
    <x v="11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051000000"/>
    <n v="2055883600"/>
    <n v="2055883600"/>
    <n v="0"/>
    <n v="146493017.13999999"/>
    <n v="449259627.49000001"/>
    <n v="90177739"/>
    <n v="0"/>
    <n v="0"/>
    <n v="103743215"/>
    <n v="300149124"/>
    <n v="199218869"/>
    <n v="136123152.02000001"/>
    <n v="102814070"/>
    <n v="318291033"/>
    <n v="1846269846.6500001"/>
    <n v="209613753.34999999"/>
    <n v="89.8"/>
    <n v="10.199999999999999"/>
  </r>
  <r>
    <x v="301"/>
    <x v="11"/>
    <x v="265"/>
    <n v="1"/>
    <x v="0"/>
    <n v="14"/>
    <x v="3"/>
    <n v="141"/>
    <x v="10"/>
    <n v="1412"/>
    <x v="27"/>
    <n v="141201"/>
    <x v="45"/>
    <n v="14120115"/>
    <x v="108"/>
    <n v="141201150"/>
    <x v="0"/>
    <n v="1412011500"/>
    <x v="0"/>
    <n v="1"/>
    <s v="Ingresos corrientes"/>
    <n v="1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11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876568371"/>
    <n v="3855345883"/>
    <n v="3855345883"/>
    <n v="225623077.78"/>
    <n v="227787341.15000001"/>
    <n v="233415439.40000001"/>
    <n v="229150478.43000001"/>
    <n v="230298052.56"/>
    <n v="234528449.24000001"/>
    <n v="234475234.78"/>
    <n v="235620766.62"/>
    <n v="235272179.91999999"/>
    <n v="234637112.27000001"/>
    <n v="233405569.66"/>
    <n v="683083964.88999999"/>
    <n v="3237297666.6999998"/>
    <n v="618048216.29999995"/>
    <n v="83.97"/>
    <n v="16.03"/>
  </r>
  <r>
    <x v="269"/>
    <x v="11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47730000"/>
    <n v="647730000"/>
    <n v="647730000"/>
    <n v="0"/>
    <n v="0"/>
    <n v="0"/>
    <n v="0"/>
    <n v="0"/>
    <n v="0"/>
    <n v="0"/>
    <n v="0"/>
    <n v="0"/>
    <n v="0"/>
    <n v="0"/>
    <n v="647730000"/>
    <n v="647730000"/>
    <n v="0"/>
    <n v="100"/>
    <n v="0"/>
  </r>
  <r>
    <x v="270"/>
    <x v="11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10764000"/>
    <n v="610764000"/>
    <n v="610764000"/>
    <n v="0"/>
    <n v="0"/>
    <n v="0"/>
    <n v="42247947.82"/>
    <n v="0"/>
    <n v="191622063.59"/>
    <n v="0"/>
    <n v="90725237.189999998"/>
    <n v="0"/>
    <n v="0"/>
    <n v="0"/>
    <n v="103845434.48999999"/>
    <n v="428440683.08999997"/>
    <n v="182323316.91"/>
    <n v="70.150000000000006"/>
    <n v="29.85"/>
  </r>
  <r>
    <x v="94"/>
    <x v="11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5000000"/>
    <n v="5000000"/>
    <n v="5000000"/>
    <n v="0"/>
    <n v="0"/>
    <n v="0"/>
    <n v="0"/>
    <n v="0"/>
    <n v="0"/>
    <n v="0"/>
    <n v="0"/>
    <n v="0"/>
    <n v="0"/>
    <n v="0"/>
    <n v="0"/>
    <n v="0"/>
    <n v="5000000"/>
    <n v="0"/>
    <n v="100"/>
  </r>
  <r>
    <x v="164"/>
    <x v="11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0000"/>
    <n v="300000"/>
    <n v="300000"/>
    <n v="0"/>
    <n v="300000"/>
    <n v="0"/>
    <n v="0"/>
    <n v="0"/>
    <n v="0"/>
    <n v="0"/>
    <n v="0"/>
    <n v="0"/>
    <n v="0"/>
    <n v="0"/>
    <n v="0"/>
    <n v="300000"/>
    <n v="0"/>
    <n v="100"/>
    <n v="0"/>
  </r>
  <r>
    <x v="95"/>
    <x v="11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35200000"/>
    <n v="35200000"/>
    <n v="35200000"/>
    <n v="0"/>
    <n v="35200000"/>
    <n v="0"/>
    <n v="0"/>
    <n v="0"/>
    <n v="0"/>
    <n v="0"/>
    <n v="0"/>
    <n v="0"/>
    <n v="0"/>
    <n v="0"/>
    <n v="0"/>
    <n v="35200000"/>
    <n v="0"/>
    <n v="100"/>
    <n v="0"/>
  </r>
  <r>
    <x v="96"/>
    <x v="11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7000000"/>
    <n v="7000000"/>
    <n v="7000000"/>
    <n v="7000000"/>
    <n v="0"/>
    <n v="0"/>
    <n v="0"/>
    <n v="0"/>
    <n v="0"/>
    <n v="0"/>
    <n v="0"/>
    <n v="0"/>
    <n v="0"/>
    <n v="0"/>
    <n v="0"/>
    <n v="7000000"/>
    <n v="0"/>
    <n v="100"/>
    <n v="0"/>
  </r>
  <r>
    <x v="97"/>
    <x v="11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51400000"/>
    <n v="51400000"/>
    <n v="51400000"/>
    <n v="0"/>
    <n v="0"/>
    <n v="51400000"/>
    <n v="0"/>
    <n v="0"/>
    <n v="0"/>
    <n v="0"/>
    <n v="0"/>
    <n v="0"/>
    <n v="0"/>
    <n v="0"/>
    <n v="0"/>
    <n v="51400000"/>
    <n v="0"/>
    <n v="100"/>
    <n v="0"/>
  </r>
  <r>
    <x v="165"/>
    <x v="11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7000000"/>
    <n v="37000000"/>
    <n v="37000000"/>
    <n v="0"/>
    <n v="0"/>
    <n v="0"/>
    <n v="0"/>
    <n v="0"/>
    <n v="0"/>
    <n v="0"/>
    <n v="0"/>
    <n v="37000000"/>
    <n v="0"/>
    <n v="0"/>
    <n v="0"/>
    <n v="37000000"/>
    <n v="0"/>
    <n v="100"/>
    <n v="0"/>
  </r>
  <r>
    <x v="197"/>
    <x v="11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3800000"/>
    <n v="83800000"/>
    <n v="83800000"/>
    <n v="0"/>
    <n v="0"/>
    <n v="0"/>
    <n v="0"/>
    <n v="0"/>
    <n v="0"/>
    <n v="0"/>
    <n v="0"/>
    <n v="0"/>
    <n v="0"/>
    <n v="80000000"/>
    <n v="3800000"/>
    <n v="83800000"/>
    <n v="0"/>
    <n v="100"/>
    <n v="0"/>
  </r>
  <r>
    <x v="166"/>
    <x v="11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8500000"/>
    <n v="8500000"/>
    <n v="8500000"/>
    <n v="0"/>
    <n v="0"/>
    <n v="8500000"/>
    <n v="0"/>
    <n v="0"/>
    <n v="0"/>
    <n v="0"/>
    <n v="0"/>
    <n v="0"/>
    <n v="0"/>
    <n v="0"/>
    <n v="0"/>
    <n v="8500000"/>
    <n v="0"/>
    <n v="100"/>
    <n v="0"/>
  </r>
  <r>
    <x v="99"/>
    <x v="11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47000000"/>
    <n v="47000000"/>
    <n v="47000000"/>
    <n v="0"/>
    <n v="0"/>
    <n v="47000000"/>
    <n v="0"/>
    <n v="0"/>
    <n v="0"/>
    <n v="0"/>
    <n v="0"/>
    <n v="0"/>
    <n v="0"/>
    <n v="0"/>
    <n v="0"/>
    <n v="47000000"/>
    <n v="0"/>
    <n v="100"/>
    <n v="0"/>
  </r>
  <r>
    <x v="100"/>
    <x v="11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7000000"/>
    <n v="7000000"/>
    <n v="7000000"/>
    <n v="0"/>
    <n v="0"/>
    <n v="0"/>
    <n v="0"/>
    <n v="0"/>
    <n v="7000000"/>
    <n v="0"/>
    <n v="0"/>
    <n v="0"/>
    <n v="0"/>
    <n v="0"/>
    <n v="0"/>
    <n v="7000000"/>
    <n v="0"/>
    <n v="100"/>
    <n v="0"/>
  </r>
  <r>
    <x v="101"/>
    <x v="11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7000000"/>
    <n v="127000000"/>
    <n v="127000000"/>
    <n v="0"/>
    <n v="0"/>
    <n v="0"/>
    <n v="127000000"/>
    <n v="0"/>
    <n v="0"/>
    <n v="0"/>
    <n v="0"/>
    <n v="0"/>
    <n v="0"/>
    <n v="0"/>
    <n v="0"/>
    <n v="127000000"/>
    <n v="0"/>
    <n v="100"/>
    <n v="0"/>
  </r>
  <r>
    <x v="102"/>
    <x v="11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30000000"/>
    <n v="30000000"/>
    <n v="30000000"/>
    <n v="0"/>
    <n v="0"/>
    <n v="30000000"/>
    <n v="0"/>
    <n v="0"/>
    <n v="0"/>
    <n v="0"/>
    <n v="0"/>
    <n v="0"/>
    <n v="0"/>
    <n v="0"/>
    <n v="0"/>
    <n v="30000000"/>
    <n v="0"/>
    <n v="100"/>
    <n v="0"/>
  </r>
  <r>
    <x v="105"/>
    <x v="11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5647918230"/>
    <n v="5647918230"/>
    <n v="5647918230"/>
    <n v="0"/>
    <n v="0"/>
    <n v="0"/>
    <n v="5647918230"/>
    <n v="0"/>
    <n v="0"/>
    <n v="0"/>
    <n v="0"/>
    <n v="0"/>
    <n v="0"/>
    <n v="0"/>
    <n v="0"/>
    <n v="5647918230"/>
    <n v="0"/>
    <n v="100"/>
    <n v="0"/>
  </r>
  <r>
    <x v="167"/>
    <x v="11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33668340"/>
    <n v="433700000"/>
    <n v="433700000"/>
    <n v="44408333.329999998"/>
    <n v="80547361.659999996"/>
    <n v="0"/>
    <n v="108417084.98999999"/>
    <n v="106411638.48999999"/>
    <n v="36139028.329999998"/>
    <n v="0"/>
    <n v="151653250.53999999"/>
    <n v="36139028.329999998"/>
    <n v="36139028.329999998"/>
    <n v="39725548.159999996"/>
    <n v="36139028.329999998"/>
    <n v="675719330.49000001"/>
    <n v="-242019330.49000001"/>
    <n v="155.80000000000001"/>
    <n v="-55.8"/>
  </r>
  <r>
    <x v="249"/>
    <x v="11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9237856"/>
    <n v="449237856"/>
    <n v="449237856"/>
    <n v="0"/>
    <n v="0"/>
    <n v="0"/>
    <n v="0"/>
    <n v="411813410.5"/>
    <n v="0"/>
    <n v="0"/>
    <n v="0"/>
    <n v="0"/>
    <n v="0"/>
    <n v="37424445.5"/>
    <n v="0"/>
    <n v="449237856"/>
    <n v="0"/>
    <n v="100"/>
    <n v="0"/>
  </r>
  <r>
    <x v="290"/>
    <x v="11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25482427.460000001"/>
    <n v="0"/>
    <n v="0"/>
    <n v="0"/>
    <n v="0"/>
    <n v="0"/>
    <n v="0"/>
    <n v="0"/>
    <n v="0"/>
    <n v="25482427.460000001"/>
    <n v="9517572.5399999991"/>
    <n v="72.81"/>
    <n v="27.19"/>
  </r>
  <r>
    <x v="316"/>
    <x v="11"/>
    <x v="279"/>
    <n v="1"/>
    <x v="0"/>
    <n v="14"/>
    <x v="3"/>
    <n v="141"/>
    <x v="10"/>
    <n v="1413"/>
    <x v="28"/>
    <n v="141307"/>
    <x v="111"/>
    <n v="14130700"/>
    <x v="0"/>
    <n v="141307000"/>
    <x v="0"/>
    <n v="1413070000"/>
    <x v="0"/>
    <n v="1"/>
    <s v="Ingresos corrientes"/>
    <n v="0"/>
    <n v="0"/>
    <n v="0"/>
    <n v="0"/>
    <n v="0"/>
    <n v="0"/>
    <n v="0"/>
    <n v="0"/>
    <n v="0"/>
    <n v="363732223.13"/>
    <n v="0"/>
    <n v="0"/>
    <n v="0"/>
    <n v="0"/>
    <n v="0"/>
    <n v="363732223.13"/>
    <n v="-363732223.13"/>
    <n v="0"/>
    <n v="100"/>
  </r>
  <r>
    <x v="317"/>
    <x v="11"/>
    <x v="280"/>
    <n v="1"/>
    <x v="0"/>
    <n v="14"/>
    <x v="3"/>
    <n v="141"/>
    <x v="10"/>
    <n v="1413"/>
    <x v="28"/>
    <n v="141309"/>
    <x v="112"/>
    <n v="14130900"/>
    <x v="0"/>
    <n v="141309000"/>
    <x v="0"/>
    <n v="1413090000"/>
    <x v="0"/>
    <n v="1"/>
    <s v="Ingresos corrientes"/>
    <n v="0"/>
    <n v="3000000000"/>
    <n v="3000000000"/>
    <n v="0"/>
    <n v="0"/>
    <n v="0"/>
    <n v="0"/>
    <n v="0"/>
    <n v="0"/>
    <n v="0"/>
    <n v="0"/>
    <n v="0"/>
    <n v="0"/>
    <n v="3000000000"/>
    <n v="0"/>
    <n v="3000000000"/>
    <n v="0"/>
    <n v="100"/>
    <n v="0"/>
  </r>
  <r>
    <x v="106"/>
    <x v="11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59000000"/>
    <n v="1082000000"/>
    <n v="1082000000"/>
    <n v="52832193.770000003"/>
    <n v="19405503.449999999"/>
    <n v="29039219.77"/>
    <n v="130644775.76000001"/>
    <n v="145637982.52000001"/>
    <n v="102651909.81"/>
    <n v="128987290.34"/>
    <n v="130599833.84"/>
    <n v="54968965.759999998"/>
    <n v="105944346.92"/>
    <n v="84207219.5"/>
    <n v="142292991.93000001"/>
    <n v="1127212233.3699999"/>
    <n v="-45212233.369999997"/>
    <n v="104.18"/>
    <n v="-4.18"/>
  </r>
  <r>
    <x v="107"/>
    <x v="11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41100000"/>
    <n v="141100000"/>
    <n v="141100000"/>
    <n v="0"/>
    <n v="0"/>
    <n v="0"/>
    <n v="141100000"/>
    <n v="0"/>
    <n v="0"/>
    <n v="0"/>
    <n v="0"/>
    <n v="0"/>
    <n v="0"/>
    <n v="0"/>
    <n v="0"/>
    <n v="141100000"/>
    <n v="0"/>
    <n v="100"/>
    <n v="0"/>
  </r>
  <r>
    <x v="108"/>
    <x v="11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45000000"/>
    <n v="245000000"/>
    <n v="245000000"/>
    <n v="0"/>
    <n v="0"/>
    <n v="0"/>
    <n v="0"/>
    <n v="0"/>
    <n v="0"/>
    <n v="0"/>
    <n v="0"/>
    <n v="0"/>
    <n v="0"/>
    <n v="0"/>
    <n v="245000000"/>
    <n v="245000000"/>
    <n v="0"/>
    <n v="100"/>
    <n v="0"/>
  </r>
  <r>
    <x v="109"/>
    <x v="11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1800000"/>
    <n v="21800000"/>
    <n v="21800000"/>
    <n v="0"/>
    <n v="0"/>
    <n v="0"/>
    <n v="0"/>
    <n v="0"/>
    <n v="0"/>
    <n v="0"/>
    <n v="0"/>
    <n v="0"/>
    <n v="0"/>
    <n v="0"/>
    <n v="21800000"/>
    <n v="21800000"/>
    <n v="0"/>
    <n v="100"/>
    <n v="0"/>
  </r>
  <r>
    <x v="110"/>
    <x v="11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33000000"/>
    <n v="33000100"/>
    <n v="33000100"/>
    <n v="0"/>
    <n v="33000000"/>
    <n v="0"/>
    <n v="0"/>
    <n v="0"/>
    <n v="0"/>
    <n v="0"/>
    <n v="0"/>
    <n v="0"/>
    <n v="0"/>
    <n v="0"/>
    <n v="0"/>
    <n v="33000000"/>
    <n v="100"/>
    <n v="100"/>
    <n v="0"/>
  </r>
  <r>
    <x v="111"/>
    <x v="11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28000000"/>
    <n v="28000000"/>
    <n v="28000000"/>
    <n v="0"/>
    <n v="0"/>
    <n v="0"/>
    <n v="0"/>
    <n v="0"/>
    <n v="0"/>
    <n v="0"/>
    <n v="0"/>
    <n v="0"/>
    <n v="0"/>
    <n v="0"/>
    <n v="0"/>
    <n v="0"/>
    <n v="28000000"/>
    <n v="0"/>
    <n v="100"/>
  </r>
  <r>
    <x v="218"/>
    <x v="11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0900000"/>
    <n v="10900000"/>
    <n v="10900000"/>
    <n v="0"/>
    <n v="0"/>
    <n v="0"/>
    <n v="0"/>
    <n v="0"/>
    <n v="0"/>
    <n v="0"/>
    <n v="0"/>
    <n v="0"/>
    <n v="0"/>
    <n v="0"/>
    <n v="0"/>
    <n v="0"/>
    <n v="10900000"/>
    <n v="0"/>
    <n v="100"/>
  </r>
  <r>
    <x v="168"/>
    <x v="11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811200000"/>
    <n v="811200000"/>
    <n v="811200000"/>
    <n v="0"/>
    <n v="0"/>
    <n v="0"/>
    <n v="0"/>
    <n v="0"/>
    <n v="0"/>
    <n v="0"/>
    <n v="0"/>
    <n v="0"/>
    <n v="0"/>
    <n v="0"/>
    <n v="0"/>
    <n v="0"/>
    <n v="811200000"/>
    <n v="0"/>
    <n v="100"/>
  </r>
  <r>
    <x v="169"/>
    <x v="11"/>
    <x v="149"/>
    <n v="1"/>
    <x v="0"/>
    <n v="14"/>
    <x v="3"/>
    <n v="141"/>
    <x v="10"/>
    <n v="1416"/>
    <x v="31"/>
    <n v="141601"/>
    <x v="51"/>
    <n v="14160102"/>
    <x v="71"/>
    <n v="141601020"/>
    <x v="0"/>
    <n v="1416010200"/>
    <x v="0"/>
    <n v="1"/>
    <s v="Ingresos corrientes"/>
    <n v="104300000"/>
    <n v="104300000"/>
    <n v="104300000"/>
    <n v="0"/>
    <n v="27658333.34"/>
    <n v="8691666.6699999999"/>
    <n v="8691666.6699999999"/>
    <n v="8691666.6699999999"/>
    <n v="8691666.6699999999"/>
    <n v="8691666.6699999999"/>
    <n v="8691666.6699999999"/>
    <n v="8691666.6699999999"/>
    <n v="26075000.010000002"/>
    <n v="0"/>
    <n v="0"/>
    <n v="114575000.04000001"/>
    <n v="-10275000.039999999"/>
    <n v="109.85"/>
    <n v="-9.85"/>
  </r>
  <r>
    <x v="170"/>
    <x v="11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963000000"/>
    <n v="963000000"/>
    <n v="963000000"/>
    <n v="0"/>
    <n v="0"/>
    <n v="0"/>
    <n v="0"/>
    <n v="0"/>
    <n v="0"/>
    <n v="0"/>
    <n v="0"/>
    <n v="0"/>
    <n v="0"/>
    <n v="0"/>
    <n v="963000000"/>
    <n v="963000000"/>
    <n v="0"/>
    <n v="100"/>
    <n v="0"/>
  </r>
  <r>
    <x v="171"/>
    <x v="11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9400000"/>
    <n v="19400000"/>
    <n v="19400000"/>
    <n v="0"/>
    <n v="19400000"/>
    <n v="0"/>
    <n v="0"/>
    <n v="0"/>
    <n v="0"/>
    <n v="0"/>
    <n v="0"/>
    <n v="0"/>
    <n v="0"/>
    <n v="0"/>
    <n v="0"/>
    <n v="19400000"/>
    <n v="0"/>
    <n v="100"/>
    <n v="0"/>
  </r>
  <r>
    <x v="198"/>
    <x v="11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0600000"/>
    <n v="20600000"/>
    <n v="20600000"/>
    <n v="0"/>
    <n v="0"/>
    <n v="0"/>
    <n v="0"/>
    <n v="0"/>
    <n v="0"/>
    <n v="20600000"/>
    <n v="0"/>
    <n v="0"/>
    <n v="0"/>
    <n v="0"/>
    <n v="0"/>
    <n v="20600000"/>
    <n v="0"/>
    <n v="100"/>
    <n v="0"/>
  </r>
  <r>
    <x v="292"/>
    <x v="11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34535400"/>
    <n v="62906377"/>
    <n v="62906377"/>
    <n v="0"/>
    <n v="0"/>
    <n v="0"/>
    <n v="33999000"/>
    <n v="0"/>
    <n v="0"/>
    <n v="0"/>
    <n v="0"/>
    <n v="11360000"/>
    <n v="0"/>
    <n v="17022777"/>
    <n v="0"/>
    <n v="62381777"/>
    <n v="524600"/>
    <n v="99.17"/>
    <n v="0.83"/>
  </r>
  <r>
    <x v="318"/>
    <x v="11"/>
    <x v="281"/>
    <n v="2"/>
    <x v="1"/>
    <n v="23"/>
    <x v="10"/>
    <n v="234"/>
    <x v="23"/>
    <n v="2340"/>
    <x v="35"/>
    <n v="234000"/>
    <x v="44"/>
    <n v="23400000"/>
    <x v="0"/>
    <n v="234000000"/>
    <x v="0"/>
    <n v="2340000000"/>
    <x v="0"/>
    <n v="30"/>
    <s v="-"/>
    <n v="0"/>
    <n v="0"/>
    <n v="0"/>
    <n v="0"/>
    <n v="0"/>
    <n v="0"/>
    <n v="0"/>
    <n v="0"/>
    <n v="0"/>
    <n v="0"/>
    <n v="0"/>
    <n v="0"/>
    <n v="0"/>
    <n v="0"/>
    <n v="29939000000"/>
    <n v="29939000000"/>
    <n v="-29939000000"/>
    <n v="0"/>
    <n v="100"/>
  </r>
  <r>
    <x v="277"/>
    <x v="11"/>
    <x v="244"/>
    <n v="2"/>
    <x v="1"/>
    <n v="24"/>
    <x v="4"/>
    <n v="241"/>
    <x v="12"/>
    <n v="2412"/>
    <x v="33"/>
    <n v="241208"/>
    <x v="91"/>
    <n v="24120800"/>
    <x v="0"/>
    <n v="241208000"/>
    <x v="0"/>
    <n v="2412080000"/>
    <x v="0"/>
    <n v="60"/>
    <s v="Transferencia de capital OD"/>
    <n v="0"/>
    <n v="0"/>
    <n v="0"/>
    <n v="0"/>
    <n v="0"/>
    <n v="0"/>
    <n v="952313093.49000001"/>
    <n v="0"/>
    <n v="0"/>
    <n v="0"/>
    <n v="0"/>
    <n v="0"/>
    <n v="0"/>
    <n v="0"/>
    <n v="0"/>
    <n v="952313093.49000001"/>
    <n v="-952313093.49000001"/>
    <n v="0"/>
    <n v="100"/>
  </r>
  <r>
    <x v="312"/>
    <x v="11"/>
    <x v="274"/>
    <n v="2"/>
    <x v="1"/>
    <n v="24"/>
    <x v="4"/>
    <n v="241"/>
    <x v="12"/>
    <n v="2412"/>
    <x v="33"/>
    <n v="241211"/>
    <x v="107"/>
    <n v="24121100"/>
    <x v="0"/>
    <n v="241211000"/>
    <x v="0"/>
    <n v="2412110000"/>
    <x v="0"/>
    <n v="60"/>
    <s v="Transferencia de capital OD"/>
    <n v="517854828"/>
    <n v="517854828"/>
    <n v="517854828"/>
    <n v="0"/>
    <n v="0"/>
    <n v="517855128"/>
    <n v="0"/>
    <n v="0"/>
    <n v="0"/>
    <n v="0"/>
    <n v="0"/>
    <n v="0"/>
    <n v="0"/>
    <n v="0"/>
    <n v="0"/>
    <n v="517855128"/>
    <n v="-300"/>
    <n v="100"/>
    <n v="0"/>
  </r>
  <r>
    <x v="319"/>
    <x v="11"/>
    <x v="282"/>
    <n v="2"/>
    <x v="1"/>
    <n v="24"/>
    <x v="4"/>
    <n v="241"/>
    <x v="12"/>
    <n v="2412"/>
    <x v="33"/>
    <n v="241214"/>
    <x v="113"/>
    <n v="24121400"/>
    <x v="0"/>
    <n v="241214000"/>
    <x v="0"/>
    <n v="2412140000"/>
    <x v="0"/>
    <n v="60"/>
    <s v="Transferencia de capital OD"/>
    <n v="2500000000"/>
    <n v="197643855"/>
    <n v="197643855"/>
    <n v="0"/>
    <n v="0"/>
    <n v="0"/>
    <n v="0"/>
    <n v="0"/>
    <n v="0"/>
    <n v="0"/>
    <n v="0"/>
    <n v="0"/>
    <n v="0"/>
    <n v="0"/>
    <n v="0"/>
    <n v="0"/>
    <n v="197643855"/>
    <n v="0"/>
    <n v="100"/>
  </r>
  <r>
    <x v="174"/>
    <x v="11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1553968820519"/>
    <n v="1423968820519"/>
    <n v="1423968820519"/>
    <n v="51142837857.089996"/>
    <n v="10518510435.18"/>
    <n v="12347471813.57"/>
    <n v="19764393802.799999"/>
    <n v="140049346431.72"/>
    <n v="46850727085.029999"/>
    <n v="76010080371.490005"/>
    <n v="66722293249.029999"/>
    <n v="68480897841.440002"/>
    <n v="37755161746.43"/>
    <n v="126759363329.58"/>
    <n v="461540394941.08002"/>
    <n v="1117941478904.4399"/>
    <n v="306027341614.56"/>
    <n v="78.510000000000005"/>
    <n v="21.49"/>
  </r>
  <r>
    <x v="200"/>
    <x v="11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21275420916"/>
    <n v="20313204870"/>
    <n v="20313204870"/>
    <n v="0"/>
    <n v="0"/>
    <n v="0"/>
    <n v="0"/>
    <n v="0"/>
    <n v="0"/>
    <n v="0"/>
    <n v="0"/>
    <n v="0"/>
    <n v="0"/>
    <n v="0"/>
    <n v="0"/>
    <n v="0"/>
    <n v="20313204870"/>
    <n v="0"/>
    <n v="100"/>
  </r>
  <r>
    <x v="254"/>
    <x v="11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7500000000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5"/>
    <x v="11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2470089423214"/>
    <n v="3562739974018"/>
    <n v="3562739974018"/>
    <n v="271468845511.60001"/>
    <n v="117915851430.92999"/>
    <n v="596685263712.04004"/>
    <n v="103741069525.49001"/>
    <n v="251883993291.62"/>
    <n v="132185981890.06"/>
    <n v="196657641669.39999"/>
    <n v="155300623602.45001"/>
    <n v="155890848123.69"/>
    <n v="142213466229.01001"/>
    <n v="216373810277.14001"/>
    <n v="556001678878.31006"/>
    <n v="2896319074141.7402"/>
    <n v="666420899876.26001"/>
    <n v="81.290000000000006"/>
    <n v="18.71"/>
  </r>
  <r>
    <x v="201"/>
    <x v="11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1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2586301326.540001"/>
    <n v="12672671162.41"/>
    <n v="0"/>
    <n v="0"/>
    <n v="710708164.84000003"/>
    <n v="715176884.75999999"/>
    <n v="796355342.10000002"/>
    <n v="1078300362.1900001"/>
    <n v="1086244704.29"/>
    <n v="1625055526.0799999"/>
    <n v="2268879348.4000001"/>
    <n v="2190806835.3099999"/>
    <n v="2201143994.4400001"/>
    <n v="0"/>
    <n v="12672671162.41"/>
    <n v="0"/>
    <n v="100"/>
    <n v="0"/>
  </r>
  <r>
    <x v="202"/>
    <x v="11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206128544.8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1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1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2403900294.2800002"/>
    <n v="764212261.35000002"/>
    <n v="43752109"/>
    <n v="720460152.35000002"/>
    <n v="0"/>
    <n v="0"/>
    <n v="0"/>
    <n v="0"/>
    <n v="0"/>
    <n v="0"/>
    <n v="0"/>
    <n v="0"/>
    <n v="0"/>
    <n v="0"/>
    <n v="764212261.35000002"/>
    <n v="0"/>
    <n v="100"/>
    <n v="0"/>
  </r>
  <r>
    <x v="240"/>
    <x v="11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2935.87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1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6282097310"/>
    <n v="6288730048.8299999"/>
    <n v="6195263531.4099998"/>
    <n v="0"/>
    <n v="0"/>
    <n v="0"/>
    <n v="0"/>
    <n v="6195263531.4099998"/>
    <n v="0"/>
    <n v="0"/>
    <n v="0"/>
    <n v="0"/>
    <n v="0"/>
    <n v="0"/>
    <n v="0"/>
    <n v="6195263531.4099998"/>
    <n v="0"/>
    <n v="100"/>
    <n v="0"/>
  </r>
  <r>
    <x v="264"/>
    <x v="11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720435269.110001"/>
    <n v="1355374494.9000001"/>
    <n v="15761761.5"/>
    <n v="223073713.65000001"/>
    <n v="157646107.47"/>
    <n v="68905595.540000007"/>
    <n v="188885517.94"/>
    <n v="149279603.91999999"/>
    <n v="52822180.549999997"/>
    <n v="79008727.459999993"/>
    <n v="98371769.849999994"/>
    <n v="46960454.109999999"/>
    <n v="130928246.25"/>
    <n v="143730816.66"/>
    <n v="1355374494.9000001"/>
    <n v="0"/>
    <n v="100"/>
    <n v="0"/>
  </r>
  <r>
    <x v="278"/>
    <x v="11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938156396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79"/>
    <x v="11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27802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1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57645000000"/>
    <n v="576450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1"/>
    <x v="11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3864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2"/>
    <x v="11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344869696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00"/>
    <x v="11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175083300000"/>
    <n v="17967900000"/>
    <n v="0"/>
    <n v="0"/>
    <n v="0"/>
    <n v="0"/>
    <n v="0"/>
    <n v="0"/>
    <n v="0"/>
    <n v="0"/>
    <n v="0"/>
    <n v="0"/>
    <n v="0"/>
    <n v="17967900000"/>
    <n v="17967900000"/>
    <n v="0"/>
    <n v="100"/>
    <n v="0"/>
  </r>
  <r>
    <x v="204"/>
    <x v="11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11577000000"/>
    <n v="3200000000"/>
    <n v="0"/>
    <n v="0"/>
    <n v="0"/>
    <n v="0"/>
    <n v="0"/>
    <n v="0"/>
    <n v="0"/>
    <n v="0"/>
    <n v="0"/>
    <n v="0"/>
    <n v="0"/>
    <n v="3200000000"/>
    <n v="3200000000"/>
    <n v="0"/>
    <n v="100"/>
    <n v="0"/>
  </r>
  <r>
    <x v="256"/>
    <x v="11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5400888669"/>
    <n v="32916844104.580002"/>
    <n v="17605194500"/>
    <n v="0"/>
    <n v="3863767500"/>
    <n v="7901818000"/>
    <n v="0"/>
    <n v="2559780000"/>
    <n v="0"/>
    <n v="0"/>
    <n v="1997275000"/>
    <n v="0"/>
    <n v="1282554000"/>
    <n v="0"/>
    <n v="0"/>
    <n v="17605194500"/>
    <n v="0"/>
    <n v="100"/>
    <n v="0"/>
  </r>
  <r>
    <x v="224"/>
    <x v="11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8452454171.6199999"/>
    <n v="6061852797.6599998"/>
    <n v="0"/>
    <n v="0"/>
    <n v="563982517.26999998"/>
    <n v="786567386.75"/>
    <n v="0"/>
    <n v="970157034.61000001"/>
    <n v="131991659.11"/>
    <n v="422546404.50999999"/>
    <n v="223986427.97999999"/>
    <n v="177761330.16"/>
    <n v="1134263315.8399999"/>
    <n v="1650596721.4300001"/>
    <n v="6061852797.6599998"/>
    <n v="0"/>
    <n v="100"/>
    <n v="0"/>
  </r>
  <r>
    <x v="225"/>
    <x v="11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4984809183.25"/>
    <n v="529377425.85000002"/>
    <n v="0"/>
    <n v="448920042.60000002"/>
    <n v="80457383.209999993"/>
    <n v="0"/>
    <n v="0"/>
    <n v="0"/>
    <n v="0"/>
    <n v="0"/>
    <n v="0"/>
    <n v="0"/>
    <n v="0"/>
    <n v="0.04"/>
    <n v="529377425.85000002"/>
    <n v="0"/>
    <n v="100"/>
    <n v="0"/>
  </r>
  <r>
    <x v="280"/>
    <x v="11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7915328277.5200005"/>
    <n v="3791007177.1799998"/>
    <n v="0"/>
    <n v="0"/>
    <n v="0"/>
    <n v="0"/>
    <n v="0"/>
    <n v="0"/>
    <n v="0"/>
    <n v="3791007177.1799998"/>
    <n v="0"/>
    <n v="0"/>
    <n v="0"/>
    <n v="0"/>
    <n v="3791007177.1799998"/>
    <n v="0"/>
    <n v="100"/>
    <n v="0"/>
  </r>
  <r>
    <x v="281"/>
    <x v="11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5893720000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77"/>
    <x v="11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287045976.54000002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3"/>
    <x v="11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0"/>
    <n v="118635653.31"/>
    <n v="118635653.31"/>
    <n v="0"/>
    <n v="0"/>
    <n v="0"/>
    <n v="0"/>
    <n v="0"/>
    <n v="0"/>
    <n v="0"/>
    <n v="0"/>
    <n v="0"/>
    <n v="0"/>
    <n v="0"/>
    <n v="118635653.31"/>
    <n v="118635653.31"/>
    <n v="0"/>
    <n v="100"/>
    <n v="0"/>
  </r>
  <r>
    <x v="133"/>
    <x v="12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284200000000"/>
    <n v="284200000000"/>
    <n v="284200000000"/>
    <n v="19331118412.490002"/>
    <n v="19994283796.560001"/>
    <n v="20624719686.060001"/>
    <n v="23754953654.790001"/>
    <n v="20563382286.009998"/>
    <n v="20918220743.560001"/>
    <n v="21997625880.34"/>
    <n v="22064073994.77"/>
    <n v="25013223469.360001"/>
    <n v="25348352589.549999"/>
    <n v="23774016453.389999"/>
    <n v="23362712901.669998"/>
    <n v="266746683868.54999"/>
    <n v="17453316131.450001"/>
    <n v="93.86"/>
    <n v="6.14"/>
  </r>
  <r>
    <x v="134"/>
    <x v="12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192500000000"/>
    <n v="192500000000"/>
    <n v="192500000000"/>
    <n v="16304738230.129999"/>
    <n v="15201718470.860001"/>
    <n v="16300093807.57"/>
    <n v="19985464135.689999"/>
    <n v="16013384691.799999"/>
    <n v="15920488489.950001"/>
    <n v="16286653592.200001"/>
    <n v="17975885938.099998"/>
    <n v="18835795572.450001"/>
    <n v="21410662274.119999"/>
    <n v="16427807660.6"/>
    <n v="18939898279.48"/>
    <n v="209602591142.95001"/>
    <n v="-17102591142.950001"/>
    <n v="108.88"/>
    <n v="-8.8800000000000008"/>
  </r>
  <r>
    <x v="135"/>
    <x v="12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8700000000"/>
    <n v="58700000000"/>
    <n v="58700000000"/>
    <n v="2870843466"/>
    <n v="1151640163.3499999"/>
    <n v="7336721482.3400002"/>
    <n v="3330020085.2399998"/>
    <n v="818778634.23000002"/>
    <n v="4339570435.7200003"/>
    <n v="3896722317.4400001"/>
    <n v="1374588783.1500001"/>
    <n v="5518898186.4700003"/>
    <n v="4185668472.04"/>
    <n v="2384075292.1799998"/>
    <n v="21855391026.799999"/>
    <n v="59062918344.959999"/>
    <n v="-362918344.95999998"/>
    <n v="100.62"/>
    <n v="-0.62"/>
  </r>
  <r>
    <x v="324"/>
    <x v="12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0"/>
    <n v="0"/>
    <n v="0"/>
    <n v="0"/>
    <n v="0"/>
    <n v="0"/>
    <n v="0"/>
    <n v="0"/>
    <n v="0"/>
    <n v="787612895"/>
    <n v="1010981281"/>
    <n v="818098568"/>
    <n v="1052563734"/>
    <n v="1185491414"/>
    <n v="4854747892"/>
    <n v="-4854747892"/>
    <n v="0"/>
    <n v="100"/>
  </r>
  <r>
    <x v="325"/>
    <x v="12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0"/>
    <n v="0"/>
    <n v="0"/>
    <n v="0"/>
    <n v="0"/>
    <n v="0"/>
    <n v="0"/>
    <n v="0"/>
    <n v="0"/>
    <n v="0"/>
    <n v="33393828"/>
    <n v="1891497"/>
    <n v="72852084"/>
    <n v="72166638"/>
    <n v="181534198"/>
    <n v="361838245"/>
    <n v="-361838245"/>
    <n v="0"/>
    <n v="100"/>
  </r>
  <r>
    <x v="326"/>
    <x v="12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0"/>
    <n v="0"/>
    <n v="0"/>
    <n v="0"/>
    <n v="0"/>
    <n v="0"/>
    <n v="0"/>
    <n v="0"/>
    <n v="0"/>
    <n v="0"/>
    <n v="26786916"/>
    <n v="52033493"/>
    <n v="85380409"/>
    <n v="73465605"/>
    <n v="87721070"/>
    <n v="325387493"/>
    <n v="-325387493"/>
    <n v="0"/>
    <n v="100"/>
  </r>
  <r>
    <x v="180"/>
    <x v="12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125250000000"/>
    <n v="125250000000"/>
    <n v="125250000000"/>
    <n v="13745370134.91"/>
    <n v="5152955998.5"/>
    <n v="6850292698.8400002"/>
    <n v="5907400600.5"/>
    <n v="5756094721.8299999"/>
    <n v="13323940191.940001"/>
    <n v="6882067023.2200003"/>
    <n v="5894711833.2600002"/>
    <n v="13144967168.299999"/>
    <n v="0"/>
    <n v="0"/>
    <n v="-13144967168.299999"/>
    <n v="63512833203"/>
    <n v="61737166797"/>
    <n v="50.71"/>
    <n v="49.29"/>
  </r>
  <r>
    <x v="136"/>
    <x v="12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0"/>
    <n v="0"/>
    <n v="0"/>
    <n v="0"/>
    <n v="0"/>
    <n v="0"/>
    <n v="0"/>
    <n v="0"/>
    <n v="0"/>
    <n v="0"/>
    <n v="0"/>
    <n v="0"/>
    <n v="5265403025.8999996"/>
    <n v="5263293639.0500002"/>
    <n v="26272137957.549999"/>
    <n v="36800834622.5"/>
    <n v="-36800834622.5"/>
    <n v="0"/>
    <n v="100"/>
  </r>
  <r>
    <x v="327"/>
    <x v="12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0"/>
    <n v="0"/>
    <n v="0"/>
    <n v="0"/>
    <n v="0"/>
    <n v="0"/>
    <n v="0"/>
    <n v="0"/>
    <n v="0"/>
    <n v="2356485"/>
    <n v="3852777"/>
    <n v="3626284"/>
    <n v="5528332"/>
    <n v="83620650"/>
    <n v="98984528"/>
    <n v="-98984528"/>
    <n v="0"/>
    <n v="100"/>
  </r>
  <r>
    <x v="328"/>
    <x v="12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0"/>
    <n v="0"/>
    <n v="0"/>
    <n v="0"/>
    <n v="0"/>
    <n v="0"/>
    <n v="0"/>
    <n v="0"/>
    <n v="0"/>
    <n v="0"/>
    <n v="0"/>
    <n v="0"/>
    <n v="797009"/>
    <n v="0"/>
    <n v="34697305704.010002"/>
    <n v="34698102713.010002"/>
    <n v="-34698102713.010002"/>
    <n v="0"/>
    <n v="100"/>
  </r>
  <r>
    <x v="137"/>
    <x v="12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785650000000"/>
    <n v="785650000000"/>
    <n v="785650000000"/>
    <n v="90350715686.619995"/>
    <n v="19560599001.5"/>
    <n v="178653641269.47"/>
    <n v="25639447542.189999"/>
    <n v="11354720212.049999"/>
    <n v="130250451847.23"/>
    <n v="34804681593.309998"/>
    <n v="13696541689.52"/>
    <n v="121203183574.49001"/>
    <n v="-12849"/>
    <n v="12849"/>
    <n v="-121202458605.49001"/>
    <n v="504311523810.89001"/>
    <n v="281338476189.10999"/>
    <n v="64.19"/>
    <n v="35.81"/>
  </r>
  <r>
    <x v="6"/>
    <x v="12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0"/>
    <n v="0"/>
    <n v="0"/>
    <n v="0"/>
    <n v="0"/>
    <n v="0"/>
    <n v="0"/>
    <n v="0"/>
    <n v="0"/>
    <n v="0"/>
    <n v="0"/>
    <n v="0"/>
    <n v="45617043601.5"/>
    <n v="15321582368.92"/>
    <n v="290344627166.42999"/>
    <n v="351283253136.84998"/>
    <n v="-351283253136.84998"/>
    <n v="0"/>
    <n v="100"/>
  </r>
  <r>
    <x v="329"/>
    <x v="12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0"/>
    <n v="0"/>
    <n v="0"/>
    <n v="0"/>
    <n v="0"/>
    <n v="0"/>
    <n v="0"/>
    <n v="0"/>
    <n v="0"/>
    <n v="4141199490"/>
    <n v="5187033078"/>
    <n v="3692672929"/>
    <n v="4885026969"/>
    <n v="5098983949"/>
    <n v="23004916415"/>
    <n v="-23004916415"/>
    <n v="0"/>
    <n v="100"/>
  </r>
  <r>
    <x v="330"/>
    <x v="12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0"/>
    <n v="0"/>
    <n v="0"/>
    <n v="0"/>
    <n v="0"/>
    <n v="0"/>
    <n v="0"/>
    <n v="0"/>
    <n v="0"/>
    <n v="0"/>
    <n v="42554280"/>
    <n v="347109"/>
    <n v="283063616"/>
    <n v="120402040"/>
    <n v="41920234933.050003"/>
    <n v="42366601978.050003"/>
    <n v="-42366601978.050003"/>
    <n v="0"/>
    <n v="100"/>
  </r>
  <r>
    <x v="331"/>
    <x v="12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0"/>
    <n v="0"/>
    <n v="0"/>
    <n v="0"/>
    <n v="0"/>
    <n v="0"/>
    <n v="0"/>
    <n v="0"/>
    <n v="0"/>
    <n v="0"/>
    <n v="109103284"/>
    <n v="736651536"/>
    <n v="238147092"/>
    <n v="341940534"/>
    <n v="582735366"/>
    <n v="2008577812"/>
    <n v="-2008577812"/>
    <n v="0"/>
    <n v="100"/>
  </r>
  <r>
    <x v="332"/>
    <x v="12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40000000000"/>
    <n v="40000000000"/>
    <n v="40000000000"/>
    <n v="4691731505.4499998"/>
    <n v="2641023481.1900001"/>
    <n v="2500625138.2399998"/>
    <n v="2721867313"/>
    <n v="3197647783.9400001"/>
    <n v="2838312325.54"/>
    <n v="5697655568.8900003"/>
    <n v="2591672932.8600001"/>
    <n v="1896129315"/>
    <n v="3307807934.6500001"/>
    <n v="5925193421"/>
    <n v="-19418459172.400002"/>
    <n v="18591207547.360001"/>
    <n v="21408792452.639999"/>
    <n v="46.48"/>
    <n v="53.52"/>
  </r>
  <r>
    <x v="333"/>
    <x v="12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89400000000"/>
    <n v="89400000000"/>
    <n v="89400000000"/>
    <n v="6872105893.1400003"/>
    <n v="5054396198.21"/>
    <n v="4865248563.75"/>
    <n v="8973516333.7900009"/>
    <n v="5476148345.04"/>
    <n v="8569917260.75"/>
    <n v="7214920473.2799997"/>
    <n v="8099546926.29"/>
    <n v="5124821594.8199997"/>
    <n v="10839519554.27"/>
    <n v="7003149304.6400003"/>
    <n v="-38281957853.300003"/>
    <n v="39811332594.68"/>
    <n v="49588667405.32"/>
    <n v="44.53"/>
    <n v="55.47"/>
  </r>
  <r>
    <x v="184"/>
    <x v="12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71280000000"/>
    <n v="171280000000"/>
    <n v="171280000000"/>
    <n v="31788055396.540001"/>
    <n v="11573731184.32"/>
    <n v="16907205260.540001"/>
    <n v="19232337561.709999"/>
    <n v="12606417782.639999"/>
    <n v="13929786036.559999"/>
    <n v="20002457599.209999"/>
    <n v="10818711378.969999"/>
    <n v="10679088097.24"/>
    <n v="16597599983.77"/>
    <n v="13193777222.709999"/>
    <n v="20094814017.84"/>
    <n v="197423981522.04999"/>
    <n v="-26143981522.049999"/>
    <n v="115.26"/>
    <n v="-15.26"/>
  </r>
  <r>
    <x v="186"/>
    <x v="12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00000000"/>
    <n v="4600000000"/>
    <n v="4600000000"/>
    <n v="3653515972"/>
    <n v="373590606.14999998"/>
    <n v="138136734"/>
    <n v="68509301"/>
    <n v="79269734"/>
    <n v="51785177"/>
    <n v="61459137"/>
    <n v="31520396"/>
    <n v="64754842"/>
    <n v="48034090"/>
    <n v="36110247"/>
    <n v="92657454"/>
    <n v="4699343690.1499996"/>
    <n v="-99343690.150000006"/>
    <n v="102.16"/>
    <n v="-2.16"/>
  </r>
  <r>
    <x v="141"/>
    <x v="12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76000000000"/>
    <n v="176000000000"/>
    <n v="176000000000"/>
    <n v="12237510574.790001"/>
    <n v="2791306335.4899998"/>
    <n v="1809652420.6800001"/>
    <n v="2134301792.45"/>
    <n v="1648686637.0899999"/>
    <n v="1603478475.3299999"/>
    <n v="1113117335.25"/>
    <n v="866078713.34000003"/>
    <n v="744749394.25"/>
    <n v="599546974"/>
    <n v="18844720676"/>
    <n v="136804846623.58"/>
    <n v="181197995952.25"/>
    <n v="-5197995952.25"/>
    <n v="102.95"/>
    <n v="-2.95"/>
  </r>
  <r>
    <x v="21"/>
    <x v="12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675000000"/>
    <n v="1675000000"/>
    <n v="1675000000"/>
    <n v="327572616"/>
    <n v="28199474"/>
    <n v="23960810"/>
    <n v="16108035"/>
    <n v="11217760"/>
    <n v="10266986"/>
    <n v="8542335"/>
    <n v="7483212"/>
    <n v="6955161"/>
    <n v="6333819"/>
    <n v="132382533"/>
    <n v="1241020631.6500001"/>
    <n v="1820043372.6500001"/>
    <n v="-145043372.65000001"/>
    <n v="108.66"/>
    <n v="-8.66"/>
  </r>
  <r>
    <x v="22"/>
    <x v="12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480000000"/>
    <n v="480000000"/>
    <n v="480000000"/>
    <n v="5736935.9900000002"/>
    <n v="45023376.5"/>
    <n v="114306069.03"/>
    <n v="23041522.260000002"/>
    <n v="200692188.88"/>
    <n v="30429534.280000001"/>
    <n v="39021671.859999999"/>
    <n v="33444989.32"/>
    <n v="0"/>
    <n v="0"/>
    <n v="0"/>
    <n v="0"/>
    <n v="491696288.12"/>
    <n v="-11696288.119999999"/>
    <n v="102.44"/>
    <n v="-2.44"/>
  </r>
  <r>
    <x v="302"/>
    <x v="12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5400000000"/>
    <n v="25400000000"/>
    <n v="25400000000"/>
    <n v="11748031235.120001"/>
    <n v="5708708984.1300001"/>
    <n v="1993451461.0599999"/>
    <n v="1096473436.9400001"/>
    <n v="1030609099.59"/>
    <n v="918355624.04999995"/>
    <n v="805829877.20000005"/>
    <n v="806234956.22000003"/>
    <n v="1060833923.08"/>
    <n v="881923711.23000002"/>
    <n v="710517982.64999998"/>
    <n v="756302591.38999999"/>
    <n v="27517272882.66"/>
    <n v="-2117272882.6600001"/>
    <n v="108.34"/>
    <n v="-8.34"/>
  </r>
  <r>
    <x v="23"/>
    <x v="12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8000000000"/>
    <n v="38000000000"/>
    <n v="38000000000"/>
    <n v="2429715634"/>
    <n v="2601224218"/>
    <n v="3369140665"/>
    <n v="2817842323"/>
    <n v="3937208792.5"/>
    <n v="6512902139.5"/>
    <n v="5875002513"/>
    <n v="2944749991"/>
    <n v="3181540981.52"/>
    <n v="2924889591"/>
    <n v="2990374351.3200002"/>
    <n v="2969827026"/>
    <n v="42554418225.839996"/>
    <n v="-4554418225.8400002"/>
    <n v="111.99"/>
    <n v="-11.99"/>
  </r>
  <r>
    <x v="24"/>
    <x v="12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3300000000"/>
    <n v="23300000000"/>
    <n v="23300000000"/>
    <n v="2100176038"/>
    <n v="2021850592"/>
    <n v="2068296478"/>
    <n v="1708733682"/>
    <n v="2142786462"/>
    <n v="2077372977"/>
    <n v="2127995866"/>
    <n v="1787045613"/>
    <n v="1786705173"/>
    <n v="2085319600"/>
    <n v="1858353298"/>
    <n v="1458078238"/>
    <n v="23222714017"/>
    <n v="77285983"/>
    <n v="99.67"/>
    <n v="0.33"/>
  </r>
  <r>
    <x v="142"/>
    <x v="12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817100000000"/>
    <n v="817100000000"/>
    <n v="817100000000"/>
    <n v="89003899513.880005"/>
    <n v="67979772273.080002"/>
    <n v="64988540995.010002"/>
    <n v="65146291425.110001"/>
    <n v="67528773604.610001"/>
    <n v="62407881452.169998"/>
    <n v="70319897654.830002"/>
    <n v="89098977789.440002"/>
    <n v="95804930385.880005"/>
    <n v="95192218189.639999"/>
    <n v="89254386967.399994"/>
    <n v="102024548327.25"/>
    <n v="958750118578.30005"/>
    <n v="-141650118578.29999"/>
    <n v="117.34"/>
    <n v="-17.34"/>
  </r>
  <r>
    <x v="187"/>
    <x v="12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52300000000"/>
    <n v="752300000000"/>
    <n v="752300000000"/>
    <n v="60078610327.879997"/>
    <n v="50979747873.510002"/>
    <n v="58755060176.269997"/>
    <n v="52200885139.940002"/>
    <n v="56581723072.089996"/>
    <n v="51692873100.589996"/>
    <n v="58620406175.129997"/>
    <n v="52136228134.019997"/>
    <n v="53936817549.620003"/>
    <n v="64462669908.580002"/>
    <n v="62683780937.389999"/>
    <n v="54107017025.589996"/>
    <n v="676235819420.60999"/>
    <n v="76064180579.389999"/>
    <n v="89.89"/>
    <n v="10.11"/>
  </r>
  <r>
    <x v="188"/>
    <x v="12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20006000000"/>
    <n v="20006000000"/>
    <n v="20006000000"/>
    <n v="1015649375.45"/>
    <n v="721200898.44000006"/>
    <n v="663662658.17999995"/>
    <n v="811736526.69000006"/>
    <n v="956372925.49000001"/>
    <n v="841157498.36000001"/>
    <n v="747808582.88999999"/>
    <n v="715364580.12"/>
    <n v="898429423.94000006"/>
    <n v="985540867"/>
    <n v="820584712.80999994"/>
    <n v="1013429527"/>
    <n v="10190937576.370001"/>
    <n v="9815062423.6299992"/>
    <n v="50.94"/>
    <n v="49.06"/>
  </r>
  <r>
    <x v="189"/>
    <x v="12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202286000000"/>
    <n v="202286000000"/>
    <n v="202286000000"/>
    <n v="17716687899.580002"/>
    <n v="13708557904.09"/>
    <n v="18599699045.93"/>
    <n v="15372475957.84"/>
    <n v="15034988857.299999"/>
    <n v="13854892927.610001"/>
    <n v="14053560503.99"/>
    <n v="12379893926.33"/>
    <n v="15409209893.469999"/>
    <n v="18614489233.810001"/>
    <n v="18813597764.139999"/>
    <n v="13702956998.809999"/>
    <n v="187261010912.89999"/>
    <n v="15024989087.1"/>
    <n v="92.57"/>
    <n v="7.43"/>
  </r>
  <r>
    <x v="30"/>
    <x v="12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0118000000"/>
    <n v="320118000000"/>
    <n v="320118000000"/>
    <n v="13922621944"/>
    <n v="33802511456"/>
    <n v="10255405303"/>
    <n v="47665297931"/>
    <n v="35797265177"/>
    <n v="24299275702"/>
    <n v="12182350002"/>
    <n v="41135703224"/>
    <n v="25064952607"/>
    <n v="38238382883"/>
    <n v="24042311240"/>
    <n v="25187184647"/>
    <n v="331593262116"/>
    <n v="-11475262116"/>
    <n v="103.58"/>
    <n v="-3.58"/>
  </r>
  <r>
    <x v="31"/>
    <x v="12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09882000000"/>
    <n v="209882000000"/>
    <n v="209882000000"/>
    <n v="18384545321.360001"/>
    <n v="12791965585.040001"/>
    <n v="27044172577.549999"/>
    <n v="20153872764"/>
    <n v="14584654284.389999"/>
    <n v="19262245952.009998"/>
    <n v="12132223242.889999"/>
    <n v="20103419555.040001"/>
    <n v="14496481270.469999"/>
    <n v="20740986597.619999"/>
    <n v="19572902042.68"/>
    <n v="21156107989.43"/>
    <n v="220423577182.48001"/>
    <n v="-10541577182.48"/>
    <n v="105.02"/>
    <n v="-5.0199999999999996"/>
  </r>
  <r>
    <x v="32"/>
    <x v="12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5173000000"/>
    <n v="35173000000"/>
    <n v="35173000000"/>
    <n v="3594779927.21"/>
    <n v="2169824699.96"/>
    <n v="2791533394.1799998"/>
    <n v="2525527688.1100001"/>
    <n v="2849248069.98"/>
    <n v="2921901884.1599998"/>
    <n v="2091594550.7"/>
    <n v="1856126203.3499999"/>
    <n v="2750989477.5300002"/>
    <n v="2762773518.4699998"/>
    <n v="2264223761"/>
    <n v="3116415159"/>
    <n v="31694938333.650002"/>
    <n v="3478061666.3499999"/>
    <n v="90.11"/>
    <n v="9.89"/>
  </r>
  <r>
    <x v="33"/>
    <x v="12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327000000"/>
    <n v="11327000000"/>
    <n v="11327000000"/>
    <n v="912095558.38999999"/>
    <n v="936569012.72000003"/>
    <n v="1013742379.62"/>
    <n v="927515462.33000004"/>
    <n v="883719036.09000003"/>
    <n v="762395915.87"/>
    <n v="904227763.82000005"/>
    <n v="827196143.07000005"/>
    <n v="821805819.23000002"/>
    <n v="1299008061.9000001"/>
    <n v="1362148950.8199999"/>
    <n v="1503680810.5599999"/>
    <n v="12154104914.42"/>
    <n v="-827104914.41999996"/>
    <n v="107.3"/>
    <n v="-7.3"/>
  </r>
  <r>
    <x v="34"/>
    <x v="12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38698000000"/>
    <n v="38698000000"/>
    <n v="38698000000"/>
    <n v="3711177857.1700001"/>
    <n v="3271345427.8200002"/>
    <n v="3023053175.96"/>
    <n v="3511477520.1199999"/>
    <n v="3466006440.3200002"/>
    <n v="3039346784.5500002"/>
    <n v="2983211032.1300001"/>
    <n v="2669243032"/>
    <n v="3098514723.8899999"/>
    <n v="3049620435.8699999"/>
    <n v="2851598630"/>
    <n v="3245732506.4099998"/>
    <n v="37920327566.239998"/>
    <n v="777672433.75999999"/>
    <n v="97.99"/>
    <n v="2.0099999999999998"/>
  </r>
  <r>
    <x v="35"/>
    <x v="12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3993000000"/>
    <n v="3993000000"/>
    <n v="3993000000"/>
    <n v="284134351.05000001"/>
    <n v="249405027.69999999"/>
    <n v="288063093.74000001"/>
    <n v="398389529.80000001"/>
    <n v="277687601.30000001"/>
    <n v="304405243.44"/>
    <n v="257816322.69"/>
    <n v="291523418.79000002"/>
    <n v="212896493.99000001"/>
    <n v="287480381.05000001"/>
    <n v="248753763.08000001"/>
    <n v="225613448.12"/>
    <n v="3326168674.75"/>
    <n v="666831325.25"/>
    <n v="83.3"/>
    <n v="16.7"/>
  </r>
  <r>
    <x v="190"/>
    <x v="12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2405000000"/>
    <n v="2405000000"/>
    <n v="2405000000"/>
    <n v="265165421.25999999"/>
    <n v="-56446535.57"/>
    <n v="201664203.53999999"/>
    <n v="550656916.61000001"/>
    <n v="218386958.94999999"/>
    <n v="275931896.19999999"/>
    <n v="241744866.56"/>
    <n v="243877573.74000001"/>
    <n v="303935281.32999998"/>
    <n v="259087310.47"/>
    <n v="263516932.63"/>
    <n v="252847701.15000001"/>
    <n v="3020368526.8699999"/>
    <n v="-615368526.87"/>
    <n v="125.59"/>
    <n v="-25.59"/>
  </r>
  <r>
    <x v="144"/>
    <x v="12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330000000"/>
    <n v="330000000"/>
    <n v="330000000"/>
    <n v="18116019.41"/>
    <n v="0"/>
    <n v="39523637.960000001"/>
    <n v="22583365.690000001"/>
    <n v="21220680.359999999"/>
    <n v="21217819.550000001"/>
    <n v="18905322.170000002"/>
    <n v="19829238.050000001"/>
    <n v="0"/>
    <n v="36246756.539999999"/>
    <n v="18590118.27"/>
    <n v="0"/>
    <n v="216232958"/>
    <n v="113767042"/>
    <n v="65.53"/>
    <n v="34.47"/>
  </r>
  <r>
    <x v="230"/>
    <x v="12"/>
    <x v="297"/>
    <n v="1"/>
    <x v="0"/>
    <n v="11"/>
    <x v="0"/>
    <n v="113"/>
    <x v="2"/>
    <n v="1132"/>
    <x v="10"/>
    <n v="113201"/>
    <x v="16"/>
    <n v="11320104"/>
    <x v="94"/>
    <n v="113201045"/>
    <x v="6"/>
    <n v="1132010451"/>
    <x v="0"/>
    <n v="1"/>
    <s v="Ingresos corrientes"/>
    <n v="0"/>
    <n v="0"/>
    <n v="0"/>
    <n v="0"/>
    <n v="0"/>
    <n v="0"/>
    <n v="0"/>
    <n v="6687"/>
    <n v="0"/>
    <n v="0"/>
    <n v="0"/>
    <n v="0"/>
    <n v="0"/>
    <n v="0"/>
    <n v="-6687"/>
    <n v="0"/>
    <n v="0"/>
    <n v="0"/>
    <n v="100"/>
  </r>
  <r>
    <x v="231"/>
    <x v="12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31800000000"/>
    <n v="31800000000"/>
    <n v="31800000000"/>
    <n v="5546011004.5900002"/>
    <n v="1081750177.3399999"/>
    <n v="1472907351.9000001"/>
    <n v="1524666263.03"/>
    <n v="1628025713"/>
    <n v="1847389509.6500001"/>
    <n v="1962770270.3699999"/>
    <n v="1896680614.9200001"/>
    <n v="2744774883.5500002"/>
    <n v="2591704241.6199999"/>
    <n v="2703938952.5"/>
    <n v="2184003850.7800002"/>
    <n v="27184622833.25"/>
    <n v="4615377166.75"/>
    <n v="85.49"/>
    <n v="14.51"/>
  </r>
  <r>
    <x v="37"/>
    <x v="12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814000000"/>
    <n v="814000000"/>
    <n v="814000000"/>
    <n v="121450899.40000001"/>
    <n v="135272542.38999999"/>
    <n v="85410393.170000002"/>
    <n v="132046469.58"/>
    <n v="91608467.370000005"/>
    <n v="109660773.5"/>
    <n v="123258617.45"/>
    <n v="145317644"/>
    <n v="62211818"/>
    <n v="61311076"/>
    <n v="46988692"/>
    <n v="70263642.349999994"/>
    <n v="1184801035.21"/>
    <n v="-370801035.20999998"/>
    <n v="145.55000000000001"/>
    <n v="-45.55"/>
  </r>
  <r>
    <x v="244"/>
    <x v="12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57000000"/>
    <n v="57000000"/>
    <n v="57000000"/>
    <n v="0"/>
    <n v="0"/>
    <n v="18425250"/>
    <n v="0"/>
    <n v="0"/>
    <n v="12716700"/>
    <n v="0"/>
    <n v="0"/>
    <n v="12716700"/>
    <n v="0"/>
    <n v="0"/>
    <n v="12716700"/>
    <n v="56575350"/>
    <n v="424650"/>
    <n v="99.26"/>
    <n v="0.74"/>
  </r>
  <r>
    <x v="145"/>
    <x v="12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55000000000"/>
    <n v="155000000000"/>
    <n v="155000000000"/>
    <n v="11541367757.889999"/>
    <n v="12177652950.27"/>
    <n v="11048528016.190001"/>
    <n v="10291000284.4"/>
    <n v="11909555248.110001"/>
    <n v="11102550801.639999"/>
    <n v="12255835888.879999"/>
    <n v="11274808094.440001"/>
    <n v="11018664976.84"/>
    <n v="13412526361.07"/>
    <n v="13376816873.450001"/>
    <n v="11509568658.860001"/>
    <n v="140918875912.04001"/>
    <n v="14081124087.959999"/>
    <n v="90.92"/>
    <n v="9.08"/>
  </r>
  <r>
    <x v="40"/>
    <x v="12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7000000000"/>
    <n v="27000000000"/>
    <n v="27000000000"/>
    <n v="2095596351.6400001"/>
    <n v="1863960738.95"/>
    <n v="2076180742.0799999"/>
    <n v="1909440282.26"/>
    <n v="2085819669.2"/>
    <n v="1877773037.8499999"/>
    <n v="1970123640.4400001"/>
    <n v="1737621082.1400001"/>
    <n v="1804262017.1400001"/>
    <n v="2126866154.48"/>
    <n v="2026160259.23"/>
    <n v="1731334487.2"/>
    <n v="23305138462.610001"/>
    <n v="3694861537.3899999"/>
    <n v="86.32"/>
    <n v="13.68"/>
  </r>
  <r>
    <x v="41"/>
    <x v="12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39000000"/>
    <n v="3639000000"/>
    <n v="3639000000"/>
    <n v="296139701.39999998"/>
    <n v="212413168.46000001"/>
    <n v="210699459.66"/>
    <n v="250333959.58000001"/>
    <n v="302535013.92000002"/>
    <n v="391351762.92000002"/>
    <n v="365947310.38"/>
    <n v="243402277.05000001"/>
    <n v="329271447.45999998"/>
    <n v="363170426.41000003"/>
    <n v="291902843.5"/>
    <n v="244721549.50999999"/>
    <n v="3501888920.25"/>
    <n v="137111079.75"/>
    <n v="96.23"/>
    <n v="3.77"/>
  </r>
  <r>
    <x v="42"/>
    <x v="12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6000000"/>
    <n v="186000000"/>
    <n v="186000000"/>
    <n v="15163450.5"/>
    <n v="10773345"/>
    <n v="10959307.5"/>
    <n v="12950775"/>
    <n v="15659259"/>
    <n v="20344021.5"/>
    <n v="19324875"/>
    <n v="13168549.5"/>
    <n v="17686642.5"/>
    <n v="19448389.5"/>
    <n v="15517690.5"/>
    <n v="13162116"/>
    <n v="184158421.5"/>
    <n v="1841578.5"/>
    <n v="99.01"/>
    <n v="0.99"/>
  </r>
  <r>
    <x v="245"/>
    <x v="12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05000000"/>
    <n v="1805000000"/>
    <n v="1805000000"/>
    <n v="150111167.25"/>
    <n v="143778263"/>
    <n v="153859056.25"/>
    <n v="138872752.75"/>
    <n v="152260430.25"/>
    <n v="141749993.5"/>
    <n v="153109075.5"/>
    <n v="142149041"/>
    <n v="130673319.25"/>
    <n v="152728303.25"/>
    <n v="146742315.25"/>
    <n v="119804912"/>
    <n v="1725838629.25"/>
    <n v="79161370.75"/>
    <n v="95.61"/>
    <n v="4.3899999999999997"/>
  </r>
  <r>
    <x v="44"/>
    <x v="12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1900000000"/>
    <n v="51900000000"/>
    <n v="51900000000"/>
    <n v="6235877903.7799997"/>
    <n v="4795496047.1700001"/>
    <n v="5145986122.7700005"/>
    <n v="5304902289.71"/>
    <n v="3700238168.98"/>
    <n v="3487097550.79"/>
    <n v="4579648295.6000004"/>
    <n v="3849328380.0799999"/>
    <n v="2970411674.4000001"/>
    <n v="3252157880.2600002"/>
    <n v="3379309919.5599999"/>
    <n v="4307892098.9499998"/>
    <n v="51008346332.050003"/>
    <n v="891653667.95000005"/>
    <n v="98.28"/>
    <n v="1.72"/>
  </r>
  <r>
    <x v="246"/>
    <x v="12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311000000"/>
    <n v="2311000000"/>
    <n v="2311000000"/>
    <n v="325334224.35000002"/>
    <n v="160042358.05000001"/>
    <n v="158326912.09999999"/>
    <n v="250809081.15000001"/>
    <n v="147351566.09999999"/>
    <n v="125366141.7"/>
    <n v="198618389.69999999"/>
    <n v="144352831.90000001"/>
    <n v="139502012.05000001"/>
    <n v="149445911.15000001"/>
    <n v="151130392.24000001"/>
    <n v="356379042.35000002"/>
    <n v="2306658862.8400002"/>
    <n v="4341137.16"/>
    <n v="99.81"/>
    <n v="0.19"/>
  </r>
  <r>
    <x v="45"/>
    <x v="12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3375000000"/>
    <n v="3375000000"/>
    <n v="3375000000"/>
    <n v="64258236.399999999"/>
    <n v="361786376.97000003"/>
    <n v="971740245.65999997"/>
    <n v="316739398.82999998"/>
    <n v="279790375.63999999"/>
    <n v="282941459.58999997"/>
    <n v="264128646.87"/>
    <n v="252536347.90000001"/>
    <n v="277813219.00999999"/>
    <n v="236622629.21000001"/>
    <n v="230810145.44999999"/>
    <n v="239986329.24000001"/>
    <n v="3779153410.77"/>
    <n v="-404153410.76999998"/>
    <n v="111.97"/>
    <n v="-11.97"/>
  </r>
  <r>
    <x v="232"/>
    <x v="12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19000000"/>
    <n v="1119000000"/>
    <n v="1119000000"/>
    <n v="67945143.950000003"/>
    <n v="99384285.480000004"/>
    <n v="90044546.969999999"/>
    <n v="96601575.239999995"/>
    <n v="80135318.079999998"/>
    <n v="96039965.159999996"/>
    <n v="80598478.5"/>
    <n v="98455529.390000001"/>
    <n v="88051502.840000004"/>
    <n v="102759846.45"/>
    <n v="112100439.13"/>
    <n v="97644051.480000004"/>
    <n v="1109760682.6700001"/>
    <n v="9239317.3300000001"/>
    <n v="99.17"/>
    <n v="0.83"/>
  </r>
  <r>
    <x v="247"/>
    <x v="12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5934000000"/>
    <n v="5934000000"/>
    <n v="5934000000"/>
    <n v="445928673.39999998"/>
    <n v="632520894.92999995"/>
    <n v="565842108.75"/>
    <n v="592549572.51999998"/>
    <n v="480690169.55000001"/>
    <n v="528105130.24000001"/>
    <n v="482447583.86000001"/>
    <n v="546226156.20000005"/>
    <n v="499043065.08999997"/>
    <n v="527691984.14999998"/>
    <n v="610814362.41999996"/>
    <n v="600244266.25"/>
    <n v="6512103967.3599997"/>
    <n v="-578103967.36000001"/>
    <n v="109.74"/>
    <n v="-9.74"/>
  </r>
  <r>
    <x v="233"/>
    <x v="12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0947000000"/>
    <n v="10947000000"/>
    <n v="10947000000"/>
    <n v="491987369.82999998"/>
    <n v="1202196971.4400001"/>
    <n v="912706412.55999994"/>
    <n v="943580850.10000002"/>
    <n v="767054257.58000004"/>
    <n v="847249341.63999999"/>
    <n v="776915132.19000006"/>
    <n v="883766211.79999995"/>
    <n v="808059897.75999999"/>
    <n v="834270505.29999995"/>
    <n v="933247958.36000001"/>
    <n v="973029694.97000003"/>
    <n v="10374064603.530001"/>
    <n v="572935396.47000003"/>
    <n v="94.77"/>
    <n v="5.23"/>
  </r>
  <r>
    <x v="146"/>
    <x v="12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450000000"/>
    <n v="1450000000"/>
    <n v="1450000000"/>
    <n v="123035612.44"/>
    <n v="103741023.63"/>
    <n v="99468297.390000001"/>
    <n v="79152489.540000007"/>
    <n v="87460860.549999997"/>
    <n v="112000989.05"/>
    <n v="121052962.39"/>
    <n v="116187525.06"/>
    <n v="99860076.049999997"/>
    <n v="91935151.829999998"/>
    <n v="97672818.920000002"/>
    <n v="106003446.48999999"/>
    <n v="1237571253.3399999"/>
    <n v="212428746.66"/>
    <n v="85.35"/>
    <n v="14.65"/>
  </r>
  <r>
    <x v="47"/>
    <x v="12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6000000000"/>
    <n v="6000000000"/>
    <n v="6000000000"/>
    <n v="304922159.13999999"/>
    <n v="301319638.54000002"/>
    <n v="314400264.75999999"/>
    <n v="371058454.52999997"/>
    <n v="603535727.66999996"/>
    <n v="577178196.02999997"/>
    <n v="465243900.36000001"/>
    <n v="370289996.06999999"/>
    <n v="491233316.60000002"/>
    <n v="642454390.27999997"/>
    <n v="828098610.29999995"/>
    <n v="734683170.63"/>
    <n v="6004417824.9099998"/>
    <n v="-4417824.91"/>
    <n v="100.07"/>
    <n v="-7.0000000000000007E-2"/>
  </r>
  <r>
    <x v="147"/>
    <x v="12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31147.75"/>
    <n v="53560.3"/>
    <n v="37499"/>
    <n v="62248.25"/>
    <n v="139851.53"/>
    <n v="791686.84"/>
    <n v="676904.77"/>
    <n v="1127164.93"/>
    <n v="2741557.87"/>
    <n v="5193535.1500000004"/>
    <n v="6141135.2300000004"/>
    <n v="2074994.56"/>
    <n v="19071286.18"/>
    <n v="-18071286.18"/>
    <n v="1907.13"/>
    <n v="-1807.13"/>
  </r>
  <r>
    <x v="53"/>
    <x v="12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0688000000"/>
    <n v="20688000000"/>
    <n v="20688000000"/>
    <n v="2300867230.6500001"/>
    <n v="965535198.22000003"/>
    <n v="1447062214.8199999"/>
    <n v="981102429.85000002"/>
    <n v="1674458423.29"/>
    <n v="1579957343.3299999"/>
    <n v="1576548707.5599999"/>
    <n v="1008482404.23"/>
    <n v="1298600641.79"/>
    <n v="1783142586.0799999"/>
    <n v="1356128335.26"/>
    <n v="1636239477.1300001"/>
    <n v="17608124992.209999"/>
    <n v="3079875007.79"/>
    <n v="85.11"/>
    <n v="14.89"/>
  </r>
  <r>
    <x v="282"/>
    <x v="12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5757000000"/>
    <n v="5757000000"/>
    <n v="5757000000"/>
    <n v="545655197.86000001"/>
    <n v="465091493.04000002"/>
    <n v="506598085.87"/>
    <n v="644486743.52999997"/>
    <n v="480688194.22000003"/>
    <n v="382801782.07999998"/>
    <n v="744308416.07000005"/>
    <n v="824768940.96000004"/>
    <n v="764765782.70000005"/>
    <n v="902617485.46000004"/>
    <n v="618212026.91999996"/>
    <n v="1043619084.9"/>
    <n v="7923613233.6099997"/>
    <n v="-2166613233.6100001"/>
    <n v="137.63"/>
    <n v="-37.630000000000003"/>
  </r>
  <r>
    <x v="54"/>
    <x v="12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0033000000"/>
    <n v="30033000000"/>
    <n v="30033000000"/>
    <n v="2612639644.27"/>
    <n v="2634717473.5700002"/>
    <n v="2722259530.3699999"/>
    <n v="2821801984.77"/>
    <n v="2717551001.4299998"/>
    <n v="2714493383.9699998"/>
    <n v="2733097356.0999999"/>
    <n v="2760062796.3499999"/>
    <n v="2770289930.3600001"/>
    <n v="2834459095.2399998"/>
    <n v="2787818936.6700001"/>
    <n v="2812863517.4899998"/>
    <n v="32922054650.59"/>
    <n v="-2889054650.5900002"/>
    <n v="109.62"/>
    <n v="-9.6199999999999992"/>
  </r>
  <r>
    <x v="55"/>
    <x v="12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050000000"/>
    <n v="13050000000"/>
    <n v="13050000000"/>
    <n v="1452446455.29"/>
    <n v="1413380876.0599999"/>
    <n v="1322012953.1099999"/>
    <n v="1390150050.24"/>
    <n v="1295083354.99"/>
    <n v="1278131494.1099999"/>
    <n v="1326976585.53"/>
    <n v="1400952837.8199999"/>
    <n v="1426866912.99"/>
    <n v="1298539820.8499999"/>
    <n v="1284888914.45"/>
    <n v="1281571238.5899999"/>
    <n v="16171001494.030001"/>
    <n v="-3121001494.0300002"/>
    <n v="123.92"/>
    <n v="-23.92"/>
  </r>
  <r>
    <x v="303"/>
    <x v="12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472000000"/>
    <n v="4472000000"/>
    <n v="4472000000"/>
    <n v="272962163.10000002"/>
    <n v="270937823.69999999"/>
    <n v="270624034.79000002"/>
    <n v="261749729.16"/>
    <n v="264456104.30000001"/>
    <n v="259507789.47999999"/>
    <n v="212449637.19999999"/>
    <n v="210693748.37"/>
    <n v="207650052.06999999"/>
    <n v="209814652.21000001"/>
    <n v="204074762.19999999"/>
    <n v="202651910.16999999"/>
    <n v="2847572406.75"/>
    <n v="1624427593.25"/>
    <n v="63.68"/>
    <n v="36.32"/>
  </r>
  <r>
    <x v="191"/>
    <x v="12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3000000"/>
    <n v="3000000"/>
    <n v="3000000"/>
    <n v="162755.04999999999"/>
    <n v="198450.31"/>
    <n v="245363.85"/>
    <n v="219626.91"/>
    <n v="265729.5"/>
    <n v="211193.63"/>
    <n v="240249.63"/>
    <n v="230136.56"/>
    <n v="230169.78"/>
    <n v="236702.41"/>
    <n v="207562.2"/>
    <n v="240815.78"/>
    <n v="2688755.61"/>
    <n v="311244.39"/>
    <n v="89.63"/>
    <n v="10.37"/>
  </r>
  <r>
    <x v="283"/>
    <x v="12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4000000"/>
    <n v="44000000"/>
    <n v="44000000"/>
    <n v="3675188.18"/>
    <n v="5304912.63"/>
    <n v="3389429.86"/>
    <n v="2876476.36"/>
    <n v="3354449.01"/>
    <n v="3095811.16"/>
    <n v="5264735.32"/>
    <n v="3175183.34"/>
    <n v="3296630.8"/>
    <n v="3709225.33"/>
    <n v="4017156.42"/>
    <n v="5014095.17"/>
    <n v="46173293.579999998"/>
    <n v="-2173293.58"/>
    <n v="104.94"/>
    <n v="-4.9400000000000004"/>
  </r>
  <r>
    <x v="284"/>
    <x v="12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7500000"/>
    <n v="17500000"/>
    <n v="17500000"/>
    <n v="1565066.59"/>
    <n v="1013763"/>
    <n v="1435535.4"/>
    <n v="995310.56"/>
    <n v="1494896.01"/>
    <n v="935652.67"/>
    <n v="1173459.73"/>
    <n v="974306.47"/>
    <n v="1410562.34"/>
    <n v="1172456.08"/>
    <n v="0.01"/>
    <n v="1065911.3899999999"/>
    <n v="13236920.25"/>
    <n v="4263079.75"/>
    <n v="75.64"/>
    <n v="24.36"/>
  </r>
  <r>
    <x v="58"/>
    <x v="12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15000000"/>
    <n v="15000000"/>
    <n v="15000000"/>
    <n v="1593706"/>
    <n v="1719268.27"/>
    <n v="0"/>
    <n v="1873999.89"/>
    <n v="6893804.21"/>
    <n v="6479963.3300000001"/>
    <n v="261348.57"/>
    <n v="2333706"/>
    <n v="5013208.28"/>
    <n v="4582128"/>
    <n v="4769046.3899999997"/>
    <n v="6136046.9500000002"/>
    <n v="41656225.890000001"/>
    <n v="-26656225.890000001"/>
    <n v="277.70999999999998"/>
    <n v="-177.71"/>
  </r>
  <r>
    <x v="59"/>
    <x v="12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88000000"/>
    <n v="88000000"/>
    <n v="88000000"/>
    <n v="5214307.3499999996"/>
    <n v="4083753.89"/>
    <n v="7380897.1799999997"/>
    <n v="6107620.96"/>
    <n v="3326377.41"/>
    <n v="4686703.96"/>
    <n v="4698411.9800000004"/>
    <n v="2525386.0699999998"/>
    <n v="7381820.7999999998"/>
    <n v="3124071.93"/>
    <n v="11833619.189999999"/>
    <n v="4423854.55"/>
    <n v="64786825.270000003"/>
    <n v="23213174.73"/>
    <n v="73.62"/>
    <n v="26.38"/>
  </r>
  <r>
    <x v="193"/>
    <x v="12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76000000"/>
    <n v="176000000"/>
    <n v="176000000"/>
    <n v="0"/>
    <n v="0"/>
    <n v="48237208.340000004"/>
    <n v="0"/>
    <n v="4680072"/>
    <n v="235561.73"/>
    <n v="0"/>
    <n v="-81150.73"/>
    <n v="0"/>
    <n v="0"/>
    <n v="14925133.34"/>
    <n v="0"/>
    <n v="67996824.680000007"/>
    <n v="108003175.31999999"/>
    <n v="38.630000000000003"/>
    <n v="61.37"/>
  </r>
  <r>
    <x v="258"/>
    <x v="12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4000000"/>
    <n v="14000000"/>
    <n v="14000000"/>
    <n v="46464.5"/>
    <n v="39526.199999999997"/>
    <n v="43529.67"/>
    <n v="720574.2"/>
    <n v="8337076.8300000001"/>
    <n v="1618912.44"/>
    <n v="1406280.86"/>
    <n v="532499.62"/>
    <n v="3435281.57"/>
    <n v="3698338.59"/>
    <n v="14645251.43"/>
    <n v="7707699"/>
    <n v="42231434.909999996"/>
    <n v="-28231434.91"/>
    <n v="301.64999999999998"/>
    <n v="-201.65"/>
  </r>
  <r>
    <x v="61"/>
    <x v="12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84715"/>
    <n v="0"/>
    <n v="0"/>
    <n v="0"/>
    <n v="0"/>
    <n v="0"/>
    <n v="84715"/>
    <n v="-84715"/>
    <n v="0"/>
    <n v="100"/>
  </r>
  <r>
    <x v="248"/>
    <x v="12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27520120"/>
    <n v="27520120"/>
    <n v="27520120"/>
    <n v="27520120"/>
    <n v="0"/>
    <n v="0"/>
    <n v="0"/>
    <n v="0"/>
    <n v="0"/>
    <n v="0"/>
    <n v="0"/>
    <n v="0"/>
    <n v="0"/>
    <n v="0"/>
    <n v="0"/>
    <n v="27520120"/>
    <n v="0"/>
    <n v="100"/>
    <n v="0"/>
  </r>
  <r>
    <x v="267"/>
    <x v="12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340000000"/>
    <n v="1340000000"/>
    <n v="1340000000"/>
    <n v="157967000"/>
    <n v="110821600"/>
    <n v="100844800"/>
    <n v="168313600"/>
    <n v="101551600"/>
    <n v="112570400"/>
    <n v="101578000"/>
    <n v="213180800"/>
    <n v="113075800"/>
    <n v="121256965.5"/>
    <n v="139805097.5"/>
    <n v="135467854.83000001"/>
    <n v="1576433517.8299999"/>
    <n v="-236433517.83000001"/>
    <n v="117.64"/>
    <n v="-17.64"/>
  </r>
  <r>
    <x v="62"/>
    <x v="12"/>
    <x v="56"/>
    <n v="1"/>
    <x v="0"/>
    <n v="13"/>
    <x v="2"/>
    <n v="131"/>
    <x v="6"/>
    <n v="1313"/>
    <x v="19"/>
    <n v="131301"/>
    <x v="35"/>
    <n v="13130101"/>
    <x v="27"/>
    <n v="131301011"/>
    <x v="14"/>
    <n v="1313010110"/>
    <x v="0"/>
    <n v="1"/>
    <s v="Ingresos corrientes"/>
    <n v="0"/>
    <n v="0"/>
    <n v="0"/>
    <n v="0"/>
    <n v="0"/>
    <n v="0"/>
    <n v="0"/>
    <n v="0"/>
    <n v="500"/>
    <n v="0"/>
    <n v="0"/>
    <n v="0"/>
    <n v="0"/>
    <n v="0"/>
    <n v="0"/>
    <n v="500"/>
    <n v="-500"/>
    <n v="0"/>
    <n v="100"/>
  </r>
  <r>
    <x v="63"/>
    <x v="12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087672078"/>
    <n v="6087672078"/>
    <n v="6087672078"/>
    <n v="302363387.27999997"/>
    <n v="186342253.69"/>
    <n v="26404427.5"/>
    <n v="134880709"/>
    <n v="75732079.219999999"/>
    <n v="322433855.81999999"/>
    <n v="81228601.209999993"/>
    <n v="60087646.32"/>
    <n v="6944207.9199999999"/>
    <n v="65786429.740000002"/>
    <n v="479443127.18000001"/>
    <n v="3603995087.8600001"/>
    <n v="5345641812.7399998"/>
    <n v="742030265.25999999"/>
    <n v="87.81"/>
    <n v="12.19"/>
  </r>
  <r>
    <x v="64"/>
    <x v="12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45000000"/>
    <n v="45000000"/>
    <n v="45000000"/>
    <n v="648108"/>
    <n v="119100"/>
    <n v="1216759"/>
    <n v="449640"/>
    <n v="2640310.5"/>
    <n v="2546615"/>
    <n v="849191"/>
    <n v="1462976"/>
    <n v="1514846"/>
    <n v="2472084"/>
    <n v="2298914"/>
    <n v="2313688"/>
    <n v="18532231.5"/>
    <n v="26467768.5"/>
    <n v="41.18"/>
    <n v="58.82"/>
  </r>
  <r>
    <x v="65"/>
    <x v="12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0"/>
    <n v="21530"/>
    <n v="22310"/>
    <n v="268680"/>
    <n v="443290"/>
    <n v="466925.5"/>
    <n v="232100"/>
    <n v="391010"/>
    <n v="753730"/>
    <n v="664650"/>
    <n v="374400"/>
    <n v="638836"/>
    <n v="4277461.5"/>
    <n v="-277461.5"/>
    <n v="106.94"/>
    <n v="-6.94"/>
  </r>
  <r>
    <x v="66"/>
    <x v="12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88000000"/>
    <n v="88000000"/>
    <n v="88000000"/>
    <n v="3568581"/>
    <n v="2338648"/>
    <n v="2917342.48"/>
    <n v="4209444"/>
    <n v="11985584.85"/>
    <n v="10357868.5"/>
    <n v="5033130.5"/>
    <n v="5791424"/>
    <n v="8047520.5"/>
    <n v="11499993.75"/>
    <n v="15424364.9"/>
    <n v="10813181.199999999"/>
    <n v="91987083.680000007"/>
    <n v="-3987083.68"/>
    <n v="104.53"/>
    <n v="-4.53"/>
  </r>
  <r>
    <x v="67"/>
    <x v="12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56000000"/>
    <n v="56000000"/>
    <n v="56000000"/>
    <n v="548760"/>
    <n v="460760"/>
    <n v="1000082"/>
    <n v="1568383"/>
    <n v="5423076"/>
    <n v="4956503"/>
    <n v="3368620"/>
    <n v="6145778"/>
    <n v="8989174.5"/>
    <n v="12494918.300000001"/>
    <n v="13637523"/>
    <n v="8826542"/>
    <n v="67420119.799999997"/>
    <n v="-11420119.800000001"/>
    <n v="120.39"/>
    <n v="-20.39"/>
  </r>
  <r>
    <x v="285"/>
    <x v="12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102192655"/>
    <n v="6102192655"/>
    <n v="6102192655"/>
    <n v="0"/>
    <n v="0"/>
    <n v="1093999593.1500001"/>
    <n v="57303855.310000002"/>
    <n v="0"/>
    <n v="0"/>
    <n v="0"/>
    <n v="2187100038.9699998"/>
    <n v="0"/>
    <n v="0"/>
    <n v="1388287620.3900001"/>
    <n v="0"/>
    <n v="4726691107.8199997"/>
    <n v="1375501547.1800001"/>
    <n v="77.459999999999994"/>
    <n v="22.54"/>
  </r>
  <r>
    <x v="286"/>
    <x v="12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74119797"/>
    <n v="374119797"/>
    <n v="374119797"/>
    <n v="0"/>
    <n v="0"/>
    <n v="65045521.009999998"/>
    <n v="0"/>
    <n v="0"/>
    <n v="0"/>
    <n v="0"/>
    <n v="144710886.52000001"/>
    <n v="0"/>
    <n v="0"/>
    <n v="80614405.920000002"/>
    <n v="0"/>
    <n v="290370813.44999999"/>
    <n v="83748983.549999997"/>
    <n v="77.61"/>
    <n v="22.39"/>
  </r>
  <r>
    <x v="148"/>
    <x v="12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23000000"/>
    <n v="23000000"/>
    <n v="23000000"/>
    <n v="409000"/>
    <n v="306000"/>
    <n v="867000"/>
    <n v="255000"/>
    <n v="1737000"/>
    <n v="1378000"/>
    <n v="511000"/>
    <n v="805777"/>
    <n v="1381000"/>
    <n v="2307000"/>
    <n v="2259000"/>
    <n v="2642000"/>
    <n v="14857777"/>
    <n v="8142223"/>
    <n v="64.599999999999994"/>
    <n v="35.4"/>
  </r>
  <r>
    <x v="149"/>
    <x v="12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50000000"/>
    <n v="50000000"/>
    <n v="50000000"/>
    <n v="0"/>
    <n v="0"/>
    <n v="0"/>
    <n v="4275000"/>
    <n v="114783"/>
    <n v="10225700"/>
    <n v="740000"/>
    <n v="166500"/>
    <n v="3795000"/>
    <n v="13000"/>
    <n v="5440000"/>
    <n v="1879000"/>
    <n v="26648983"/>
    <n v="23351017"/>
    <n v="53.3"/>
    <n v="46.7"/>
  </r>
  <r>
    <x v="259"/>
    <x v="12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708000000"/>
    <n v="708000000"/>
    <n v="708000000"/>
    <n v="1293000"/>
    <n v="0"/>
    <n v="493284961.44999999"/>
    <n v="0"/>
    <n v="0"/>
    <n v="0"/>
    <n v="313125"/>
    <n v="0"/>
    <n v="0"/>
    <n v="0"/>
    <n v="6458655.9800000004"/>
    <n v="2677200"/>
    <n v="504026942.43000001"/>
    <n v="203973057.56999999"/>
    <n v="71.19"/>
    <n v="28.81"/>
  </r>
  <r>
    <x v="306"/>
    <x v="12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2000000"/>
    <n v="2000000"/>
    <n v="2000000"/>
    <n v="24070.5"/>
    <n v="2474125"/>
    <n v="1950775"/>
    <n v="2540800"/>
    <n v="2331343.63"/>
    <n v="267772.75"/>
    <n v="2133430.5"/>
    <n v="20000.080000000002"/>
    <n v="2763125.4"/>
    <n v="3188624.5"/>
    <n v="6385861.25"/>
    <n v="3969043.5"/>
    <n v="28048972.109999999"/>
    <n v="-26048972.109999999"/>
    <n v="1402.45"/>
    <n v="-1302.45"/>
  </r>
  <r>
    <x v="268"/>
    <x v="12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4032000000"/>
    <n v="24032000000"/>
    <n v="24032000000"/>
    <n v="0"/>
    <n v="0"/>
    <n v="19100590949.060001"/>
    <n v="-501505722.67000002"/>
    <n v="0"/>
    <n v="0"/>
    <n v="0"/>
    <n v="0"/>
    <n v="0"/>
    <n v="0"/>
    <n v="0"/>
    <n v="0"/>
    <n v="18599085226.389999"/>
    <n v="5432914773.6099997"/>
    <n v="77.39"/>
    <n v="22.61"/>
  </r>
  <r>
    <x v="315"/>
    <x v="12"/>
    <x v="278"/>
    <n v="1"/>
    <x v="0"/>
    <n v="13"/>
    <x v="2"/>
    <n v="132"/>
    <x v="7"/>
    <n v="1323"/>
    <x v="22"/>
    <n v="132301"/>
    <x v="39"/>
    <n v="13230106"/>
    <x v="30"/>
    <n v="132301060"/>
    <x v="0"/>
    <n v="1323010600"/>
    <x v="0"/>
    <n v="1"/>
    <s v="Ingresos corrientes"/>
    <n v="0"/>
    <n v="4566866096.6899996"/>
    <n v="4566866096.6899996"/>
    <n v="0"/>
    <n v="15456600.85"/>
    <n v="791382763.35000002"/>
    <n v="0"/>
    <n v="0"/>
    <n v="0"/>
    <n v="1215200000"/>
    <n v="2560283333.3400002"/>
    <n v="0"/>
    <n v="0"/>
    <n v="0"/>
    <n v="0"/>
    <n v="4582322697.54"/>
    <n v="-15456600.85"/>
    <n v="100.34"/>
    <n v="-0.34"/>
  </r>
  <r>
    <x v="150"/>
    <x v="12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159000000"/>
    <n v="159000000"/>
    <n v="159000000"/>
    <n v="13457550.32"/>
    <n v="10170504.17"/>
    <n v="82167555.260000005"/>
    <n v="-48546794.210000001"/>
    <n v="116075651.16"/>
    <n v="13395421.130000001"/>
    <n v="17355937.68"/>
    <n v="9828882.8200000003"/>
    <n v="12752631.359999999"/>
    <n v="4772296.49"/>
    <n v="6434100.2999999998"/>
    <n v="50230600.280000001"/>
    <n v="288094336.75999999"/>
    <n v="-129094336.76000001"/>
    <n v="181.19"/>
    <n v="-81.19"/>
  </r>
  <r>
    <x v="194"/>
    <x v="12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0"/>
    <n v="0"/>
    <n v="26456272.66"/>
    <n v="0"/>
    <n v="0"/>
    <n v="0"/>
    <n v="165163363.94999999"/>
    <n v="0"/>
    <n v="0"/>
    <n v="0"/>
    <n v="30446.17"/>
    <n v="119042649.31999999"/>
    <n v="310692732.10000002"/>
    <n v="89307267.900000006"/>
    <n v="77.67"/>
    <n v="22.33"/>
  </r>
  <r>
    <x v="151"/>
    <x v="12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95000000"/>
    <n v="5495000000"/>
    <n v="5495000000"/>
    <n v="678312190"/>
    <n v="1905138306"/>
    <n v="1158275275"/>
    <n v="341163085"/>
    <n v="349843082"/>
    <n v="426186523"/>
    <n v="737891890"/>
    <n v="336592091"/>
    <n v="66872315"/>
    <n v="396742564"/>
    <n v="501752017"/>
    <n v="735408096"/>
    <n v="7634177434"/>
    <n v="-2139177434"/>
    <n v="138.93"/>
    <n v="-38.93"/>
  </r>
  <r>
    <x v="152"/>
    <x v="12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795000000"/>
    <n v="795000000"/>
    <n v="795000000"/>
    <n v="132020000.95999999"/>
    <n v="182589978.09"/>
    <n v="177569122.97"/>
    <n v="177714814.66999999"/>
    <n v="151770313.88999999"/>
    <n v="132946176.54000001"/>
    <n v="147861798.28999999"/>
    <n v="237550075.06999999"/>
    <n v="260630927.55000001"/>
    <n v="123891449.38"/>
    <n v="132285737.27"/>
    <n v="103748138.58"/>
    <n v="1960578533.26"/>
    <n v="-1165578533.26"/>
    <n v="246.61"/>
    <n v="-146.61000000000001"/>
  </r>
  <r>
    <x v="74"/>
    <x v="12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4275000000"/>
    <n v="4275000000"/>
    <n v="4275000000"/>
    <n v="6498560384.5200005"/>
    <n v="10732278"/>
    <n v="2028091248"/>
    <n v="258047246"/>
    <n v="573765804"/>
    <n v="505367726.02999997"/>
    <n v="410546751"/>
    <n v="499416747"/>
    <n v="563603983"/>
    <n v="575525751"/>
    <n v="389195275"/>
    <n v="306131646"/>
    <n v="12618984839.549999"/>
    <n v="-8343984839.5500002"/>
    <n v="295.18"/>
    <n v="-195.18"/>
  </r>
  <r>
    <x v="153"/>
    <x v="12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75000000"/>
    <n v="175000000"/>
    <n v="175000000"/>
    <n v="301757.87"/>
    <n v="2721000"/>
    <n v="2203937.5"/>
    <n v="3562634.78"/>
    <n v="8824206.0600000005"/>
    <n v="3690218.1"/>
    <n v="1964869.94"/>
    <n v="238266.77"/>
    <n v="50879444.07"/>
    <n v="23028855.25"/>
    <n v="4700000"/>
    <n v="-790000"/>
    <n v="101325190.34"/>
    <n v="73674809.659999996"/>
    <n v="57.9"/>
    <n v="42.1"/>
  </r>
  <r>
    <x v="154"/>
    <x v="12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144600600"/>
    <n v="83468000"/>
    <n v="2163600"/>
    <n v="107920000"/>
    <n v="0"/>
    <n v="0"/>
    <n v="0"/>
    <n v="0"/>
    <n v="0"/>
    <n v="0"/>
    <n v="0"/>
    <n v="0"/>
    <n v="338152200"/>
    <n v="-338152200"/>
    <n v="0"/>
    <n v="100"/>
  </r>
  <r>
    <x v="155"/>
    <x v="12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57000000"/>
    <n v="157000000"/>
    <n v="157000000"/>
    <n v="2602500"/>
    <n v="5063000"/>
    <n v="9822500"/>
    <n v="12754000"/>
    <n v="52624343.130000003"/>
    <n v="24003203.75"/>
    <n v="7738500"/>
    <n v="39460000"/>
    <n v="29088002.329999998"/>
    <n v="29672500"/>
    <n v="35198000"/>
    <n v="7099000"/>
    <n v="255125549.21000001"/>
    <n v="-98125549.209999993"/>
    <n v="162.5"/>
    <n v="-62.5"/>
  </r>
  <r>
    <x v="156"/>
    <x v="12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79000000"/>
    <n v="79000000"/>
    <n v="79000000"/>
    <n v="407408.73"/>
    <n v="29247489.27"/>
    <n v="9850563.2100000009"/>
    <n v="60289508.810000002"/>
    <n v="30004759.73"/>
    <n v="7337725.3499999996"/>
    <n v="34936391.990000002"/>
    <n v="23179598.41"/>
    <n v="3338210.69"/>
    <n v="9014702.0600000005"/>
    <n v="8258244.3399999999"/>
    <n v="25141851.350000001"/>
    <n v="241006453.94"/>
    <n v="-162006453.94"/>
    <n v="305.07"/>
    <n v="-205.07"/>
  </r>
  <r>
    <x v="207"/>
    <x v="12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200000000"/>
    <n v="200000000"/>
    <n v="200000000"/>
    <n v="0"/>
    <n v="0"/>
    <n v="0"/>
    <n v="0"/>
    <n v="0"/>
    <n v="0"/>
    <n v="0"/>
    <n v="115195855.95999999"/>
    <n v="0"/>
    <n v="0"/>
    <n v="0"/>
    <n v="0"/>
    <n v="115195855.95999999"/>
    <n v="84804144.040000007"/>
    <n v="57.6"/>
    <n v="42.4"/>
  </r>
  <r>
    <x v="288"/>
    <x v="12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2000000"/>
    <n v="32000000"/>
    <n v="32000000"/>
    <n v="0"/>
    <n v="0"/>
    <n v="3886800"/>
    <n v="0"/>
    <n v="0"/>
    <n v="0"/>
    <n v="0"/>
    <n v="0"/>
    <n v="0"/>
    <n v="0"/>
    <n v="9526500"/>
    <n v="0"/>
    <n v="13413300"/>
    <n v="18586700"/>
    <n v="41.92"/>
    <n v="58.08"/>
  </r>
  <r>
    <x v="307"/>
    <x v="12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30000000"/>
    <n v="30000000"/>
    <n v="30000000"/>
    <n v="0"/>
    <n v="0"/>
    <n v="0"/>
    <n v="0"/>
    <n v="0"/>
    <n v="0"/>
    <n v="0"/>
    <n v="0"/>
    <n v="0"/>
    <n v="0"/>
    <n v="0"/>
    <n v="0"/>
    <n v="0"/>
    <n v="30000000"/>
    <n v="0"/>
    <n v="100"/>
  </r>
  <r>
    <x v="195"/>
    <x v="12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157000000"/>
    <n v="157000000"/>
    <n v="157000000"/>
    <n v="0"/>
    <n v="54851400"/>
    <n v="16694429.939999999"/>
    <n v="1867989.1"/>
    <n v="200"/>
    <n v="0"/>
    <n v="917757"/>
    <n v="1138724.3"/>
    <n v="85554375.120000005"/>
    <n v="65862187.100000001"/>
    <n v="64151"/>
    <n v="31252505.539999999"/>
    <n v="258203719.09999999"/>
    <n v="-101203719.09999999"/>
    <n v="164.46"/>
    <n v="-64.459999999999994"/>
  </r>
  <r>
    <x v="80"/>
    <x v="12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62000000"/>
    <n v="62000000"/>
    <n v="62000000"/>
    <n v="224720"/>
    <n v="0"/>
    <n v="0"/>
    <n v="0"/>
    <n v="1493"/>
    <n v="12817935.58"/>
    <n v="92868"/>
    <n v="10660064.789999999"/>
    <n v="2302461.11"/>
    <n v="24747617.149999999"/>
    <n v="24421399.870000001"/>
    <n v="4890676.2699999996"/>
    <n v="80159235.769999996"/>
    <n v="-18159235.77"/>
    <n v="129.29"/>
    <n v="-29.29"/>
  </r>
  <r>
    <x v="260"/>
    <x v="12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502000000"/>
    <n v="502000000"/>
    <n v="502000000"/>
    <n v="5969783.1399999997"/>
    <n v="-27444257.75"/>
    <n v="-2092729.66"/>
    <n v="43461743.100000001"/>
    <n v="35441806.560000002"/>
    <n v="39373075.880000003"/>
    <n v="39753202.07"/>
    <n v="40106725.240000002"/>
    <n v="37149421.789999999"/>
    <n v="36567029.520000003"/>
    <n v="48331106.340000004"/>
    <n v="63423892.460000001"/>
    <n v="360040798.69"/>
    <n v="141959201.31"/>
    <n v="71.72"/>
    <n v="28.28"/>
  </r>
  <r>
    <x v="157"/>
    <x v="12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350000000"/>
    <n v="5350000000"/>
    <n v="5350000000"/>
    <n v="235174767.09999999"/>
    <n v="116124213.06999999"/>
    <n v="1515752167.49"/>
    <n v="104087490.64"/>
    <n v="569471718.82000005"/>
    <n v="4282324666.5500002"/>
    <n v="179462861.72999999"/>
    <n v="234494915.31999999"/>
    <n v="184686752.06999999"/>
    <n v="176572969.81"/>
    <n v="238894719.19999999"/>
    <n v="272285432.20999998"/>
    <n v="8109332674.0100002"/>
    <n v="-2759332674.0100002"/>
    <n v="151.58000000000001"/>
    <n v="-51.58"/>
  </r>
  <r>
    <x v="158"/>
    <x v="12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017000000"/>
    <n v="4017000000"/>
    <n v="4017000000"/>
    <n v="832599842.87"/>
    <n v="1045979010.5700001"/>
    <n v="956215988.83000004"/>
    <n v="832598973.67999995"/>
    <n v="2118296137.9100001"/>
    <n v="-148019827.68000001"/>
    <n v="-256830083.34"/>
    <n v="468966896.50999999"/>
    <n v="841816887.38"/>
    <n v="2077524884.8599999"/>
    <n v="1273060504.6199999"/>
    <n v="1310736637.55"/>
    <n v="11352945853.76"/>
    <n v="-7335945853.7600002"/>
    <n v="282.62"/>
    <n v="-182.62"/>
  </r>
  <r>
    <x v="334"/>
    <x v="12"/>
    <x v="298"/>
    <n v="1"/>
    <x v="0"/>
    <n v="14"/>
    <x v="3"/>
    <n v="141"/>
    <x v="10"/>
    <n v="1411"/>
    <x v="46"/>
    <n v="141102"/>
    <x v="115"/>
    <n v="14110200"/>
    <x v="119"/>
    <n v="141102000"/>
    <x v="0"/>
    <n v="1411020000"/>
    <x v="0"/>
    <n v="1"/>
    <s v="Ingresos corrientes"/>
    <n v="0"/>
    <n v="218803632.18000001"/>
    <n v="218803632.18000001"/>
    <n v="0"/>
    <n v="0"/>
    <n v="0"/>
    <n v="0"/>
    <n v="0"/>
    <n v="0"/>
    <n v="0"/>
    <n v="0"/>
    <n v="0"/>
    <n v="0"/>
    <n v="0"/>
    <n v="218803632.18000001"/>
    <n v="218803632.18000001"/>
    <n v="0"/>
    <n v="100"/>
    <n v="0"/>
  </r>
  <r>
    <x v="159"/>
    <x v="12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2731041084"/>
    <n v="34540160548.379997"/>
    <n v="34540160548.379997"/>
    <n v="0"/>
    <n v="0"/>
    <n v="642510949"/>
    <n v="0"/>
    <n v="11907576997.129999"/>
    <n v="0"/>
    <n v="0"/>
    <n v="20180953137.669998"/>
    <n v="0"/>
    <n v="0"/>
    <n v="0"/>
    <n v="0"/>
    <n v="32731041083.799999"/>
    <n v="1809119464.5799999"/>
    <n v="94.76"/>
    <n v="5.24"/>
  </r>
  <r>
    <x v="160"/>
    <x v="12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2453308774"/>
    <n v="13533636472.23"/>
    <n v="13533636472.23"/>
    <n v="0"/>
    <n v="0"/>
    <n v="0"/>
    <n v="0"/>
    <n v="1884670000"/>
    <n v="1091265000"/>
    <n v="1235712500"/>
    <n v="1261362500"/>
    <n v="1178237500"/>
    <n v="991990000"/>
    <n v="899513500"/>
    <n v="851342500"/>
    <n v="9394093500"/>
    <n v="4139542972.23"/>
    <n v="69.41"/>
    <n v="30.59"/>
  </r>
  <r>
    <x v="208"/>
    <x v="12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0344636375"/>
    <n v="80839184985"/>
    <n v="80839184985"/>
    <n v="0"/>
    <n v="6695386364.5799999"/>
    <n v="6695386364.5799999"/>
    <n v="0"/>
    <n v="13390772729.34"/>
    <n v="6695386364.4200001"/>
    <n v="6695386364.0799999"/>
    <n v="6695386365.0799999"/>
    <n v="0"/>
    <n v="6695386364.5"/>
    <n v="13390772405.17"/>
    <n v="6695300000"/>
    <n v="73649163321.75"/>
    <n v="7190021663.25"/>
    <n v="91.11"/>
    <n v="8.89"/>
  </r>
  <r>
    <x v="209"/>
    <x v="12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960529344.0600004"/>
    <n v="0"/>
    <n v="9777745484.9400005"/>
    <n v="0"/>
    <n v="0"/>
    <n v="0"/>
    <n v="0"/>
    <n v="0"/>
    <n v="0"/>
    <n v="0"/>
    <n v="17738274829"/>
    <n v="0"/>
    <n v="100"/>
    <n v="0"/>
  </r>
  <r>
    <x v="210"/>
    <x v="12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05035000"/>
    <n v="4448426228.8900003"/>
    <n v="0"/>
    <n v="8794219364.1700001"/>
    <n v="0"/>
    <n v="0"/>
    <n v="14239065200.15"/>
    <n v="4311514351.9799995"/>
    <n v="0"/>
    <n v="8752350000"/>
    <n v="5149389854.8100004"/>
    <n v="50000000000"/>
    <n v="0"/>
    <n v="100"/>
    <n v="0"/>
  </r>
  <r>
    <x v="211"/>
    <x v="12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0000"/>
    <n v="0"/>
    <n v="0"/>
    <n v="1474828340"/>
    <n v="675795520"/>
    <n v="681396550"/>
    <n v="675011925"/>
    <n v="676217973"/>
    <n v="0"/>
    <n v="1199685292"/>
    <n v="598103520"/>
    <n v="6579139120"/>
    <n v="598103120"/>
    <n v="91.67"/>
    <n v="8.33"/>
  </r>
  <r>
    <x v="212"/>
    <x v="12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2878881966"/>
    <n v="2384333356"/>
    <n v="2384333356"/>
    <n v="0"/>
    <n v="0"/>
    <n v="170814380"/>
    <n v="0"/>
    <n v="228302016"/>
    <n v="230700386"/>
    <n v="116276202"/>
    <n v="94588548"/>
    <n v="128014549"/>
    <n v="116041357"/>
    <n v="187871467"/>
    <n v="390759338"/>
    <n v="1663368243"/>
    <n v="720965113"/>
    <n v="69.760000000000005"/>
    <n v="30.24"/>
  </r>
  <r>
    <x v="92"/>
    <x v="12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602083858"/>
    <n v="3602083858"/>
    <n v="3602083858"/>
    <n v="233446278.16"/>
    <n v="233490473.31"/>
    <n v="233470210.62"/>
    <n v="232918848.61000001"/>
    <n v="232052414.88999999"/>
    <n v="229134513.34999999"/>
    <n v="229037083.81999999"/>
    <n v="229475038.19999999"/>
    <n v="235846015.16999999"/>
    <n v="224573323.56"/>
    <n v="226700100.00999999"/>
    <n v="658644083.14999998"/>
    <n v="3198788382.8499999"/>
    <n v="403295475.14999998"/>
    <n v="88.8"/>
    <n v="11.2"/>
  </r>
  <r>
    <x v="269"/>
    <x v="12"/>
    <x v="236"/>
    <n v="1"/>
    <x v="0"/>
    <n v="14"/>
    <x v="3"/>
    <n v="141"/>
    <x v="10"/>
    <n v="1412"/>
    <x v="27"/>
    <n v="141205"/>
    <x v="83"/>
    <n v="14120500"/>
    <x v="0"/>
    <n v="141205000"/>
    <x v="0"/>
    <n v="1412050000"/>
    <x v="0"/>
    <n v="1"/>
    <s v="Ingresos corrientes"/>
    <n v="680000000"/>
    <n v="680000000"/>
    <n v="680000000"/>
    <n v="0"/>
    <n v="0"/>
    <n v="0"/>
    <n v="0"/>
    <n v="0"/>
    <n v="0"/>
    <n v="728114998.16999996"/>
    <n v="0"/>
    <n v="0"/>
    <n v="0"/>
    <n v="0"/>
    <n v="0"/>
    <n v="728114998.16999996"/>
    <n v="-48114998.170000002"/>
    <n v="107.08"/>
    <n v="-7.08"/>
  </r>
  <r>
    <x v="270"/>
    <x v="12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529794593"/>
    <n v="529794593"/>
    <n v="529794593"/>
    <n v="0"/>
    <n v="0"/>
    <n v="102521359.28"/>
    <n v="0"/>
    <n v="46757123.600000001"/>
    <n v="97071463.299999997"/>
    <n v="43126229.109999999"/>
    <n v="0"/>
    <n v="0"/>
    <n v="0"/>
    <n v="138017195.84999999"/>
    <n v="0"/>
    <n v="427493371.13999999"/>
    <n v="102301221.86"/>
    <n v="80.69"/>
    <n v="19.309999999999999"/>
  </r>
  <r>
    <x v="335"/>
    <x v="12"/>
    <x v="299"/>
    <n v="1"/>
    <x v="0"/>
    <n v="14"/>
    <x v="3"/>
    <n v="141"/>
    <x v="10"/>
    <n v="1412"/>
    <x v="27"/>
    <n v="141213"/>
    <x v="116"/>
    <n v="14121300"/>
    <x v="0"/>
    <n v="141213000"/>
    <x v="0"/>
    <n v="1412130000"/>
    <x v="0"/>
    <n v="1"/>
    <s v="Ingresos corrientes"/>
    <n v="0"/>
    <n v="240044532"/>
    <n v="240044532"/>
    <n v="0"/>
    <n v="0"/>
    <n v="0"/>
    <n v="0"/>
    <n v="0"/>
    <n v="0"/>
    <n v="0"/>
    <n v="0"/>
    <n v="0"/>
    <n v="240044532"/>
    <n v="0"/>
    <n v="0"/>
    <n v="240044532"/>
    <n v="0"/>
    <n v="100"/>
    <n v="0"/>
  </r>
  <r>
    <x v="336"/>
    <x v="12"/>
    <x v="300"/>
    <n v="1"/>
    <x v="0"/>
    <n v="14"/>
    <x v="3"/>
    <n v="141"/>
    <x v="10"/>
    <n v="1412"/>
    <x v="27"/>
    <n v="141214"/>
    <x v="117"/>
    <n v="14121400"/>
    <x v="0"/>
    <n v="141214000"/>
    <x v="0"/>
    <n v="1412140000"/>
    <x v="0"/>
    <n v="1"/>
    <s v="Ingresos corrientes"/>
    <n v="0"/>
    <n v="5596507098.8800001"/>
    <n v="5596507098.8800001"/>
    <n v="0"/>
    <n v="0"/>
    <n v="0"/>
    <n v="0"/>
    <n v="0"/>
    <n v="0"/>
    <n v="0"/>
    <n v="0"/>
    <n v="0"/>
    <n v="0"/>
    <n v="0"/>
    <n v="5596507098.8800001"/>
    <n v="5596507098.8800001"/>
    <n v="0"/>
    <n v="100"/>
    <n v="0"/>
  </r>
  <r>
    <x v="94"/>
    <x v="12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4200000"/>
    <n v="4200000"/>
    <n v="4200000"/>
    <n v="0"/>
    <n v="0"/>
    <n v="4200000"/>
    <n v="0"/>
    <n v="0"/>
    <n v="0"/>
    <n v="0"/>
    <n v="0"/>
    <n v="0"/>
    <n v="0"/>
    <n v="0"/>
    <n v="0"/>
    <n v="4200000"/>
    <n v="0"/>
    <n v="100"/>
    <n v="0"/>
  </r>
  <r>
    <x v="164"/>
    <x v="12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309000"/>
    <n v="309000"/>
    <n v="309000"/>
    <n v="0"/>
    <n v="0"/>
    <n v="0"/>
    <n v="0"/>
    <n v="309000"/>
    <n v="0"/>
    <n v="0"/>
    <n v="0"/>
    <n v="0"/>
    <n v="0"/>
    <n v="0"/>
    <n v="0"/>
    <n v="309000"/>
    <n v="0"/>
    <n v="100"/>
    <n v="0"/>
  </r>
  <r>
    <x v="95"/>
    <x v="12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29100000"/>
    <n v="29100000"/>
    <n v="29100000"/>
    <n v="0"/>
    <n v="0"/>
    <n v="29100000"/>
    <n v="0"/>
    <n v="0"/>
    <n v="0"/>
    <n v="0"/>
    <n v="0"/>
    <n v="0"/>
    <n v="0"/>
    <n v="0"/>
    <n v="0"/>
    <n v="29100000"/>
    <n v="0"/>
    <n v="100"/>
    <n v="0"/>
  </r>
  <r>
    <x v="96"/>
    <x v="12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5100000"/>
    <n v="5100000"/>
    <n v="5100000"/>
    <n v="0"/>
    <n v="0"/>
    <n v="0"/>
    <n v="0"/>
    <n v="0"/>
    <n v="0"/>
    <n v="5100000"/>
    <n v="-5100000"/>
    <n v="0"/>
    <n v="0"/>
    <n v="0"/>
    <n v="5100000"/>
    <n v="5100000"/>
    <n v="0"/>
    <n v="100"/>
    <n v="0"/>
  </r>
  <r>
    <x v="97"/>
    <x v="12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42400000"/>
    <n v="42400000"/>
    <n v="42400000"/>
    <n v="0"/>
    <n v="0"/>
    <n v="42400000"/>
    <n v="0"/>
    <n v="0"/>
    <n v="0"/>
    <n v="0"/>
    <n v="0"/>
    <n v="0"/>
    <n v="0"/>
    <n v="0"/>
    <n v="0"/>
    <n v="42400000"/>
    <n v="0"/>
    <n v="100"/>
    <n v="0"/>
  </r>
  <r>
    <x v="165"/>
    <x v="12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38300000"/>
    <n v="38300000"/>
    <n v="38300000"/>
    <n v="0"/>
    <n v="0"/>
    <n v="0"/>
    <n v="0"/>
    <n v="38300000"/>
    <n v="0"/>
    <n v="0"/>
    <n v="0"/>
    <n v="0"/>
    <n v="0"/>
    <n v="0"/>
    <n v="0"/>
    <n v="38300000"/>
    <n v="0"/>
    <n v="100"/>
    <n v="0"/>
  </r>
  <r>
    <x v="197"/>
    <x v="12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86500000"/>
    <n v="86500000"/>
    <n v="86500000"/>
    <n v="0"/>
    <n v="0"/>
    <n v="80000000"/>
    <n v="0"/>
    <n v="0"/>
    <n v="6500000"/>
    <n v="0"/>
    <n v="0"/>
    <n v="0"/>
    <n v="0"/>
    <n v="0"/>
    <n v="0"/>
    <n v="86500000"/>
    <n v="0"/>
    <n v="100"/>
    <n v="0"/>
  </r>
  <r>
    <x v="166"/>
    <x v="12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6700000"/>
    <n v="6700000"/>
    <n v="6700000"/>
    <n v="0"/>
    <n v="0"/>
    <n v="6700000"/>
    <n v="0"/>
    <n v="0"/>
    <n v="0"/>
    <n v="0"/>
    <n v="0"/>
    <n v="0"/>
    <n v="0"/>
    <n v="0"/>
    <n v="0"/>
    <n v="6700000"/>
    <n v="0"/>
    <n v="100"/>
    <n v="0"/>
  </r>
  <r>
    <x v="99"/>
    <x v="12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37900000"/>
    <n v="37900000"/>
    <n v="37900000"/>
    <n v="0"/>
    <n v="0"/>
    <n v="37900000"/>
    <n v="0"/>
    <n v="0"/>
    <n v="0"/>
    <n v="0"/>
    <n v="0"/>
    <n v="0"/>
    <n v="0"/>
    <n v="0"/>
    <n v="0"/>
    <n v="37900000"/>
    <n v="0"/>
    <n v="100"/>
    <n v="0"/>
  </r>
  <r>
    <x v="100"/>
    <x v="12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5300000"/>
    <n v="5300000"/>
    <n v="5300000"/>
    <n v="0"/>
    <n v="0"/>
    <n v="0"/>
    <n v="0"/>
    <n v="0"/>
    <n v="0"/>
    <n v="0"/>
    <n v="0"/>
    <n v="0"/>
    <n v="0"/>
    <n v="0"/>
    <n v="0"/>
    <n v="0"/>
    <n v="5300000"/>
    <n v="0"/>
    <n v="100"/>
  </r>
  <r>
    <x v="101"/>
    <x v="12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125500000"/>
    <n v="125500000"/>
    <n v="125500000"/>
    <n v="0"/>
    <n v="0"/>
    <n v="125500000"/>
    <n v="0"/>
    <n v="0"/>
    <n v="0"/>
    <n v="0"/>
    <n v="6071863488.3999996"/>
    <n v="0"/>
    <n v="0"/>
    <n v="-6071863488.3999996"/>
    <n v="0"/>
    <n v="125500000"/>
    <n v="0"/>
    <n v="100"/>
    <n v="0"/>
  </r>
  <r>
    <x v="102"/>
    <x v="12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24800000"/>
    <n v="24800000"/>
    <n v="24800000"/>
    <n v="0"/>
    <n v="0"/>
    <n v="6200000"/>
    <n v="0"/>
    <n v="0"/>
    <n v="6200000"/>
    <n v="0"/>
    <n v="0"/>
    <n v="6200000"/>
    <n v="0"/>
    <n v="0"/>
    <n v="6200000"/>
    <n v="24800000"/>
    <n v="0"/>
    <n v="100"/>
    <n v="0"/>
  </r>
  <r>
    <x v="105"/>
    <x v="12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6071863488"/>
    <n v="6071863488"/>
    <n v="6071863488"/>
    <n v="0"/>
    <n v="0"/>
    <n v="0"/>
    <n v="3035931744.1999998"/>
    <n v="3035931744.1999998"/>
    <n v="0"/>
    <n v="0"/>
    <n v="-6071863488.3999996"/>
    <n v="0"/>
    <n v="0"/>
    <n v="6071863488.3999996"/>
    <n v="0"/>
    <n v="6071863488.3999996"/>
    <n v="-0.4"/>
    <n v="100"/>
    <n v="0"/>
  </r>
  <r>
    <x v="167"/>
    <x v="12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396651225"/>
    <n v="396651225"/>
    <n v="396651225"/>
    <n v="0"/>
    <n v="33054268.75"/>
    <n v="66108537.5"/>
    <n v="0"/>
    <n v="66108537.5"/>
    <n v="33054268.75"/>
    <n v="33054268.75"/>
    <n v="0"/>
    <n v="66108537.5"/>
    <n v="33054268.75"/>
    <n v="0"/>
    <n v="66108537.5"/>
    <n v="396651225"/>
    <n v="0"/>
    <n v="100"/>
    <n v="0"/>
  </r>
  <r>
    <x v="249"/>
    <x v="12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59380822"/>
    <n v="459380822"/>
    <n v="459380822"/>
    <n v="0"/>
    <n v="0"/>
    <n v="0"/>
    <n v="0"/>
    <n v="423370321.5"/>
    <n v="0"/>
    <n v="0"/>
    <n v="5100000"/>
    <n v="0"/>
    <n v="0"/>
    <n v="36010500.5"/>
    <n v="-5100000"/>
    <n v="459380822"/>
    <n v="0"/>
    <n v="100"/>
    <n v="0"/>
  </r>
  <r>
    <x v="290"/>
    <x v="12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35000000"/>
    <n v="35000000"/>
    <n v="35000000"/>
    <n v="0"/>
    <n v="0"/>
    <n v="0"/>
    <n v="0"/>
    <n v="0"/>
    <n v="0"/>
    <n v="0"/>
    <n v="0"/>
    <n v="43491134.75"/>
    <n v="0"/>
    <n v="0"/>
    <n v="0"/>
    <n v="43491134.75"/>
    <n v="-8491134.75"/>
    <n v="124.26"/>
    <n v="-24.26"/>
  </r>
  <r>
    <x v="337"/>
    <x v="12"/>
    <x v="301"/>
    <n v="1"/>
    <x v="0"/>
    <n v="14"/>
    <x v="3"/>
    <n v="141"/>
    <x v="10"/>
    <n v="1413"/>
    <x v="28"/>
    <n v="141310"/>
    <x v="118"/>
    <n v="14131000"/>
    <x v="0"/>
    <n v="141310000"/>
    <x v="0"/>
    <n v="1413100000"/>
    <x v="0"/>
    <n v="1"/>
    <s v="Ingresos corrientes"/>
    <n v="0"/>
    <n v="909910264.30999994"/>
    <n v="909910264.30999994"/>
    <n v="0"/>
    <n v="0"/>
    <n v="0"/>
    <n v="0"/>
    <n v="0"/>
    <n v="0"/>
    <n v="0"/>
    <n v="0"/>
    <n v="0"/>
    <n v="0"/>
    <n v="0"/>
    <n v="909910264.30999994"/>
    <n v="909910264.30999994"/>
    <n v="0"/>
    <n v="100"/>
    <n v="0"/>
  </r>
  <r>
    <x v="106"/>
    <x v="12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25000000"/>
    <n v="1125000000"/>
    <n v="1125000000"/>
    <n v="20778268.850000001"/>
    <n v="40915456.219999999"/>
    <n v="9033124.4499999993"/>
    <n v="200340748.03"/>
    <n v="138036865.78"/>
    <n v="106801292.09999999"/>
    <n v="126580870.8"/>
    <n v="78885373.319999993"/>
    <n v="84614362.950000003"/>
    <n v="150595127.28999999"/>
    <n v="98505053.090000004"/>
    <n v="93936284.959999993"/>
    <n v="1149022827.8399999"/>
    <n v="-24022827.84"/>
    <n v="102.14"/>
    <n v="-2.14"/>
  </r>
  <r>
    <x v="338"/>
    <x v="12"/>
    <x v="302"/>
    <n v="1"/>
    <x v="0"/>
    <n v="14"/>
    <x v="3"/>
    <n v="141"/>
    <x v="10"/>
    <n v="1414"/>
    <x v="29"/>
    <n v="141403"/>
    <x v="119"/>
    <n v="14140300"/>
    <x v="0"/>
    <n v="141403000"/>
    <x v="0"/>
    <n v="1414030000"/>
    <x v="0"/>
    <n v="1"/>
    <s v="Ingresos corrientes"/>
    <n v="0"/>
    <n v="1751201.33"/>
    <n v="1751201.33"/>
    <n v="0"/>
    <n v="0"/>
    <n v="0"/>
    <n v="0"/>
    <n v="0"/>
    <n v="0"/>
    <n v="0"/>
    <n v="0"/>
    <n v="0"/>
    <n v="0"/>
    <n v="0"/>
    <n v="1751201.33"/>
    <n v="1751201.33"/>
    <n v="0"/>
    <n v="100"/>
    <n v="0"/>
  </r>
  <r>
    <x v="107"/>
    <x v="12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115200000"/>
    <n v="115200000"/>
    <n v="115200000"/>
    <n v="0"/>
    <n v="115200000"/>
    <n v="0"/>
    <n v="0"/>
    <n v="0"/>
    <n v="0"/>
    <n v="0"/>
    <n v="0"/>
    <n v="0"/>
    <n v="0"/>
    <n v="0"/>
    <n v="0"/>
    <n v="115200000"/>
    <n v="0"/>
    <n v="100"/>
    <n v="0"/>
  </r>
  <r>
    <x v="108"/>
    <x v="12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226100000"/>
    <n v="226100000"/>
    <n v="226100000"/>
    <n v="0"/>
    <n v="0"/>
    <n v="0"/>
    <n v="0"/>
    <n v="0"/>
    <n v="0"/>
    <n v="0"/>
    <n v="0"/>
    <n v="0"/>
    <n v="0"/>
    <n v="0"/>
    <n v="226100000"/>
    <n v="226100000"/>
    <n v="0"/>
    <n v="100"/>
    <n v="0"/>
  </r>
  <r>
    <x v="109"/>
    <x v="12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22300000"/>
    <n v="22300000"/>
    <n v="22300000"/>
    <n v="0"/>
    <n v="0"/>
    <n v="0"/>
    <n v="0"/>
    <n v="0"/>
    <n v="0"/>
    <n v="0"/>
    <n v="0"/>
    <n v="0"/>
    <n v="0"/>
    <n v="0"/>
    <n v="22300000"/>
    <n v="22300000"/>
    <n v="0"/>
    <n v="100"/>
    <n v="0"/>
  </r>
  <r>
    <x v="110"/>
    <x v="12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25900000"/>
    <n v="25900000"/>
    <n v="25900000"/>
    <n v="0"/>
    <n v="0"/>
    <n v="0"/>
    <n v="0"/>
    <n v="0"/>
    <n v="0"/>
    <n v="0"/>
    <n v="0"/>
    <n v="0"/>
    <n v="0"/>
    <n v="0"/>
    <n v="25900000"/>
    <n v="25900000"/>
    <n v="0"/>
    <n v="100"/>
    <n v="0"/>
  </r>
  <r>
    <x v="111"/>
    <x v="12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18100000"/>
    <n v="18100000"/>
    <n v="18100000"/>
    <n v="0"/>
    <n v="0"/>
    <n v="0"/>
    <n v="0"/>
    <n v="0"/>
    <n v="0"/>
    <n v="0"/>
    <n v="0"/>
    <n v="0"/>
    <n v="0"/>
    <n v="0"/>
    <n v="0"/>
    <n v="0"/>
    <n v="18100000"/>
    <n v="0"/>
    <n v="100"/>
  </r>
  <r>
    <x v="218"/>
    <x v="12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9500000"/>
    <n v="9500000"/>
    <n v="9500000"/>
    <n v="0"/>
    <n v="0"/>
    <n v="0"/>
    <n v="0"/>
    <n v="0"/>
    <n v="0"/>
    <n v="0"/>
    <n v="0"/>
    <n v="0"/>
    <n v="0"/>
    <n v="0"/>
    <n v="0"/>
    <n v="0"/>
    <n v="9500000"/>
    <n v="0"/>
    <n v="100"/>
  </r>
  <r>
    <x v="168"/>
    <x v="12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607500000"/>
    <n v="607500000"/>
    <n v="607500000"/>
    <n v="811200000"/>
    <n v="0"/>
    <n v="0"/>
    <n v="0"/>
    <n v="0"/>
    <n v="0"/>
    <n v="0"/>
    <n v="0"/>
    <n v="0"/>
    <n v="0"/>
    <n v="0"/>
    <n v="0"/>
    <n v="811200000"/>
    <n v="-203700000"/>
    <n v="133.53"/>
    <n v="-33.53"/>
  </r>
  <r>
    <x v="170"/>
    <x v="12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765900000"/>
    <n v="765900000"/>
    <n v="765900000"/>
    <n v="0"/>
    <n v="0"/>
    <n v="0"/>
    <n v="0"/>
    <n v="0"/>
    <n v="0"/>
    <n v="0"/>
    <n v="0"/>
    <n v="0"/>
    <n v="0"/>
    <n v="0"/>
    <n v="765900000"/>
    <n v="765900000"/>
    <n v="0"/>
    <n v="100"/>
    <n v="0"/>
  </r>
  <r>
    <x v="171"/>
    <x v="12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14800000"/>
    <n v="14800000"/>
    <n v="14800000"/>
    <n v="0"/>
    <n v="14800000"/>
    <n v="0"/>
    <n v="0"/>
    <n v="0"/>
    <n v="0"/>
    <n v="0"/>
    <n v="0"/>
    <n v="0"/>
    <n v="0"/>
    <n v="0"/>
    <n v="0"/>
    <n v="14800000"/>
    <n v="0"/>
    <n v="100"/>
    <n v="0"/>
  </r>
  <r>
    <x v="198"/>
    <x v="12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15900000"/>
    <n v="15900000"/>
    <n v="15900000"/>
    <n v="0"/>
    <n v="0"/>
    <n v="15900000"/>
    <n v="0"/>
    <n v="0"/>
    <n v="0"/>
    <n v="0"/>
    <n v="0"/>
    <n v="0"/>
    <n v="0"/>
    <n v="0"/>
    <n v="0"/>
    <n v="15900000"/>
    <n v="0"/>
    <n v="100"/>
    <n v="0"/>
  </r>
  <r>
    <x v="339"/>
    <x v="12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0"/>
    <n v="1235800000"/>
    <n v="1235800000"/>
    <n v="0"/>
    <n v="0"/>
    <n v="0"/>
    <n v="0"/>
    <n v="0"/>
    <n v="0"/>
    <n v="0"/>
    <n v="344944260.38999999"/>
    <n v="180480581.65000001"/>
    <n v="201342295.16"/>
    <n v="236680991.44999999"/>
    <n v="236967511.46000001"/>
    <n v="1200415640.1099999"/>
    <n v="35384359.890000001"/>
    <n v="97.14"/>
    <n v="2.86"/>
  </r>
  <r>
    <x v="340"/>
    <x v="12"/>
    <x v="304"/>
    <n v="1"/>
    <x v="0"/>
    <n v="14"/>
    <x v="3"/>
    <n v="142"/>
    <x v="11"/>
    <n v="1425"/>
    <x v="32"/>
    <n v="142500"/>
    <x v="121"/>
    <n v="14250000"/>
    <x v="0"/>
    <n v="142500000"/>
    <x v="0"/>
    <n v="1425000000"/>
    <x v="0"/>
    <n v="1"/>
    <s v="Ingresos corrientes"/>
    <n v="0"/>
    <n v="127935583.14"/>
    <n v="127935583.14"/>
    <n v="0"/>
    <n v="0"/>
    <n v="0"/>
    <n v="0"/>
    <n v="0"/>
    <n v="0"/>
    <n v="0"/>
    <n v="0"/>
    <n v="0"/>
    <n v="0"/>
    <n v="0"/>
    <n v="127935583.14"/>
    <n v="127935583.14"/>
    <n v="0"/>
    <n v="100"/>
    <n v="0"/>
  </r>
  <r>
    <x v="341"/>
    <x v="12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0"/>
    <n v="434200000"/>
    <n v="434200000"/>
    <n v="0"/>
    <n v="0"/>
    <n v="0"/>
    <n v="0"/>
    <n v="0"/>
    <n v="0"/>
    <n v="0"/>
    <n v="0"/>
    <n v="87727574.099999994"/>
    <n v="67969552.739999995"/>
    <n v="56178382.310000002"/>
    <n v="48016423.189999998"/>
    <n v="259891932.34"/>
    <n v="174308067.66"/>
    <n v="59.86"/>
    <n v="40.14"/>
  </r>
  <r>
    <x v="292"/>
    <x v="12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n v="0"/>
    <n v="24429200"/>
    <n v="24429200"/>
    <n v="0"/>
    <n v="0"/>
    <n v="0"/>
    <n v="0"/>
    <n v="0"/>
    <n v="0"/>
    <n v="0"/>
    <n v="0"/>
    <n v="24429200"/>
    <n v="0"/>
    <n v="0"/>
    <n v="0"/>
    <n v="24429200"/>
    <n v="0"/>
    <n v="100"/>
    <n v="0"/>
  </r>
  <r>
    <x v="309"/>
    <x v="12"/>
    <x v="272"/>
    <n v="1"/>
    <x v="0"/>
    <n v="14"/>
    <x v="3"/>
    <n v="143"/>
    <x v="18"/>
    <n v="1432"/>
    <x v="40"/>
    <n v="143205"/>
    <x v="104"/>
    <n v="14320500"/>
    <x v="0"/>
    <n v="143205000"/>
    <x v="0"/>
    <n v="1432050000"/>
    <x v="0"/>
    <n v="1"/>
    <s v="Ingresos corrientes"/>
    <n v="0"/>
    <n v="131062918.3"/>
    <n v="131062918.3"/>
    <n v="0"/>
    <n v="0"/>
    <n v="0"/>
    <n v="0"/>
    <n v="0"/>
    <n v="0"/>
    <n v="0"/>
    <n v="0"/>
    <n v="0"/>
    <n v="0"/>
    <n v="0"/>
    <n v="131062334.79000001"/>
    <n v="131062334.79000001"/>
    <n v="583.51"/>
    <n v="100"/>
    <n v="0"/>
  </r>
  <r>
    <x v="252"/>
    <x v="12"/>
    <x v="220"/>
    <n v="2"/>
    <x v="1"/>
    <n v="21"/>
    <x v="9"/>
    <n v="211"/>
    <x v="20"/>
    <n v="2111"/>
    <x v="44"/>
    <n v="211100"/>
    <x v="44"/>
    <n v="21110000"/>
    <x v="0"/>
    <n v="211100000"/>
    <x v="0"/>
    <n v="2111000000"/>
    <x v="0"/>
    <n v="2"/>
    <s v="-"/>
    <n v="0"/>
    <n v="0"/>
    <n v="0"/>
    <n v="0"/>
    <n v="0"/>
    <n v="0"/>
    <n v="323165000"/>
    <n v="0"/>
    <n v="0"/>
    <n v="0"/>
    <n v="0"/>
    <n v="0"/>
    <n v="0"/>
    <n v="0"/>
    <n v="0"/>
    <n v="323165000"/>
    <n v="-323165000"/>
    <n v="0"/>
    <n v="100"/>
  </r>
  <r>
    <x v="318"/>
    <x v="12"/>
    <x v="306"/>
    <n v="2"/>
    <x v="1"/>
    <n v="23"/>
    <x v="11"/>
    <n v="234"/>
    <x v="25"/>
    <n v="2340"/>
    <x v="35"/>
    <n v="234000"/>
    <x v="44"/>
    <n v="23400000"/>
    <x v="0"/>
    <n v="234000000"/>
    <x v="0"/>
    <n v="2340000000"/>
    <x v="0"/>
    <n v="30"/>
    <s v="-"/>
    <n v="0"/>
    <n v="100052510000"/>
    <n v="100052510000"/>
    <n v="0"/>
    <n v="0"/>
    <n v="30052510000"/>
    <n v="0"/>
    <n v="0"/>
    <n v="0"/>
    <n v="24000000000"/>
    <n v="46000000000"/>
    <n v="0"/>
    <n v="0"/>
    <n v="0"/>
    <n v="0"/>
    <n v="100052510000"/>
    <n v="0"/>
    <n v="100"/>
    <n v="0"/>
  </r>
  <r>
    <x v="174"/>
    <x v="12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2071202000514"/>
    <n v="521202000514"/>
    <n v="521202000514"/>
    <n v="1461734759.4300001"/>
    <n v="10224444517.549999"/>
    <n v="44488385202.599998"/>
    <n v="16098304561.85"/>
    <n v="23820303949.59"/>
    <n v="9244294505.4200001"/>
    <n v="11381762745.52"/>
    <n v="27231912041.580002"/>
    <n v="18564903073.779999"/>
    <n v="35261375691.440002"/>
    <n v="36715362833.849998"/>
    <n v="149308255167.84"/>
    <n v="383801039050.45001"/>
    <n v="137400961463.55"/>
    <n v="73.64"/>
    <n v="26.36"/>
  </r>
  <r>
    <x v="254"/>
    <x v="12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00000000000"/>
    <n v="100000000000"/>
    <n v="100000000000"/>
    <n v="0"/>
    <n v="0"/>
    <n v="0"/>
    <n v="0"/>
    <n v="0"/>
    <n v="0"/>
    <n v="0"/>
    <n v="0"/>
    <n v="0"/>
    <n v="0"/>
    <n v="0"/>
    <n v="0"/>
    <n v="0"/>
    <n v="100000000000"/>
    <n v="0"/>
    <n v="100"/>
  </r>
  <r>
    <x v="175"/>
    <x v="12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3682136889804"/>
    <n v="4100294701198.9502"/>
    <n v="4100294701198.9502"/>
    <n v="307265769006.40002"/>
    <n v="194587471910.03"/>
    <n v="817360755016.04004"/>
    <n v="492880285779.65997"/>
    <n v="376109815822.09003"/>
    <n v="214298356470.95999"/>
    <n v="365605406494.19"/>
    <n v="191245814026.01999"/>
    <n v="232852043474.16"/>
    <n v="204079314418.5"/>
    <n v="140805917591.23999"/>
    <n v="154952287599.22"/>
    <n v="3692043237608.5098"/>
    <n v="408251463590.44"/>
    <n v="90.04"/>
    <n v="9.9600000000000009"/>
  </r>
  <r>
    <x v="201"/>
    <x v="12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2"/>
    <x v="12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95"/>
    <x v="12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10456842286.969999"/>
    <n v="10456842286.969999"/>
    <n v="2543548690.8400002"/>
    <n v="4605515335.3699999"/>
    <n v="0"/>
    <n v="0"/>
    <n v="937373693.64999998"/>
    <n v="533107598.73000002"/>
    <n v="485662360.89999998"/>
    <n v="477420835.20999998"/>
    <n v="323420884.92000002"/>
    <n v="0"/>
    <n v="0"/>
    <n v="550792887.35000002"/>
    <n v="10456842286.969999"/>
    <n v="0"/>
    <n v="100"/>
    <n v="0"/>
  </r>
  <r>
    <x v="202"/>
    <x v="12"/>
    <x v="177"/>
    <n v="3"/>
    <x v="2"/>
    <n v="32"/>
    <x v="7"/>
    <n v="321"/>
    <x v="16"/>
    <n v="3211"/>
    <x v="37"/>
    <n v="321102"/>
    <x v="55"/>
    <n v="32110214"/>
    <x v="0"/>
    <n v="321102140"/>
    <x v="0"/>
    <n v="3211021400"/>
    <x v="0"/>
    <n v="503"/>
    <s v="Crédito BID 1556/OC-CR. Programa de Desarrollo Sostenible de la Cuenca del Río Sixa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21"/>
    <x v="12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39"/>
    <x v="12"/>
    <x v="207"/>
    <n v="3"/>
    <x v="2"/>
    <n v="32"/>
    <x v="7"/>
    <n v="321"/>
    <x v="16"/>
    <n v="3211"/>
    <x v="37"/>
    <n v="321102"/>
    <x v="55"/>
    <n v="32110216"/>
    <x v="0"/>
    <n v="321102160"/>
    <x v="0"/>
    <n v="3211021600"/>
    <x v="0"/>
    <n v="505"/>
    <s v="Crédito BID 2098/-OC-CR, Ley N° 8982 Programa Red Vial Cantonal (PIV1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0"/>
    <x v="12"/>
    <x v="208"/>
    <n v="3"/>
    <x v="2"/>
    <n v="32"/>
    <x v="7"/>
    <n v="321"/>
    <x v="16"/>
    <n v="3211"/>
    <x v="37"/>
    <n v="321102"/>
    <x v="55"/>
    <n v="32110217"/>
    <x v="0"/>
    <n v="321102170"/>
    <x v="0"/>
    <n v="3211021700"/>
    <x v="0"/>
    <n v="506"/>
    <s v="Credito BID 1824/OC-CR, Ley N° 8967 Programa de turismo en Áreas Silvestres Protegidas y su Contrato Modificato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1"/>
    <x v="12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64"/>
    <x v="12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490170426.5799999"/>
    <n v="1490170426.5799999"/>
    <n v="16569517.08"/>
    <n v="0"/>
    <n v="52972598.630000003"/>
    <n v="71606230.530000001"/>
    <n v="42121000.909999996"/>
    <n v="73735854.480000004"/>
    <n v="318204814.62"/>
    <n v="160115841.33000001"/>
    <n v="315733774.64999998"/>
    <n v="213024949.36000001"/>
    <n v="40406130.920000002"/>
    <n v="185679714.06999999"/>
    <n v="1490170426.5799999"/>
    <n v="0"/>
    <n v="100"/>
    <n v="0"/>
  </r>
  <r>
    <x v="278"/>
    <x v="12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73676400000"/>
    <n v="73676400000"/>
    <n v="73676400000"/>
    <n v="0"/>
    <n v="0"/>
    <n v="0"/>
    <n v="0"/>
    <n v="0"/>
    <n v="0"/>
    <n v="0"/>
    <n v="0"/>
    <n v="0"/>
    <n v="0"/>
    <n v="0"/>
    <n v="73676400000"/>
    <n v="0"/>
    <n v="100"/>
    <n v="0"/>
  </r>
  <r>
    <x v="279"/>
    <x v="12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20"/>
    <x v="12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373587719.55000001"/>
    <n v="373587719.55000001"/>
    <n v="0"/>
    <n v="0"/>
    <n v="0"/>
    <n v="24512220"/>
    <n v="44293425"/>
    <n v="22300400"/>
    <n v="32170242"/>
    <n v="50260237.25"/>
    <n v="31338838.370000001"/>
    <n v="47020995.229999997"/>
    <n v="35589790.130000003"/>
    <n v="86101571.569999993"/>
    <n v="373587719.55000001"/>
    <n v="0"/>
    <n v="100"/>
    <n v="0"/>
  </r>
  <r>
    <x v="321"/>
    <x v="12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11679121200"/>
    <n v="11679121200"/>
    <n v="0"/>
    <n v="0"/>
    <n v="0"/>
    <n v="0"/>
    <n v="0"/>
    <n v="0"/>
    <n v="0"/>
    <n v="0"/>
    <n v="0"/>
    <n v="11656240800"/>
    <n v="0"/>
    <n v="22880400"/>
    <n v="11679121200"/>
    <n v="0"/>
    <n v="100"/>
    <n v="0"/>
  </r>
  <r>
    <x v="322"/>
    <x v="12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2075352511.24"/>
    <n v="2075352511.24"/>
    <n v="0"/>
    <n v="0"/>
    <n v="0"/>
    <n v="0"/>
    <n v="7181400"/>
    <n v="7112160"/>
    <n v="17300775"/>
    <n v="331795545"/>
    <n v="107864173.95999999"/>
    <n v="27586700"/>
    <n v="629953760.96000004"/>
    <n v="946557996.32000005"/>
    <n v="2075352511.24"/>
    <n v="0"/>
    <n v="100"/>
    <n v="0"/>
  </r>
  <r>
    <x v="343"/>
    <x v="12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146796790307"/>
    <n v="146796790307"/>
    <n v="0"/>
    <n v="0"/>
    <n v="0"/>
    <n v="0"/>
    <n v="0"/>
    <n v="0"/>
    <n v="0"/>
    <n v="0"/>
    <n v="0"/>
    <n v="0"/>
    <n v="95901098780.610001"/>
    <n v="50895691526.389999"/>
    <n v="146796790307"/>
    <n v="0"/>
    <n v="100"/>
    <n v="0"/>
  </r>
  <r>
    <x v="300"/>
    <x v="12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89210700000"/>
    <n v="89210700000"/>
    <n v="0"/>
    <n v="54900900000"/>
    <n v="0"/>
    <n v="0"/>
    <n v="0"/>
    <n v="0"/>
    <n v="0"/>
    <n v="34309800000"/>
    <n v="0"/>
    <n v="0"/>
    <n v="0"/>
    <n v="0"/>
    <n v="89210700000"/>
    <n v="0"/>
    <n v="100"/>
    <n v="0"/>
  </r>
  <r>
    <x v="204"/>
    <x v="12"/>
    <x v="179"/>
    <n v="3"/>
    <x v="2"/>
    <n v="32"/>
    <x v="7"/>
    <n v="321"/>
    <x v="16"/>
    <n v="3211"/>
    <x v="37"/>
    <n v="321103"/>
    <x v="56"/>
    <n v="32110305"/>
    <x v="0"/>
    <n v="321103050"/>
    <x v="0"/>
    <n v="3211030500"/>
    <x v="0"/>
    <n v="535"/>
    <s v="Crédito BIRF 7594-CR Opción de Desembolsos Diferido Ante el Riesgo de Catástrofes (CAT-DDO)"/>
    <n v="0"/>
    <n v="8377000000"/>
    <n v="8377000000"/>
    <n v="0"/>
    <n v="0"/>
    <n v="0"/>
    <n v="0"/>
    <n v="0"/>
    <n v="0"/>
    <n v="0"/>
    <n v="0"/>
    <n v="0"/>
    <n v="0"/>
    <n v="8377000000"/>
    <n v="0"/>
    <n v="8377000000"/>
    <n v="0"/>
    <n v="100"/>
    <n v="0"/>
  </r>
  <r>
    <x v="256"/>
    <x v="12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15828547055.27"/>
    <n v="15828547055.27"/>
    <n v="1841910000"/>
    <n v="1842240000"/>
    <n v="0"/>
    <n v="0"/>
    <n v="1972806000"/>
    <n v="7084400728.9700003"/>
    <n v="2199779700"/>
    <n v="179603550"/>
    <n v="0"/>
    <n v="0"/>
    <n v="537768636.29999995"/>
    <n v="170038440"/>
    <n v="15828547055.27"/>
    <n v="0"/>
    <n v="100"/>
    <n v="0"/>
  </r>
  <r>
    <x v="224"/>
    <x v="12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313173537.96"/>
    <n v="7313173537.96"/>
    <n v="0"/>
    <n v="0"/>
    <n v="1357922582.9100001"/>
    <n v="734009157.73000002"/>
    <n v="209765480.88"/>
    <n v="1790328329.72"/>
    <n v="0"/>
    <n v="449978614.27999997"/>
    <n v="779513345.15999997"/>
    <n v="561192696.54999995"/>
    <n v="543985511.49000001"/>
    <n v="886477819.24000001"/>
    <n v="7313173537.96"/>
    <n v="0"/>
    <n v="100"/>
    <n v="0"/>
  </r>
  <r>
    <x v="225"/>
    <x v="12"/>
    <x v="194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0"/>
    <s v="Crédito Corporación Andina De Fomento, Ley N° 8844 Proyecto Bajos de Chilamate - Vuelta Koop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0"/>
    <x v="12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81"/>
    <x v="12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23464267727.450001"/>
    <n v="23464267727.450001"/>
    <n v="0"/>
    <n v="0"/>
    <n v="0"/>
    <n v="1493197793.29"/>
    <n v="0"/>
    <n v="0"/>
    <n v="227037976.65000001"/>
    <n v="0"/>
    <n v="0"/>
    <n v="15389884543.139999"/>
    <n v="0"/>
    <n v="6354147414.3699999"/>
    <n v="23464267727.450001"/>
    <n v="0"/>
    <n v="100"/>
    <n v="0"/>
  </r>
  <r>
    <x v="177"/>
    <x v="12"/>
    <x v="157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3"/>
    <s v="Créditos KFW, Ley N° 7132 Programa de Agua Potable y Saneamiento Básico Rural I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44"/>
    <x v="12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2"/>
    <x v="12"/>
    <x v="210"/>
    <n v="3"/>
    <x v="2"/>
    <n v="32"/>
    <x v="7"/>
    <n v="323"/>
    <x v="19"/>
    <n v="3232"/>
    <x v="43"/>
    <n v="323201"/>
    <x v="44"/>
    <n v="32320100"/>
    <x v="0"/>
    <n v="323201000"/>
    <x v="0"/>
    <n v="3232010000"/>
    <x v="0"/>
    <n v="890"/>
    <s v="Colocación de títulos valores de deuda externa"/>
    <n v="0"/>
    <n v="861720000000"/>
    <n v="861720000000"/>
    <n v="0"/>
    <n v="0"/>
    <n v="0"/>
    <n v="0"/>
    <n v="0"/>
    <n v="0"/>
    <n v="0"/>
    <n v="0"/>
    <n v="0"/>
    <n v="0"/>
    <n v="861720000000.06995"/>
    <n v="-7.0000000000000007E-2"/>
    <n v="861720000000"/>
    <n v="0"/>
    <n v="100"/>
    <n v="0"/>
  </r>
  <r>
    <x v="296"/>
    <x v="12"/>
    <x v="26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3"/>
    <s v="Superávit Específico Donación UE"/>
    <n v="2670250986"/>
    <n v="2670250986"/>
    <n v="2670250986"/>
    <n v="0"/>
    <n v="0"/>
    <n v="0"/>
    <n v="0"/>
    <n v="0"/>
    <n v="0"/>
    <n v="0"/>
    <n v="0"/>
    <n v="0"/>
    <n v="0"/>
    <n v="0"/>
    <n v="0"/>
    <n v="0"/>
    <n v="2670250986"/>
    <n v="0"/>
    <n v="100"/>
  </r>
  <r>
    <x v="345"/>
    <x v="12"/>
    <x v="310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4"/>
    <s v="Superávit Específico de la Donación República de orea Iniciativa de Cooperación entre Corea y Améri ca Latina para la Alimentación y la Agricultura (K"/>
    <n v="0"/>
    <n v="27846377"/>
    <n v="27846377"/>
    <n v="0"/>
    <n v="0"/>
    <n v="0"/>
    <n v="0"/>
    <n v="0"/>
    <n v="0"/>
    <n v="0"/>
    <n v="0"/>
    <n v="0"/>
    <n v="0"/>
    <n v="0"/>
    <n v="27846377"/>
    <n v="27846377"/>
    <n v="0"/>
    <n v="100"/>
    <n v="0"/>
  </r>
  <r>
    <x v="346"/>
    <x v="12"/>
    <x v="311"/>
    <n v="3"/>
    <x v="2"/>
    <n v="33"/>
    <x v="8"/>
    <n v="332"/>
    <x v="22"/>
    <n v="3321"/>
    <x v="35"/>
    <n v="332101"/>
    <x v="44"/>
    <n v="33210100"/>
    <x v="0"/>
    <n v="332101000"/>
    <x v="0"/>
    <n v="3321010000"/>
    <x v="0"/>
    <n v="925"/>
    <s v="Superávit Específico préstamo CAF Bajos de Chilama te - Vuelta Kooper"/>
    <n v="0"/>
    <n v="46521375.799999997"/>
    <n v="46521375.799999997"/>
    <n v="0"/>
    <n v="0"/>
    <n v="0"/>
    <n v="0"/>
    <n v="0"/>
    <n v="0"/>
    <n v="0"/>
    <n v="0"/>
    <n v="0"/>
    <n v="0"/>
    <n v="0"/>
    <n v="0"/>
    <n v="0"/>
    <n v="46521375.799999997"/>
    <n v="0"/>
    <n v="100"/>
  </r>
  <r>
    <x v="323"/>
    <x v="12"/>
    <x v="286"/>
    <n v="3"/>
    <x v="2"/>
    <n v="33"/>
    <x v="8"/>
    <n v="332"/>
    <x v="22"/>
    <n v="3321"/>
    <x v="35"/>
    <n v="332102"/>
    <x v="44"/>
    <n v="33210200"/>
    <x v="0"/>
    <n v="332102000"/>
    <x v="0"/>
    <n v="3321020000"/>
    <x v="0"/>
    <n v="923"/>
    <s v="Superávit Específico de la donación de la Unión Europea"/>
    <n v="48636778"/>
    <n v="99605115.060000002"/>
    <n v="99605115.060000002"/>
    <n v="0"/>
    <n v="0"/>
    <n v="0"/>
    <n v="0"/>
    <n v="0"/>
    <n v="0"/>
    <n v="0"/>
    <n v="0"/>
    <n v="0"/>
    <n v="0"/>
    <n v="0"/>
    <n v="50968337.060000002"/>
    <n v="50968337.060000002"/>
    <n v="48636778"/>
    <n v="51.17"/>
    <n v="48.83"/>
  </r>
  <r>
    <x v="133"/>
    <x v="13"/>
    <x v="115"/>
    <n v="1"/>
    <x v="0"/>
    <n v="11"/>
    <x v="0"/>
    <n v="111"/>
    <x v="0"/>
    <n v="1111"/>
    <x v="0"/>
    <n v="111101"/>
    <x v="0"/>
    <n v="11110101"/>
    <x v="0"/>
    <n v="111101010"/>
    <x v="0"/>
    <n v="1111010100"/>
    <x v="0"/>
    <n v="1"/>
    <s v="Ingresos corrientes"/>
    <n v="319538100000"/>
    <n v="267000000000"/>
    <n v="267000000000"/>
    <n v="22868917395.080002"/>
    <n v="23777723025.419998"/>
    <n v="22913752446.540001"/>
    <n v="22629863041.360001"/>
    <n v="22311801178.09"/>
    <n v="22692466696.950001"/>
    <n v="23287198751.009998"/>
    <n v="24802060297.639999"/>
    <n v="22464340629.990002"/>
    <n v="22958482165.529999"/>
    <n v="22683034331.529999"/>
    <n v="92377052.859999999"/>
    <n v="253482017012"/>
    <n v="13517982988"/>
    <n v="94.94"/>
    <n v="5.0599999999999996"/>
  </r>
  <r>
    <x v="134"/>
    <x v="13"/>
    <x v="116"/>
    <n v="1"/>
    <x v="0"/>
    <n v="11"/>
    <x v="0"/>
    <n v="111"/>
    <x v="0"/>
    <n v="1111"/>
    <x v="0"/>
    <n v="111102"/>
    <x v="1"/>
    <n v="11110201"/>
    <x v="0"/>
    <n v="111102010"/>
    <x v="0"/>
    <n v="1111020100"/>
    <x v="0"/>
    <n v="1"/>
    <s v="Ingresos corrientes"/>
    <n v="233358800000"/>
    <n v="221000000000"/>
    <n v="221000000000"/>
    <n v="20773703810"/>
    <n v="19714721362.439999"/>
    <n v="20877812014"/>
    <n v="27730780971"/>
    <n v="19401747392"/>
    <n v="18276032802"/>
    <n v="17931316447.68"/>
    <n v="19233073458.389999"/>
    <n v="17953867838.68"/>
    <n v="18644109954"/>
    <n v="18483468326.380001"/>
    <n v="326416160"/>
    <n v="219347050536.57001"/>
    <n v="1652949463.4300001"/>
    <n v="99.25"/>
    <n v="0.75"/>
  </r>
  <r>
    <x v="135"/>
    <x v="13"/>
    <x v="117"/>
    <n v="1"/>
    <x v="0"/>
    <n v="11"/>
    <x v="0"/>
    <n v="111"/>
    <x v="0"/>
    <n v="1111"/>
    <x v="0"/>
    <n v="111103"/>
    <x v="2"/>
    <n v="11110301"/>
    <x v="0"/>
    <n v="111103010"/>
    <x v="0"/>
    <n v="1111030100"/>
    <x v="0"/>
    <n v="1"/>
    <s v="Ingresos corrientes"/>
    <n v="54000000000"/>
    <n v="41000000000"/>
    <n v="41000000000"/>
    <n v="3366224004.5799999"/>
    <n v="1293860264.48"/>
    <n v="6026145281.6899996"/>
    <n v="3526813341.6100001"/>
    <n v="1141901213.8499999"/>
    <n v="4325968358.4200001"/>
    <n v="1970540976.1900001"/>
    <n v="776514237.83000004"/>
    <n v="3268062071.5500002"/>
    <n v="4562854762.7700005"/>
    <n v="1271886512.23"/>
    <n v="408351672"/>
    <n v="31939122697.200001"/>
    <n v="9060877302.7999992"/>
    <n v="77.900000000000006"/>
    <n v="22.1"/>
  </r>
  <r>
    <x v="324"/>
    <x v="13"/>
    <x v="287"/>
    <n v="1"/>
    <x v="0"/>
    <n v="11"/>
    <x v="0"/>
    <n v="111"/>
    <x v="0"/>
    <n v="1111"/>
    <x v="0"/>
    <n v="111103"/>
    <x v="2"/>
    <n v="11110302"/>
    <x v="111"/>
    <n v="111103020"/>
    <x v="0"/>
    <n v="1111030200"/>
    <x v="0"/>
    <n v="1"/>
    <s v="Ingresos corrientes"/>
    <n v="0"/>
    <n v="10800000000"/>
    <n v="10800000000"/>
    <n v="1056927930"/>
    <n v="1080817324"/>
    <n v="1029322468"/>
    <n v="874119887"/>
    <n v="773364614"/>
    <n v="796033572"/>
    <n v="824843576"/>
    <n v="808631813"/>
    <n v="823997618"/>
    <n v="851191623"/>
    <n v="822715683"/>
    <n v="50784933"/>
    <n v="9792751041"/>
    <n v="1007248959"/>
    <n v="90.67"/>
    <n v="9.33"/>
  </r>
  <r>
    <x v="325"/>
    <x v="13"/>
    <x v="288"/>
    <n v="1"/>
    <x v="0"/>
    <n v="11"/>
    <x v="0"/>
    <n v="111"/>
    <x v="0"/>
    <n v="1111"/>
    <x v="0"/>
    <n v="111103"/>
    <x v="2"/>
    <n v="11110303"/>
    <x v="112"/>
    <n v="111103030"/>
    <x v="0"/>
    <n v="1111030300"/>
    <x v="0"/>
    <n v="1"/>
    <s v="Ingresos corrientes"/>
    <n v="103954100000"/>
    <n v="1180000000"/>
    <n v="1180000000"/>
    <n v="113506333"/>
    <n v="108564546"/>
    <n v="114038909"/>
    <n v="95373760"/>
    <n v="84726809"/>
    <n v="97144542"/>
    <n v="88400853"/>
    <n v="89477927"/>
    <n v="119543163"/>
    <n v="94116742"/>
    <n v="102276298"/>
    <n v="7972648"/>
    <n v="1115142530"/>
    <n v="64857470"/>
    <n v="94.5"/>
    <n v="5.5"/>
  </r>
  <r>
    <x v="326"/>
    <x v="13"/>
    <x v="289"/>
    <n v="1"/>
    <x v="0"/>
    <n v="11"/>
    <x v="0"/>
    <n v="111"/>
    <x v="0"/>
    <n v="1111"/>
    <x v="0"/>
    <n v="111103"/>
    <x v="2"/>
    <n v="11110304"/>
    <x v="113"/>
    <n v="111103040"/>
    <x v="0"/>
    <n v="1111030400"/>
    <x v="0"/>
    <n v="1"/>
    <s v="Ingresos corrientes"/>
    <n v="26110800000"/>
    <n v="1660000000"/>
    <n v="1660000000"/>
    <n v="214626032"/>
    <n v="92900522"/>
    <n v="137188627"/>
    <n v="155654905"/>
    <n v="118458764"/>
    <n v="97476054"/>
    <n v="99653142"/>
    <n v="71539560"/>
    <n v="120532573"/>
    <n v="211766213"/>
    <n v="142551317"/>
    <n v="7687061"/>
    <n v="1470034770"/>
    <n v="189965230"/>
    <n v="88.56"/>
    <n v="11.44"/>
  </r>
  <r>
    <x v="180"/>
    <x v="13"/>
    <x v="160"/>
    <n v="1"/>
    <x v="0"/>
    <n v="11"/>
    <x v="0"/>
    <n v="111"/>
    <x v="0"/>
    <n v="1112"/>
    <x v="1"/>
    <n v="111201"/>
    <x v="3"/>
    <n v="11120100"/>
    <x v="0"/>
    <n v="111201000"/>
    <x v="0"/>
    <n v="1112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36"/>
    <x v="13"/>
    <x v="118"/>
    <n v="1"/>
    <x v="0"/>
    <n v="11"/>
    <x v="0"/>
    <n v="111"/>
    <x v="0"/>
    <n v="1112"/>
    <x v="1"/>
    <n v="111201"/>
    <x v="3"/>
    <n v="11120101"/>
    <x v="0"/>
    <n v="111201010"/>
    <x v="0"/>
    <n v="1112010100"/>
    <x v="0"/>
    <n v="1"/>
    <s v="Ingresos corrientes"/>
    <n v="104000000000"/>
    <n v="101000000000"/>
    <n v="101000000000"/>
    <n v="9069166411.1700001"/>
    <n v="4621481647.5699997"/>
    <n v="33941565413.310001"/>
    <n v="5284690580.21"/>
    <n v="5863671788.9700003"/>
    <n v="7750436478.0699997"/>
    <n v="5850378642.3599997"/>
    <n v="5081477647.0200005"/>
    <n v="18899841047.310001"/>
    <n v="5231683973.8800001"/>
    <n v="4732950435.4099998"/>
    <n v="40690594.810000002"/>
    <n v="106368034660.09"/>
    <n v="-5368034660.0900002"/>
    <n v="105.31"/>
    <n v="-5.31"/>
  </r>
  <r>
    <x v="327"/>
    <x v="13"/>
    <x v="290"/>
    <n v="1"/>
    <x v="0"/>
    <n v="11"/>
    <x v="0"/>
    <n v="111"/>
    <x v="0"/>
    <n v="1112"/>
    <x v="1"/>
    <n v="111201"/>
    <x v="3"/>
    <n v="11120102"/>
    <x v="114"/>
    <n v="111201020"/>
    <x v="0"/>
    <n v="1112010200"/>
    <x v="0"/>
    <n v="1"/>
    <s v="Ingresos corrientes"/>
    <n v="0"/>
    <n v="131000000"/>
    <n v="131000000"/>
    <n v="2285106"/>
    <n v="5895423"/>
    <n v="4042936"/>
    <n v="4446093"/>
    <n v="4173932"/>
    <n v="1821026"/>
    <n v="2081128"/>
    <n v="2639719"/>
    <n v="26739817"/>
    <n v="5001608"/>
    <n v="5578977"/>
    <n v="0"/>
    <n v="64705765"/>
    <n v="66294235"/>
    <n v="49.39"/>
    <n v="50.61"/>
  </r>
  <r>
    <x v="328"/>
    <x v="13"/>
    <x v="291"/>
    <n v="1"/>
    <x v="0"/>
    <n v="11"/>
    <x v="0"/>
    <n v="111"/>
    <x v="0"/>
    <n v="1112"/>
    <x v="1"/>
    <n v="111201"/>
    <x v="3"/>
    <n v="11120103"/>
    <x v="115"/>
    <n v="111201030"/>
    <x v="0"/>
    <n v="1112010300"/>
    <x v="0"/>
    <n v="1"/>
    <s v="Ingresos corrientes"/>
    <n v="53714100000"/>
    <n v="86800000000"/>
    <n v="86800000000"/>
    <n v="6106197362.5200005"/>
    <n v="4441175671.7399998"/>
    <n v="9293275657.0499992"/>
    <n v="8490553731.5500002"/>
    <n v="6069794499.8000002"/>
    <n v="6371006196.1499996"/>
    <n v="6325312361.29"/>
    <n v="5728352813.04"/>
    <n v="11223809336"/>
    <n v="8020860784.5799999"/>
    <n v="1626256284.1900001"/>
    <n v="0"/>
    <n v="73696594697.910004"/>
    <n v="13103405302.09"/>
    <n v="84.9"/>
    <n v="15.1"/>
  </r>
  <r>
    <x v="347"/>
    <x v="13"/>
    <x v="312"/>
    <n v="1"/>
    <x v="0"/>
    <n v="11"/>
    <x v="0"/>
    <n v="111"/>
    <x v="0"/>
    <n v="1112"/>
    <x v="1"/>
    <n v="111201"/>
    <x v="3"/>
    <n v="11120104"/>
    <x v="0"/>
    <n v="111201040"/>
    <x v="0"/>
    <n v="1112010400"/>
    <x v="0"/>
    <n v="1"/>
    <s v="Ingresos corrientes"/>
    <n v="26110800000"/>
    <n v="0"/>
    <n v="0"/>
    <n v="0"/>
    <n v="0"/>
    <n v="0"/>
    <n v="0"/>
    <n v="0"/>
    <n v="0"/>
    <n v="0"/>
    <n v="0"/>
    <n v="0"/>
    <n v="0"/>
    <n v="45360"/>
    <n v="0"/>
    <n v="45360"/>
    <n v="-45360"/>
    <n v="0"/>
    <n v="100"/>
  </r>
  <r>
    <x v="137"/>
    <x v="13"/>
    <x v="119"/>
    <n v="1"/>
    <x v="0"/>
    <n v="11"/>
    <x v="0"/>
    <n v="111"/>
    <x v="0"/>
    <n v="1112"/>
    <x v="1"/>
    <n v="111202"/>
    <x v="4"/>
    <n v="11120200"/>
    <x v="0"/>
    <n v="111202000"/>
    <x v="0"/>
    <n v="1112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6"/>
    <x v="13"/>
    <x v="6"/>
    <n v="1"/>
    <x v="0"/>
    <n v="11"/>
    <x v="0"/>
    <n v="111"/>
    <x v="0"/>
    <n v="1112"/>
    <x v="1"/>
    <n v="111202"/>
    <x v="4"/>
    <n v="11120201"/>
    <x v="0"/>
    <n v="111202010"/>
    <x v="0"/>
    <n v="1112020100"/>
    <x v="0"/>
    <n v="1"/>
    <s v="Ingresos corrientes"/>
    <n v="747881400000"/>
    <n v="518000000000"/>
    <n v="518000000000"/>
    <n v="29746248016.610001"/>
    <n v="13611687425.450001"/>
    <n v="129809843971.34"/>
    <n v="28464160244.599998"/>
    <n v="12815525192.18"/>
    <n v="45670860974.379997"/>
    <n v="24300416877.610001"/>
    <n v="12210706489.620001"/>
    <n v="93554280822.470001"/>
    <n v="41123576425.75"/>
    <n v="12049494353.67"/>
    <n v="1951614112.3699999"/>
    <n v="445308414906.04999"/>
    <n v="72691585093.949997"/>
    <n v="85.97"/>
    <n v="14.03"/>
  </r>
  <r>
    <x v="329"/>
    <x v="13"/>
    <x v="292"/>
    <n v="1"/>
    <x v="0"/>
    <n v="11"/>
    <x v="0"/>
    <n v="111"/>
    <x v="0"/>
    <n v="1112"/>
    <x v="1"/>
    <n v="111202"/>
    <x v="4"/>
    <n v="11120202"/>
    <x v="116"/>
    <n v="111202020"/>
    <x v="0"/>
    <n v="1112020200"/>
    <x v="0"/>
    <n v="1"/>
    <s v="Ingresos corrientes"/>
    <n v="0"/>
    <n v="48950000000"/>
    <n v="48950000000"/>
    <n v="4672039222"/>
    <n v="4826093314"/>
    <n v="4685240787"/>
    <n v="4042404522"/>
    <n v="3480302604"/>
    <n v="3272729107"/>
    <n v="3446543096"/>
    <n v="3272933455"/>
    <n v="3640973569"/>
    <n v="3744047759"/>
    <n v="4036440754"/>
    <n v="189052108"/>
    <n v="43308800297"/>
    <n v="5641199703"/>
    <n v="88.48"/>
    <n v="11.52"/>
  </r>
  <r>
    <x v="330"/>
    <x v="13"/>
    <x v="293"/>
    <n v="1"/>
    <x v="0"/>
    <n v="11"/>
    <x v="0"/>
    <n v="111"/>
    <x v="0"/>
    <n v="1112"/>
    <x v="1"/>
    <n v="111202"/>
    <x v="4"/>
    <n v="11120203"/>
    <x v="117"/>
    <n v="111202030"/>
    <x v="0"/>
    <n v="1112020300"/>
    <x v="0"/>
    <n v="1"/>
    <s v="Ingresos corrientes"/>
    <n v="53714100000"/>
    <n v="83900000000"/>
    <n v="83900000000"/>
    <n v="9636967159.7999992"/>
    <n v="5861649552.8599997"/>
    <n v="4284780854.4699998"/>
    <n v="9316575255.6800003"/>
    <n v="6245939001.25"/>
    <n v="3923461177.7199998"/>
    <n v="10174941930.719999"/>
    <n v="4485327445.3100004"/>
    <n v="6583455869.0900002"/>
    <n v="7778324842.8800001"/>
    <n v="4674446567.4700003"/>
    <n v="42632445"/>
    <n v="73008502102.25"/>
    <n v="10891497897.75"/>
    <n v="87.02"/>
    <n v="12.98"/>
  </r>
  <r>
    <x v="331"/>
    <x v="13"/>
    <x v="294"/>
    <n v="1"/>
    <x v="0"/>
    <n v="11"/>
    <x v="0"/>
    <n v="111"/>
    <x v="0"/>
    <n v="1112"/>
    <x v="1"/>
    <n v="111202"/>
    <x v="4"/>
    <n v="11120204"/>
    <x v="118"/>
    <n v="111202040"/>
    <x v="0"/>
    <n v="1112020400"/>
    <x v="0"/>
    <n v="1"/>
    <s v="Ingresos corrientes"/>
    <n v="26110800000"/>
    <n v="6750000000"/>
    <n v="6750000000"/>
    <n v="650127031"/>
    <n v="656951680"/>
    <n v="576111699"/>
    <n v="551089536"/>
    <n v="523043366"/>
    <n v="1175639191"/>
    <n v="250593616"/>
    <n v="318928501"/>
    <n v="345505317"/>
    <n v="791346344"/>
    <n v="607507359"/>
    <n v="49332785"/>
    <n v="6496176425"/>
    <n v="253823575"/>
    <n v="96.24"/>
    <n v="3.76"/>
  </r>
  <r>
    <x v="332"/>
    <x v="13"/>
    <x v="295"/>
    <n v="1"/>
    <x v="0"/>
    <n v="11"/>
    <x v="0"/>
    <n v="111"/>
    <x v="0"/>
    <n v="1113"/>
    <x v="2"/>
    <n v="111301"/>
    <x v="5"/>
    <n v="11130100"/>
    <x v="0"/>
    <n v="111301000"/>
    <x v="0"/>
    <n v="111301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333"/>
    <x v="13"/>
    <x v="296"/>
    <n v="1"/>
    <x v="0"/>
    <n v="11"/>
    <x v="0"/>
    <n v="111"/>
    <x v="0"/>
    <n v="1113"/>
    <x v="2"/>
    <n v="111302"/>
    <x v="6"/>
    <n v="11130200"/>
    <x v="0"/>
    <n v="111302000"/>
    <x v="0"/>
    <n v="111302000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184"/>
    <x v="13"/>
    <x v="122"/>
    <n v="1"/>
    <x v="0"/>
    <n v="11"/>
    <x v="0"/>
    <n v="111"/>
    <x v="0"/>
    <n v="1114"/>
    <x v="3"/>
    <n v="111401"/>
    <x v="7"/>
    <n v="11140100"/>
    <x v="0"/>
    <n v="111401000"/>
    <x v="0"/>
    <n v="1114010000"/>
    <x v="0"/>
    <n v="1"/>
    <s v="Ingresos corrientes"/>
    <n v="198473800000"/>
    <n v="178000000000"/>
    <n v="178000000000"/>
    <n v="30355160206.990002"/>
    <n v="13305417263.84"/>
    <n v="13518377191.469999"/>
    <n v="10855276416.370001"/>
    <n v="11579858872.450001"/>
    <n v="14900765875.48"/>
    <n v="14387000822.24"/>
    <n v="13217573124.360001"/>
    <n v="10806937078.889999"/>
    <n v="13510641558.959999"/>
    <n v="12862380588.290001"/>
    <n v="812508545.82000005"/>
    <n v="160111897545.16"/>
    <n v="17888102454.84"/>
    <n v="89.95"/>
    <n v="10.050000000000001"/>
  </r>
  <r>
    <x v="186"/>
    <x v="13"/>
    <x v="162"/>
    <n v="1"/>
    <x v="0"/>
    <n v="11"/>
    <x v="0"/>
    <n v="112"/>
    <x v="1"/>
    <n v="1121"/>
    <x v="39"/>
    <n v="112101"/>
    <x v="61"/>
    <n v="11210100"/>
    <x v="0"/>
    <n v="112101000"/>
    <x v="0"/>
    <n v="1121010000"/>
    <x v="0"/>
    <n v="1"/>
    <s v="Ingresos corrientes"/>
    <n v="4680000000"/>
    <n v="4680000000"/>
    <n v="4680000000"/>
    <n v="3492115268"/>
    <n v="375065679.88999999"/>
    <n v="182300000"/>
    <n v="43273732"/>
    <n v="70926414"/>
    <n v="50580709"/>
    <n v="56472808"/>
    <n v="45193245"/>
    <n v="65679728"/>
    <n v="47844512"/>
    <n v="55794989"/>
    <n v="21952061"/>
    <n v="4507199145.8900003"/>
    <n v="172800854.11000001"/>
    <n v="96.31"/>
    <n v="3.69"/>
  </r>
  <r>
    <x v="141"/>
    <x v="13"/>
    <x v="123"/>
    <n v="1"/>
    <x v="0"/>
    <n v="11"/>
    <x v="0"/>
    <n v="112"/>
    <x v="1"/>
    <n v="1122"/>
    <x v="5"/>
    <n v="112201"/>
    <x v="9"/>
    <n v="11220100"/>
    <x v="0"/>
    <n v="112201000"/>
    <x v="0"/>
    <n v="1122010000"/>
    <x v="0"/>
    <n v="1"/>
    <s v="Ingresos corrientes"/>
    <n v="185000000000"/>
    <n v="169000000000"/>
    <n v="169000000000"/>
    <n v="10871591569.75"/>
    <n v="2601060182.1500001"/>
    <n v="2512689028.8600001"/>
    <n v="1466672798.45"/>
    <n v="1205429162.1500001"/>
    <n v="1115021628.6700001"/>
    <n v="934286853.61000001"/>
    <n v="796860601.67999995"/>
    <n v="703466399.23000002"/>
    <n v="535589751.14999998"/>
    <n v="11809486101.99"/>
    <n v="602449"/>
    <n v="34552756526.690002"/>
    <n v="134447243473.31"/>
    <n v="20.45"/>
    <n v="79.55"/>
  </r>
  <r>
    <x v="21"/>
    <x v="13"/>
    <x v="21"/>
    <n v="1"/>
    <x v="0"/>
    <n v="11"/>
    <x v="0"/>
    <n v="112"/>
    <x v="1"/>
    <n v="1122"/>
    <x v="5"/>
    <n v="112202"/>
    <x v="10"/>
    <n v="11220200"/>
    <x v="0"/>
    <n v="112202000"/>
    <x v="0"/>
    <n v="1122020000"/>
    <x v="0"/>
    <n v="1"/>
    <s v="Ingresos corrientes"/>
    <n v="1990000000"/>
    <n v="1990000000"/>
    <n v="1990000000"/>
    <n v="140815137.24000001"/>
    <n v="29017469"/>
    <n v="23648713"/>
    <n v="11321091"/>
    <n v="16566827"/>
    <n v="15156381"/>
    <n v="11799613"/>
    <n v="10174488"/>
    <n v="10178515"/>
    <n v="7664350"/>
    <n v="135500749"/>
    <n v="0"/>
    <n v="411843333.24000001"/>
    <n v="1578156666.76"/>
    <n v="20.7"/>
    <n v="79.3"/>
  </r>
  <r>
    <x v="22"/>
    <x v="13"/>
    <x v="22"/>
    <n v="1"/>
    <x v="0"/>
    <n v="11"/>
    <x v="0"/>
    <n v="112"/>
    <x v="1"/>
    <n v="1123"/>
    <x v="6"/>
    <n v="112301"/>
    <x v="11"/>
    <n v="11230100"/>
    <x v="0"/>
    <n v="112301000"/>
    <x v="0"/>
    <n v="1123010000"/>
    <x v="0"/>
    <n v="1"/>
    <s v="Ingresos corrientes"/>
    <n v="646000000"/>
    <n v="646000000"/>
    <n v="646000000"/>
    <n v="0"/>
    <n v="0"/>
    <n v="0"/>
    <n v="0"/>
    <n v="1091821811.3099999"/>
    <n v="59397881.049999997"/>
    <n v="53548273.329999998"/>
    <n v="31625552.640000001"/>
    <n v="43487348.149999999"/>
    <n v="42490154.049999997"/>
    <n v="31513654.449999999"/>
    <n v="0"/>
    <n v="1353884674.98"/>
    <n v="-707884674.98000002"/>
    <n v="209.58"/>
    <n v="-109.58"/>
  </r>
  <r>
    <x v="302"/>
    <x v="13"/>
    <x v="266"/>
    <n v="1"/>
    <x v="0"/>
    <n v="11"/>
    <x v="0"/>
    <n v="112"/>
    <x v="1"/>
    <n v="1123"/>
    <x v="6"/>
    <n v="112303"/>
    <x v="100"/>
    <n v="11230300"/>
    <x v="0"/>
    <n v="112303000"/>
    <x v="0"/>
    <n v="1123030000"/>
    <x v="0"/>
    <n v="1"/>
    <s v="Ingresos corrientes"/>
    <n v="27000000000"/>
    <n v="27000000000"/>
    <n v="27000000000"/>
    <n v="12173114295.879999"/>
    <n v="5729872334.0699997"/>
    <n v="2204716294.9000001"/>
    <n v="1054445344.75"/>
    <n v="783262604.40999997"/>
    <n v="758080491.00999999"/>
    <n v="546375077.97000003"/>
    <n v="524139825.44"/>
    <n v="519678214.36000001"/>
    <n v="493516452.33999997"/>
    <n v="443527686"/>
    <n v="59011724"/>
    <n v="25289740345.130001"/>
    <n v="1710259654.8699999"/>
    <n v="93.67"/>
    <n v="6.33"/>
  </r>
  <r>
    <x v="23"/>
    <x v="13"/>
    <x v="23"/>
    <n v="1"/>
    <x v="0"/>
    <n v="11"/>
    <x v="0"/>
    <n v="112"/>
    <x v="1"/>
    <n v="1124"/>
    <x v="7"/>
    <n v="112401"/>
    <x v="12"/>
    <n v="11240100"/>
    <x v="0"/>
    <n v="112401000"/>
    <x v="0"/>
    <n v="1124010000"/>
    <x v="0"/>
    <n v="1"/>
    <s v="Ingresos corrientes"/>
    <n v="35700000000"/>
    <n v="30300000000"/>
    <n v="30300000000"/>
    <n v="2747738260.5100002"/>
    <n v="3455679147"/>
    <n v="3315185430"/>
    <n v="1881447966"/>
    <n v="2141894149"/>
    <n v="2511046474"/>
    <n v="2225847310"/>
    <n v="2610007395"/>
    <n v="3088579975.27"/>
    <n v="3996070228"/>
    <n v="3222070098"/>
    <n v="308595421"/>
    <n v="31504161853.779999"/>
    <n v="-1204161853.78"/>
    <n v="103.97"/>
    <n v="-3.97"/>
  </r>
  <r>
    <x v="24"/>
    <x v="13"/>
    <x v="24"/>
    <n v="1"/>
    <x v="0"/>
    <n v="11"/>
    <x v="0"/>
    <n v="112"/>
    <x v="1"/>
    <n v="1125"/>
    <x v="8"/>
    <n v="112501"/>
    <x v="13"/>
    <n v="11250100"/>
    <x v="0"/>
    <n v="112501000"/>
    <x v="0"/>
    <n v="1125010000"/>
    <x v="0"/>
    <n v="1"/>
    <s v="Ingresos corrientes"/>
    <n v="24700000000"/>
    <n v="18300000000"/>
    <n v="18300000000"/>
    <n v="2204040352"/>
    <n v="2144164890"/>
    <n v="2142044614"/>
    <n v="1002202711"/>
    <n v="1502985283"/>
    <n v="1888599386"/>
    <n v="1665378669"/>
    <n v="1743262335"/>
    <n v="2028480370"/>
    <n v="2058288153"/>
    <n v="1981247473"/>
    <n v="210711619"/>
    <n v="20571405855"/>
    <n v="-2271405855"/>
    <n v="112.41"/>
    <n v="-12.41"/>
  </r>
  <r>
    <x v="142"/>
    <x v="13"/>
    <x v="124"/>
    <n v="1"/>
    <x v="0"/>
    <n v="11"/>
    <x v="0"/>
    <n v="113"/>
    <x v="2"/>
    <n v="1131"/>
    <x v="9"/>
    <n v="113101"/>
    <x v="14"/>
    <n v="11310101"/>
    <x v="3"/>
    <n v="113101010"/>
    <x v="1"/>
    <n v="1131010100"/>
    <x v="0"/>
    <n v="1"/>
    <s v="Ingresos corrientes"/>
    <n v="1042706400000"/>
    <n v="851550000000"/>
    <n v="851550000000"/>
    <n v="119171421938.06"/>
    <n v="100448666921.96001"/>
    <n v="95823697805.399994"/>
    <n v="47325910497.650002"/>
    <n v="49427786155.599998"/>
    <n v="56184486195.18"/>
    <n v="76376885659.259995"/>
    <n v="79360603528.830002"/>
    <n v="83424261112.210007"/>
    <n v="87059165796.139999"/>
    <n v="86161864378.639999"/>
    <n v="4490207129"/>
    <n v="885254957117.93005"/>
    <n v="-33704957117.93"/>
    <n v="103.96"/>
    <n v="-3.96"/>
  </r>
  <r>
    <x v="187"/>
    <x v="13"/>
    <x v="163"/>
    <n v="1"/>
    <x v="0"/>
    <n v="11"/>
    <x v="0"/>
    <n v="113"/>
    <x v="2"/>
    <n v="1131"/>
    <x v="9"/>
    <n v="113101"/>
    <x v="14"/>
    <n v="11310102"/>
    <x v="4"/>
    <n v="113101020"/>
    <x v="2"/>
    <n v="1131010200"/>
    <x v="0"/>
    <n v="1"/>
    <s v="Ingresos corrientes"/>
    <n v="728429900000"/>
    <n v="503550000000"/>
    <n v="503550000000"/>
    <n v="56975153002.449997"/>
    <n v="52172348910.540001"/>
    <n v="51060866137.290001"/>
    <n v="28291794073.849998"/>
    <n v="23609389656.400002"/>
    <n v="32702736569.869999"/>
    <n v="46822069587.040001"/>
    <n v="48735948500.849998"/>
    <n v="52151679743.5"/>
    <n v="59090923469.699997"/>
    <n v="62206775944.389999"/>
    <n v="6301820601.6000004"/>
    <n v="520121506197.47998"/>
    <n v="-16571506197.48"/>
    <n v="103.29"/>
    <n v="-3.29"/>
  </r>
  <r>
    <x v="188"/>
    <x v="13"/>
    <x v="164"/>
    <n v="1"/>
    <x v="0"/>
    <n v="11"/>
    <x v="0"/>
    <n v="113"/>
    <x v="2"/>
    <n v="1131"/>
    <x v="9"/>
    <n v="113102"/>
    <x v="15"/>
    <n v="11310201"/>
    <x v="5"/>
    <n v="113102010"/>
    <x v="3"/>
    <n v="1131020100"/>
    <x v="0"/>
    <n v="1"/>
    <s v="Ingresos corrientes"/>
    <n v="15030000000"/>
    <n v="5200000000"/>
    <n v="5200000000"/>
    <n v="1462256889"/>
    <n v="524508737"/>
    <n v="829445759"/>
    <n v="24645809"/>
    <n v="43529816"/>
    <n v="119090274"/>
    <n v="697126113"/>
    <n v="824345855"/>
    <n v="693077345"/>
    <n v="828847081"/>
    <n v="930714476"/>
    <n v="227390"/>
    <n v="6977815544"/>
    <n v="-1777815544"/>
    <n v="134.19"/>
    <n v="-34.19"/>
  </r>
  <r>
    <x v="189"/>
    <x v="13"/>
    <x v="165"/>
    <n v="1"/>
    <x v="0"/>
    <n v="11"/>
    <x v="0"/>
    <n v="113"/>
    <x v="2"/>
    <n v="1131"/>
    <x v="9"/>
    <n v="113102"/>
    <x v="15"/>
    <n v="11310202"/>
    <x v="6"/>
    <n v="113102020"/>
    <x v="4"/>
    <n v="1131020200"/>
    <x v="0"/>
    <n v="1"/>
    <s v="Ingresos corrientes"/>
    <n v="151970000000"/>
    <n v="102300000000"/>
    <n v="102300000000"/>
    <n v="13980338551.309999"/>
    <n v="18210609096.790001"/>
    <n v="13491202638.110001"/>
    <n v="4229455354.4699998"/>
    <n v="3414897084.6399999"/>
    <n v="5421503363.6300001"/>
    <n v="7842702534.04"/>
    <n v="8768963395.2999992"/>
    <n v="10276585004.709999"/>
    <n v="13494631832.24"/>
    <n v="12188172110.41"/>
    <n v="1151478523.3800001"/>
    <n v="112470539489.03"/>
    <n v="-10170539489.030001"/>
    <n v="109.94"/>
    <n v="-9.94"/>
  </r>
  <r>
    <x v="30"/>
    <x v="13"/>
    <x v="30"/>
    <n v="1"/>
    <x v="0"/>
    <n v="11"/>
    <x v="0"/>
    <n v="113"/>
    <x v="2"/>
    <n v="1132"/>
    <x v="10"/>
    <n v="113201"/>
    <x v="16"/>
    <n v="11320103"/>
    <x v="8"/>
    <n v="113201031"/>
    <x v="6"/>
    <n v="1132010311"/>
    <x v="0"/>
    <n v="1"/>
    <s v="Ingresos corrientes"/>
    <n v="325000000000"/>
    <n v="221000000000"/>
    <n v="221000000000"/>
    <n v="32377517334"/>
    <n v="26682388578"/>
    <n v="23808257004"/>
    <n v="32520199226"/>
    <n v="12642367663"/>
    <n v="11986234353"/>
    <n v="11023165170"/>
    <n v="25441088968"/>
    <n v="24990518824"/>
    <n v="10985418475"/>
    <n v="24849397557"/>
    <n v="0"/>
    <n v="237306553152"/>
    <n v="-16306553152"/>
    <n v="107.38"/>
    <n v="-7.38"/>
  </r>
  <r>
    <x v="31"/>
    <x v="13"/>
    <x v="31"/>
    <n v="1"/>
    <x v="0"/>
    <n v="11"/>
    <x v="0"/>
    <n v="113"/>
    <x v="2"/>
    <n v="1132"/>
    <x v="10"/>
    <n v="113201"/>
    <x v="16"/>
    <n v="11320103"/>
    <x v="8"/>
    <n v="113201031"/>
    <x v="7"/>
    <n v="1132010312"/>
    <x v="0"/>
    <n v="1"/>
    <s v="Ingresos corrientes"/>
    <n v="210000000000"/>
    <n v="191000000000"/>
    <n v="191000000000"/>
    <n v="13440014571.41"/>
    <n v="13124838527.889999"/>
    <n v="25667155097.950001"/>
    <n v="14278104678.610001"/>
    <n v="15880570391.66"/>
    <n v="8984242199.9200001"/>
    <n v="15835059756.32"/>
    <n v="15366565504.32"/>
    <n v="8395810756.5799999"/>
    <n v="15731082476.16"/>
    <n v="14537177169.059999"/>
    <n v="0"/>
    <n v="161240621129.88"/>
    <n v="29759378870.119999"/>
    <n v="84.42"/>
    <n v="15.58"/>
  </r>
  <r>
    <x v="32"/>
    <x v="13"/>
    <x v="30"/>
    <n v="1"/>
    <x v="0"/>
    <n v="11"/>
    <x v="0"/>
    <n v="113"/>
    <x v="2"/>
    <n v="1132"/>
    <x v="10"/>
    <n v="113201"/>
    <x v="16"/>
    <n v="11320104"/>
    <x v="9"/>
    <n v="113201041"/>
    <x v="6"/>
    <n v="1132010411"/>
    <x v="0"/>
    <n v="1"/>
    <s v="Ingresos corrientes"/>
    <n v="36900000000"/>
    <n v="22000000000"/>
    <n v="22000000000"/>
    <n v="5483393589.8800001"/>
    <n v="2427797819"/>
    <n v="3614711248"/>
    <n v="553270817"/>
    <n v="647701774"/>
    <n v="2482843983"/>
    <n v="2558495095"/>
    <n v="2641703611"/>
    <n v="2972371614"/>
    <n v="2751897461"/>
    <n v="2760554763"/>
    <n v="343874"/>
    <n v="28895085648.880001"/>
    <n v="-6895085648.8800001"/>
    <n v="131.34"/>
    <n v="-31.34"/>
  </r>
  <r>
    <x v="33"/>
    <x v="13"/>
    <x v="31"/>
    <n v="1"/>
    <x v="0"/>
    <n v="11"/>
    <x v="0"/>
    <n v="113"/>
    <x v="2"/>
    <n v="1132"/>
    <x v="10"/>
    <n v="113201"/>
    <x v="16"/>
    <n v="11320104"/>
    <x v="9"/>
    <n v="113201041"/>
    <x v="8"/>
    <n v="1132010412"/>
    <x v="0"/>
    <n v="1"/>
    <s v="Ingresos corrientes"/>
    <n v="11900000000"/>
    <n v="10630000000"/>
    <n v="10630000000"/>
    <n v="914897179.47000003"/>
    <n v="994008888.16999996"/>
    <n v="1002943445.24"/>
    <n v="351014358.81"/>
    <n v="537766841.23000002"/>
    <n v="851658445.37"/>
    <n v="805264080.94000006"/>
    <n v="991015360.41999996"/>
    <n v="1078954186.4000001"/>
    <n v="1392087501.3"/>
    <n v="1525736537.26"/>
    <n v="142982059"/>
    <n v="10588328883.610001"/>
    <n v="41671116.390000001"/>
    <n v="99.61"/>
    <n v="0.39"/>
  </r>
  <r>
    <x v="34"/>
    <x v="13"/>
    <x v="30"/>
    <n v="1"/>
    <x v="0"/>
    <n v="11"/>
    <x v="0"/>
    <n v="113"/>
    <x v="2"/>
    <n v="1132"/>
    <x v="10"/>
    <n v="113201"/>
    <x v="16"/>
    <n v="11320104"/>
    <x v="10"/>
    <n v="113201042"/>
    <x v="6"/>
    <n v="1132010421"/>
    <x v="0"/>
    <n v="1"/>
    <s v="Ingresos corrientes"/>
    <n v="40790000000"/>
    <n v="36780000000"/>
    <n v="36780000000"/>
    <n v="4295179516.1499996"/>
    <n v="3008971706.04"/>
    <n v="3376323235.7600002"/>
    <n v="2225539871.2800002"/>
    <n v="2862222030.04"/>
    <n v="2953658308.9899998"/>
    <n v="2876571014.48"/>
    <n v="2784643893"/>
    <n v="2890733278"/>
    <n v="2949441839"/>
    <n v="2553528707"/>
    <n v="0"/>
    <n v="32776813399.740002"/>
    <n v="4003186600.2600002"/>
    <n v="89.12"/>
    <n v="10.88"/>
  </r>
  <r>
    <x v="35"/>
    <x v="13"/>
    <x v="31"/>
    <n v="1"/>
    <x v="0"/>
    <n v="11"/>
    <x v="0"/>
    <n v="113"/>
    <x v="2"/>
    <n v="1132"/>
    <x v="10"/>
    <n v="113201"/>
    <x v="16"/>
    <n v="11320104"/>
    <x v="10"/>
    <n v="113201042"/>
    <x v="8"/>
    <n v="1132010422"/>
    <x v="0"/>
    <n v="1"/>
    <s v="Ingresos corrientes"/>
    <n v="4210000000"/>
    <n v="3090000000"/>
    <n v="3090000000"/>
    <n v="251934540.72999999"/>
    <n v="226718407.65000001"/>
    <n v="264597025.28"/>
    <n v="150509836.5"/>
    <n v="163927129.03999999"/>
    <n v="184755958.49000001"/>
    <n v="145193887.16999999"/>
    <n v="168078165.47"/>
    <n v="161553516.97"/>
    <n v="242784736.96000001"/>
    <n v="251900305.75"/>
    <n v="23515268.739999998"/>
    <n v="2235468778.75"/>
    <n v="854531221.25"/>
    <n v="72.349999999999994"/>
    <n v="27.65"/>
  </r>
  <r>
    <x v="190"/>
    <x v="13"/>
    <x v="31"/>
    <n v="1"/>
    <x v="0"/>
    <n v="11"/>
    <x v="0"/>
    <n v="113"/>
    <x v="2"/>
    <n v="1132"/>
    <x v="10"/>
    <n v="113201"/>
    <x v="16"/>
    <n v="11320104"/>
    <x v="11"/>
    <n v="113201043"/>
    <x v="8"/>
    <n v="1132010431"/>
    <x v="0"/>
    <n v="1"/>
    <s v="Ingresos corrientes"/>
    <n v="3200000000"/>
    <n v="2740000000"/>
    <n v="2740000000"/>
    <n v="234401715.93000001"/>
    <n v="218379137.78999999"/>
    <n v="311423967.82999998"/>
    <n v="213666203.50999999"/>
    <n v="182912208.58000001"/>
    <n v="396219077.72000003"/>
    <n v="304871900.36000001"/>
    <n v="235416413.37"/>
    <n v="243678426.94999999"/>
    <n v="241660420.99000001"/>
    <n v="228787532.09999999"/>
    <n v="28173488.359999999"/>
    <n v="2839590493.4899998"/>
    <n v="-99590493.489999995"/>
    <n v="103.63"/>
    <n v="-3.63"/>
  </r>
  <r>
    <x v="144"/>
    <x v="13"/>
    <x v="126"/>
    <n v="1"/>
    <x v="0"/>
    <n v="11"/>
    <x v="0"/>
    <n v="113"/>
    <x v="2"/>
    <n v="1132"/>
    <x v="10"/>
    <n v="113201"/>
    <x v="16"/>
    <n v="11320104"/>
    <x v="52"/>
    <n v="113201044"/>
    <x v="23"/>
    <n v="1132010440"/>
    <x v="0"/>
    <n v="1"/>
    <s v="Ingresos corrientes"/>
    <n v="249000000"/>
    <n v="249000000"/>
    <n v="249000000"/>
    <n v="32231805.890000001"/>
    <n v="17919040.760000002"/>
    <n v="18593423.18"/>
    <n v="19424606.870000001"/>
    <n v="15363200.92"/>
    <n v="19171640.620000001"/>
    <n v="0"/>
    <n v="0"/>
    <n v="0"/>
    <n v="0"/>
    <n v="0"/>
    <n v="0"/>
    <n v="122703718.23999999"/>
    <n v="126296281.76000001"/>
    <n v="49.28"/>
    <n v="50.72"/>
  </r>
  <r>
    <x v="231"/>
    <x v="13"/>
    <x v="200"/>
    <n v="1"/>
    <x v="0"/>
    <n v="11"/>
    <x v="0"/>
    <n v="113"/>
    <x v="2"/>
    <n v="1132"/>
    <x v="10"/>
    <n v="113201"/>
    <x v="16"/>
    <n v="11320104"/>
    <x v="94"/>
    <n v="113201045"/>
    <x v="32"/>
    <n v="1132010452"/>
    <x v="0"/>
    <n v="1"/>
    <s v="Ingresos corrientes"/>
    <n v="27200000000"/>
    <n v="20000000000"/>
    <n v="20000000000"/>
    <n v="1816685527.5899999"/>
    <n v="7559465389.2200003"/>
    <n v="1424604901.26"/>
    <n v="778768241.15999997"/>
    <n v="488024531"/>
    <n v="1702605987.54"/>
    <n v="948090158"/>
    <n v="1822217133.23"/>
    <n v="1211727274.6300001"/>
    <n v="2173061011.5799999"/>
    <n v="1096029725.6600001"/>
    <n v="279762600"/>
    <n v="21301042480.869999"/>
    <n v="-1301042480.8699999"/>
    <n v="106.51"/>
    <n v="-6.51"/>
  </r>
  <r>
    <x v="37"/>
    <x v="13"/>
    <x v="33"/>
    <n v="1"/>
    <x v="0"/>
    <n v="11"/>
    <x v="0"/>
    <n v="113"/>
    <x v="2"/>
    <n v="1132"/>
    <x v="10"/>
    <n v="113202"/>
    <x v="17"/>
    <n v="11320203"/>
    <x v="12"/>
    <n v="113202031"/>
    <x v="9"/>
    <n v="1132020310"/>
    <x v="0"/>
    <n v="1"/>
    <s v="Ingresos corrientes"/>
    <n v="1435000000"/>
    <n v="1435000000"/>
    <n v="1435000000"/>
    <n v="58396046.359999999"/>
    <n v="126388743.92"/>
    <n v="79696002"/>
    <n v="14395417"/>
    <n v="4366940"/>
    <n v="2836260"/>
    <n v="2895685"/>
    <n v="1440640"/>
    <n v="1440640"/>
    <n v="0"/>
    <n v="18607963"/>
    <n v="0"/>
    <n v="310464337.27999997"/>
    <n v="1124535662.72"/>
    <n v="21.64"/>
    <n v="78.36"/>
  </r>
  <r>
    <x v="244"/>
    <x v="13"/>
    <x v="212"/>
    <n v="1"/>
    <x v="0"/>
    <n v="11"/>
    <x v="0"/>
    <n v="113"/>
    <x v="2"/>
    <n v="1132"/>
    <x v="10"/>
    <n v="113202"/>
    <x v="17"/>
    <n v="11320203"/>
    <x v="12"/>
    <n v="113202032"/>
    <x v="36"/>
    <n v="1132020320"/>
    <x v="0"/>
    <n v="1"/>
    <s v="Ingresos corrientes"/>
    <n v="100000000"/>
    <n v="100000000"/>
    <n v="100000000"/>
    <n v="0"/>
    <n v="0"/>
    <n v="0"/>
    <n v="0"/>
    <n v="6455591"/>
    <n v="0"/>
    <n v="6434594"/>
    <n v="0"/>
    <n v="6415350"/>
    <n v="0"/>
    <n v="0"/>
    <n v="0"/>
    <n v="19305535"/>
    <n v="80694465"/>
    <n v="19.309999999999999"/>
    <n v="80.69"/>
  </r>
  <r>
    <x v="145"/>
    <x v="13"/>
    <x v="127"/>
    <n v="1"/>
    <x v="0"/>
    <n v="11"/>
    <x v="0"/>
    <n v="114"/>
    <x v="3"/>
    <n v="1141"/>
    <x v="11"/>
    <n v="114101"/>
    <x v="18"/>
    <n v="11410101"/>
    <x v="13"/>
    <n v="114101010"/>
    <x v="0"/>
    <n v="1141010100"/>
    <x v="0"/>
    <n v="1"/>
    <s v="Ingresos corrientes"/>
    <n v="147500000000"/>
    <n v="84975000000"/>
    <n v="84975000000"/>
    <n v="10661753853.59"/>
    <n v="9776867913.7700005"/>
    <n v="9467083129.5300007"/>
    <n v="5294489895.3000002"/>
    <n v="4578834567.1499996"/>
    <n v="6514713209.3000002"/>
    <n v="8949039843.3799992"/>
    <n v="9601556037.9799995"/>
    <n v="11932892294.620001"/>
    <n v="11232482986.48"/>
    <n v="12639584874.77"/>
    <n v="1407004777.04"/>
    <n v="102056303382.91"/>
    <n v="-17081303382.91"/>
    <n v="120.1"/>
    <n v="-20.100000000000001"/>
  </r>
  <r>
    <x v="40"/>
    <x v="13"/>
    <x v="35"/>
    <n v="1"/>
    <x v="0"/>
    <n v="11"/>
    <x v="0"/>
    <n v="114"/>
    <x v="3"/>
    <n v="1141"/>
    <x v="11"/>
    <n v="114102"/>
    <x v="19"/>
    <n v="11410201"/>
    <x v="14"/>
    <n v="114102010"/>
    <x v="0"/>
    <n v="1141020100"/>
    <x v="0"/>
    <n v="1"/>
    <s v="Ingresos corrientes"/>
    <n v="25000000000"/>
    <n v="13600000000"/>
    <n v="13600000000"/>
    <n v="1897646313.3399999"/>
    <n v="1708655139.5"/>
    <n v="1631351605.4200001"/>
    <n v="884344519.69000006"/>
    <n v="847580178.10000002"/>
    <n v="1074077603.5899999"/>
    <n v="1475463168.5"/>
    <n v="1414646460.8800001"/>
    <n v="1608075243.73"/>
    <n v="1861523354.3599999"/>
    <n v="1989089350.1400001"/>
    <n v="187750906.38999999"/>
    <n v="16580203843.639999"/>
    <n v="-2980203843.6399999"/>
    <n v="121.91"/>
    <n v="-21.91"/>
  </r>
  <r>
    <x v="41"/>
    <x v="13"/>
    <x v="36"/>
    <n v="1"/>
    <x v="0"/>
    <n v="11"/>
    <x v="0"/>
    <n v="114"/>
    <x v="3"/>
    <n v="1142"/>
    <x v="12"/>
    <n v="114201"/>
    <x v="20"/>
    <n v="11420101"/>
    <x v="15"/>
    <n v="114201010"/>
    <x v="0"/>
    <n v="1142010100"/>
    <x v="0"/>
    <n v="1"/>
    <s v="Ingresos corrientes"/>
    <n v="3665000000"/>
    <n v="3665000000"/>
    <n v="3665000000"/>
    <n v="287469240.25999999"/>
    <n v="303524769.61000001"/>
    <n v="270859333.47000003"/>
    <n v="353069778.99000001"/>
    <n v="339949778.87"/>
    <n v="320251859.54000002"/>
    <n v="293203622.94999999"/>
    <n v="286458720"/>
    <n v="302825656.04000002"/>
    <n v="342181836.32999998"/>
    <n v="326947760.23000002"/>
    <n v="26576566.460000001"/>
    <n v="3453318922.75"/>
    <n v="211681077.25"/>
    <n v="94.22"/>
    <n v="5.78"/>
  </r>
  <r>
    <x v="42"/>
    <x v="13"/>
    <x v="37"/>
    <n v="1"/>
    <x v="0"/>
    <n v="11"/>
    <x v="0"/>
    <n v="114"/>
    <x v="3"/>
    <n v="1142"/>
    <x v="12"/>
    <n v="114209"/>
    <x v="21"/>
    <n v="11420901"/>
    <x v="16"/>
    <n v="114209010"/>
    <x v="0"/>
    <n v="1142090100"/>
    <x v="0"/>
    <n v="1"/>
    <s v="Ingresos corrientes"/>
    <n v="180000000"/>
    <n v="180000000"/>
    <n v="180000000"/>
    <n v="15490566"/>
    <n v="16391851.5"/>
    <n v="14759839.5"/>
    <n v="18949857"/>
    <n v="18094789.5"/>
    <n v="17278951.5"/>
    <n v="15682720.5"/>
    <n v="15034698"/>
    <n v="15869185.5"/>
    <n v="17690514"/>
    <n v="16403235"/>
    <n v="1351231.5"/>
    <n v="182997439.5"/>
    <n v="-2997439.5"/>
    <n v="101.67"/>
    <n v="-1.67"/>
  </r>
  <r>
    <x v="245"/>
    <x v="13"/>
    <x v="213"/>
    <n v="1"/>
    <x v="0"/>
    <n v="11"/>
    <x v="0"/>
    <n v="114"/>
    <x v="3"/>
    <n v="1142"/>
    <x v="12"/>
    <n v="114209"/>
    <x v="21"/>
    <n v="11420902"/>
    <x v="96"/>
    <n v="114209020"/>
    <x v="0"/>
    <n v="1142090200"/>
    <x v="0"/>
    <n v="1"/>
    <s v="Ingresos corrientes"/>
    <n v="1860000000"/>
    <n v="1860000000"/>
    <n v="1860000000"/>
    <n v="138715232"/>
    <n v="139908215.75"/>
    <n v="150486347"/>
    <n v="122349835.75"/>
    <n v="53563208.75"/>
    <n v="91040184.5"/>
    <n v="113948355.25"/>
    <n v="123542010.75"/>
    <n v="130287691.25"/>
    <n v="140909521"/>
    <n v="146023760.25"/>
    <n v="14462832.5"/>
    <n v="1365237194.75"/>
    <n v="494762805.25"/>
    <n v="73.400000000000006"/>
    <n v="26.6"/>
  </r>
  <r>
    <x v="44"/>
    <x v="13"/>
    <x v="39"/>
    <n v="1"/>
    <x v="0"/>
    <n v="11"/>
    <x v="0"/>
    <n v="114"/>
    <x v="3"/>
    <n v="1143"/>
    <x v="13"/>
    <n v="114303"/>
    <x v="23"/>
    <n v="11430301"/>
    <x v="17"/>
    <n v="114303010"/>
    <x v="0"/>
    <n v="1143030100"/>
    <x v="0"/>
    <n v="1"/>
    <s v="Ingresos corrientes"/>
    <n v="55000000000"/>
    <n v="18460000000"/>
    <n v="18460000000"/>
    <n v="6179093873.5500002"/>
    <n v="4690193568.0500002"/>
    <n v="3920298485.1500001"/>
    <n v="43266515.859999999"/>
    <n v="39877338.990000002"/>
    <n v="51111545.799999997"/>
    <n v="80604932.519999996"/>
    <n v="89858942.200000003"/>
    <n v="148255744"/>
    <n v="234695311.40000001"/>
    <n v="607632622.65999997"/>
    <n v="200371163.66999999"/>
    <n v="16285260043.85"/>
    <n v="2174739956.1500001"/>
    <n v="88.22"/>
    <n v="11.78"/>
  </r>
  <r>
    <x v="246"/>
    <x v="13"/>
    <x v="214"/>
    <n v="1"/>
    <x v="0"/>
    <n v="11"/>
    <x v="0"/>
    <n v="114"/>
    <x v="3"/>
    <n v="1143"/>
    <x v="13"/>
    <n v="114303"/>
    <x v="23"/>
    <n v="11430302"/>
    <x v="97"/>
    <n v="114303020"/>
    <x v="0"/>
    <n v="1143030200"/>
    <x v="0"/>
    <n v="1"/>
    <s v="Ingresos corrientes"/>
    <n v="2420000000"/>
    <n v="830000000"/>
    <n v="830000000"/>
    <n v="278658011.94999999"/>
    <n v="159629690.84999999"/>
    <n v="100433074.2"/>
    <n v="13633746.9"/>
    <n v="5138845.51"/>
    <n v="4595410.46"/>
    <n v="5554225.8499999996"/>
    <n v="4889948.8499999996"/>
    <n v="5825628.9500000002"/>
    <n v="2517974.65"/>
    <n v="10129645.550000001"/>
    <n v="2765915.7"/>
    <n v="593772119.41999996"/>
    <n v="236227880.58000001"/>
    <n v="71.540000000000006"/>
    <n v="28.46"/>
  </r>
  <r>
    <x v="45"/>
    <x v="13"/>
    <x v="40"/>
    <n v="1"/>
    <x v="0"/>
    <n v="11"/>
    <x v="0"/>
    <n v="114"/>
    <x v="3"/>
    <n v="1143"/>
    <x v="13"/>
    <n v="114304"/>
    <x v="24"/>
    <n v="11430401"/>
    <x v="18"/>
    <n v="114304010"/>
    <x v="0"/>
    <n v="1143040100"/>
    <x v="0"/>
    <n v="1"/>
    <s v="Ingresos corrientes"/>
    <n v="4120000000"/>
    <n v="2300000000"/>
    <n v="2300000000"/>
    <n v="599799937.02999997"/>
    <n v="81397943.340000004"/>
    <n v="405426397.08999997"/>
    <n v="179939649.78999999"/>
    <n v="134833686.77000001"/>
    <n v="12848738.43"/>
    <n v="36428561.420000002"/>
    <n v="2353720.16"/>
    <n v="51942596.119999997"/>
    <n v="39834412.43"/>
    <n v="0"/>
    <n v="0"/>
    <n v="1544805642.5799999"/>
    <n v="755194357.41999996"/>
    <n v="67.17"/>
    <n v="32.83"/>
  </r>
  <r>
    <x v="232"/>
    <x v="13"/>
    <x v="201"/>
    <n v="1"/>
    <x v="0"/>
    <n v="11"/>
    <x v="0"/>
    <n v="114"/>
    <x v="3"/>
    <n v="1143"/>
    <x v="13"/>
    <n v="114309"/>
    <x v="25"/>
    <n v="11430901"/>
    <x v="19"/>
    <n v="114309011"/>
    <x v="33"/>
    <n v="1143090110"/>
    <x v="0"/>
    <n v="1"/>
    <s v="Ingresos corrientes"/>
    <n v="1130000000"/>
    <n v="1130000000"/>
    <n v="1130000000"/>
    <n v="78440135.969999999"/>
    <n v="97527653.620000005"/>
    <n v="104326765.68000001"/>
    <n v="84069425.780000001"/>
    <n v="42278214.369999997"/>
    <n v="72229392.810000002"/>
    <n v="96342526.010000005"/>
    <n v="77079200"/>
    <n v="104561197"/>
    <n v="119380125.75"/>
    <n v="-594583.41"/>
    <n v="0"/>
    <n v="875640053.58000004"/>
    <n v="254359946.41999999"/>
    <n v="77.489999999999995"/>
    <n v="22.51"/>
  </r>
  <r>
    <x v="247"/>
    <x v="13"/>
    <x v="215"/>
    <n v="1"/>
    <x v="0"/>
    <n v="11"/>
    <x v="0"/>
    <n v="114"/>
    <x v="3"/>
    <n v="1143"/>
    <x v="13"/>
    <n v="114309"/>
    <x v="25"/>
    <n v="11430901"/>
    <x v="19"/>
    <n v="114309012"/>
    <x v="37"/>
    <n v="1143090120"/>
    <x v="0"/>
    <n v="1"/>
    <s v="Ingresos corrientes"/>
    <n v="6000000000"/>
    <n v="4130000000"/>
    <n v="4130000000"/>
    <n v="502735839.27999997"/>
    <n v="622100411.53999996"/>
    <n v="587676191.17999995"/>
    <n v="407057166.24000001"/>
    <n v="110702626.44"/>
    <n v="168300375.41999999"/>
    <n v="218632170.83000001"/>
    <n v="175343536.49000001"/>
    <n v="243398137.52000001"/>
    <n v="307129775.67000002"/>
    <n v="-2234478.14"/>
    <n v="0"/>
    <n v="3340841752.4699998"/>
    <n v="789158247.52999997"/>
    <n v="80.89"/>
    <n v="19.11"/>
  </r>
  <r>
    <x v="233"/>
    <x v="13"/>
    <x v="202"/>
    <n v="1"/>
    <x v="0"/>
    <n v="11"/>
    <x v="0"/>
    <n v="114"/>
    <x v="3"/>
    <n v="1143"/>
    <x v="13"/>
    <n v="114309"/>
    <x v="25"/>
    <n v="11430901"/>
    <x v="19"/>
    <n v="114309013"/>
    <x v="34"/>
    <n v="1143090130"/>
    <x v="0"/>
    <n v="1"/>
    <s v="Ingresos corrientes"/>
    <n v="11070000000"/>
    <n v="6470000000"/>
    <n v="6470000000"/>
    <n v="760955693.24000001"/>
    <n v="931302661.78999996"/>
    <n v="928291039.61000001"/>
    <n v="648561468.48000002"/>
    <n v="173548694.66"/>
    <n v="269353389.63"/>
    <n v="338749472.67000002"/>
    <n v="275197329.00999999"/>
    <n v="379623220.60000002"/>
    <n v="474209859.75"/>
    <n v="-6306380.79"/>
    <n v="0"/>
    <n v="5173486448.6499996"/>
    <n v="1296513551.3499999"/>
    <n v="79.959999999999994"/>
    <n v="20.04"/>
  </r>
  <r>
    <x v="146"/>
    <x v="13"/>
    <x v="128"/>
    <n v="1"/>
    <x v="0"/>
    <n v="11"/>
    <x v="0"/>
    <n v="114"/>
    <x v="3"/>
    <n v="1143"/>
    <x v="13"/>
    <n v="114309"/>
    <x v="25"/>
    <n v="11430902"/>
    <x v="53"/>
    <n v="114309020"/>
    <x v="0"/>
    <n v="1143090200"/>
    <x v="0"/>
    <n v="1"/>
    <s v="Ingresos corrientes"/>
    <n v="1500000000"/>
    <n v="1500000000"/>
    <n v="1500000000"/>
    <n v="103646779.2"/>
    <n v="90078574.049999997"/>
    <n v="100325926.86"/>
    <n v="39582379.619999997"/>
    <n v="73316243.090000004"/>
    <n v="87457027.189999998"/>
    <n v="130209000.70999999"/>
    <n v="142276431.30000001"/>
    <n v="123635328.81"/>
    <n v="90013068.159999996"/>
    <n v="108620829.14"/>
    <n v="9454984.0399999991"/>
    <n v="1098616572.1700001"/>
    <n v="401383427.82999998"/>
    <n v="73.239999999999995"/>
    <n v="26.76"/>
  </r>
  <r>
    <x v="47"/>
    <x v="13"/>
    <x v="42"/>
    <n v="1"/>
    <x v="0"/>
    <n v="11"/>
    <x v="0"/>
    <n v="119"/>
    <x v="4"/>
    <n v="1191"/>
    <x v="14"/>
    <n v="119101"/>
    <x v="26"/>
    <n v="11910100"/>
    <x v="0"/>
    <n v="119101000"/>
    <x v="0"/>
    <n v="1191010000"/>
    <x v="0"/>
    <n v="1"/>
    <s v="Ingresos corrientes"/>
    <n v="5120000000"/>
    <n v="5120000000"/>
    <n v="5120000000"/>
    <n v="424554344.99000001"/>
    <n v="480751065.86000001"/>
    <n v="373480054.00999999"/>
    <n v="565371453.30999994"/>
    <n v="283440612.83999997"/>
    <n v="463987373.72000003"/>
    <n v="297492493.81999999"/>
    <n v="376017114.57999998"/>
    <n v="451435101.73000002"/>
    <n v="442734025.08999997"/>
    <n v="87122080.799999997"/>
    <n v="6008.25"/>
    <n v="4246391729"/>
    <n v="873608271"/>
    <n v="82.94"/>
    <n v="17.059999999999999"/>
  </r>
  <r>
    <x v="147"/>
    <x v="13"/>
    <x v="129"/>
    <n v="1"/>
    <x v="0"/>
    <n v="11"/>
    <x v="0"/>
    <n v="119"/>
    <x v="4"/>
    <n v="1199"/>
    <x v="15"/>
    <n v="119901"/>
    <x v="27"/>
    <n v="11990100"/>
    <x v="0"/>
    <n v="119901000"/>
    <x v="0"/>
    <n v="1199010000"/>
    <x v="0"/>
    <n v="1"/>
    <s v="Ingresos corrientes"/>
    <n v="1000000"/>
    <n v="1000000"/>
    <n v="1000000"/>
    <n v="101713.77"/>
    <n v="81518.3"/>
    <n v="57367.59"/>
    <n v="233267.1"/>
    <n v="170487.01"/>
    <n v="9403304.8900000006"/>
    <n v="-9266440.3300000001"/>
    <n v="173921.77"/>
    <n v="84489.7"/>
    <n v="168975.31"/>
    <n v="269808.46000000002"/>
    <n v="0"/>
    <n v="1478413.57"/>
    <n v="-478413.57"/>
    <n v="147.84"/>
    <n v="-47.84"/>
  </r>
  <r>
    <x v="53"/>
    <x v="13"/>
    <x v="47"/>
    <n v="1"/>
    <x v="0"/>
    <n v="12"/>
    <x v="1"/>
    <n v="121"/>
    <x v="5"/>
    <n v="1213"/>
    <x v="16"/>
    <n v="121301"/>
    <x v="29"/>
    <n v="12130101"/>
    <x v="0"/>
    <n v="121301010"/>
    <x v="0"/>
    <n v="1213010100"/>
    <x v="0"/>
    <n v="1"/>
    <s v="Ingresos corrientes"/>
    <n v="21770000000"/>
    <n v="21770000000"/>
    <n v="21770000000"/>
    <n v="2392218407.8499999"/>
    <n v="1181915462.5999999"/>
    <n v="1104671580.1600001"/>
    <n v="1390663109"/>
    <n v="1298985778.75"/>
    <n v="1308664115.3"/>
    <n v="992960270.49000001"/>
    <n v="1449678943.51"/>
    <n v="1129648757.2"/>
    <n v="1061425781.3"/>
    <n v="646983496.82000005"/>
    <n v="1718395.58"/>
    <n v="13959534098.559999"/>
    <n v="7810465901.4399996"/>
    <n v="64.12"/>
    <n v="35.880000000000003"/>
  </r>
  <r>
    <x v="282"/>
    <x v="13"/>
    <x v="248"/>
    <n v="1"/>
    <x v="0"/>
    <n v="12"/>
    <x v="1"/>
    <n v="121"/>
    <x v="5"/>
    <n v="1213"/>
    <x v="16"/>
    <n v="121301"/>
    <x v="92"/>
    <n v="12130102"/>
    <x v="0"/>
    <n v="121301020"/>
    <x v="0"/>
    <n v="1213010200"/>
    <x v="0"/>
    <n v="1"/>
    <s v="Ingresos corrientes"/>
    <n v="6060000000"/>
    <n v="6060000000"/>
    <n v="6060000000"/>
    <n v="652561568.42999995"/>
    <n v="35909599.32"/>
    <n v="440495204.12"/>
    <n v="399355398.20999998"/>
    <n v="292992349.48000002"/>
    <n v="275372432.07999998"/>
    <n v="588752758.55999994"/>
    <n v="481459585.13"/>
    <n v="562318313.04999995"/>
    <n v="374327283.08999997"/>
    <n v="125232576.65000001"/>
    <n v="0"/>
    <n v="4228777068.1199999"/>
    <n v="1831222931.8800001"/>
    <n v="69.78"/>
    <n v="30.22"/>
  </r>
  <r>
    <x v="54"/>
    <x v="13"/>
    <x v="48"/>
    <n v="1"/>
    <x v="0"/>
    <n v="12"/>
    <x v="1"/>
    <n v="121"/>
    <x v="5"/>
    <n v="1213"/>
    <x v="16"/>
    <n v="121302"/>
    <x v="114"/>
    <n v="12130201"/>
    <x v="0"/>
    <n v="121302010"/>
    <x v="0"/>
    <n v="1213020100"/>
    <x v="0"/>
    <n v="1"/>
    <s v="Ingresos corrientes"/>
    <n v="31600000000"/>
    <n v="31600000000"/>
    <n v="31600000000"/>
    <n v="2755202909.75"/>
    <n v="2792422842.9499998"/>
    <n v="2755186615.2399998"/>
    <n v="2753233525.98"/>
    <n v="2767096078.5300002"/>
    <n v="2792310677.79"/>
    <n v="3622353999.7199998"/>
    <n v="3653040372.6100001"/>
    <n v="3675766694.9499998"/>
    <n v="3731435601.46"/>
    <n v="3690750958.1300001"/>
    <n v="4550244.95"/>
    <n v="34993350522.059998"/>
    <n v="-3393350522.0599999"/>
    <n v="110.74"/>
    <n v="-10.74"/>
  </r>
  <r>
    <x v="55"/>
    <x v="13"/>
    <x v="49"/>
    <n v="1"/>
    <x v="0"/>
    <n v="12"/>
    <x v="1"/>
    <n v="121"/>
    <x v="5"/>
    <n v="1213"/>
    <x v="16"/>
    <n v="121303"/>
    <x v="31"/>
    <n v="12130301"/>
    <x v="110"/>
    <n v="121303010"/>
    <x v="0"/>
    <n v="1213030100"/>
    <x v="0"/>
    <n v="1"/>
    <s v="Ingresos corrientes"/>
    <n v="13730000000"/>
    <n v="13730000000"/>
    <n v="13730000000"/>
    <n v="1331140141.6700001"/>
    <n v="1290657268.51"/>
    <n v="1261536287.2"/>
    <n v="1487159589.75"/>
    <n v="1319459004.48"/>
    <n v="1282251759.9200001"/>
    <n v="1269266146.79"/>
    <n v="1296490388.8699999"/>
    <n v="1283135178.26"/>
    <n v="1378706181.3199999"/>
    <n v="1291839226.1900001"/>
    <n v="12701141.119999999"/>
    <n v="14504342314.08"/>
    <n v="-774342314.08000004"/>
    <n v="105.64"/>
    <n v="-5.64"/>
  </r>
  <r>
    <x v="303"/>
    <x v="13"/>
    <x v="267"/>
    <n v="1"/>
    <x v="0"/>
    <n v="12"/>
    <x v="1"/>
    <n v="121"/>
    <x v="5"/>
    <n v="1213"/>
    <x v="16"/>
    <n v="121303"/>
    <x v="31"/>
    <n v="12130302"/>
    <x v="0"/>
    <n v="121303020"/>
    <x v="0"/>
    <n v="1213030200"/>
    <x v="0"/>
    <n v="1"/>
    <s v="Ingresos corrientes"/>
    <n v="4710000000"/>
    <n v="4710000000"/>
    <n v="4710000000"/>
    <n v="202875273.69"/>
    <n v="198682864.75"/>
    <n v="197491876.27000001"/>
    <n v="196103557.87"/>
    <n v="192169349.12"/>
    <n v="190452363.05000001"/>
    <n v="273658906.29000002"/>
    <n v="275965597.06"/>
    <n v="273322350.44999999"/>
    <n v="272868233.81"/>
    <n v="271287262.54000002"/>
    <n v="0"/>
    <n v="2544877634.9000001"/>
    <n v="2165122365.0999999"/>
    <n v="54.03"/>
    <n v="45.97"/>
  </r>
  <r>
    <x v="191"/>
    <x v="13"/>
    <x v="166"/>
    <n v="1"/>
    <x v="0"/>
    <n v="13"/>
    <x v="2"/>
    <n v="131"/>
    <x v="6"/>
    <n v="1312"/>
    <x v="18"/>
    <n v="131203"/>
    <x v="62"/>
    <n v="13120301"/>
    <x v="75"/>
    <n v="131203010"/>
    <x v="26"/>
    <n v="1312030101"/>
    <x v="0"/>
    <n v="1"/>
    <s v="Ingresos corrientes"/>
    <n v="2600000"/>
    <n v="2600000"/>
    <n v="2600000"/>
    <n v="201645.84"/>
    <n v="169115.58"/>
    <n v="233354.8"/>
    <n v="255919.96"/>
    <n v="121096.82"/>
    <n v="31192.76"/>
    <n v="48237.81"/>
    <n v="143714.22"/>
    <n v="129572.52"/>
    <n v="237953.62"/>
    <n v="0"/>
    <n v="0"/>
    <n v="1571803.93"/>
    <n v="1028196.07"/>
    <n v="60.45"/>
    <n v="39.549999999999997"/>
  </r>
  <r>
    <x v="234"/>
    <x v="13"/>
    <x v="203"/>
    <n v="1"/>
    <x v="0"/>
    <n v="13"/>
    <x v="2"/>
    <n v="131"/>
    <x v="6"/>
    <n v="1312"/>
    <x v="18"/>
    <n v="131203"/>
    <x v="62"/>
    <n v="13120301"/>
    <x v="75"/>
    <n v="131203010"/>
    <x v="43"/>
    <n v="1312030102"/>
    <x v="0"/>
    <n v="1"/>
    <s v="Ingresos corrientes"/>
    <n v="0"/>
    <n v="0"/>
    <n v="0"/>
    <n v="0"/>
    <n v="0"/>
    <n v="0"/>
    <n v="17606.62"/>
    <n v="17450.240000000002"/>
    <n v="17702.78"/>
    <n v="17183.89"/>
    <n v="17524.099999999999"/>
    <n v="17783.14"/>
    <n v="17634.349999999999"/>
    <n v="13042.04"/>
    <n v="0"/>
    <n v="135927.16"/>
    <n v="-135927.16"/>
    <n v="0"/>
    <n v="100"/>
  </r>
  <r>
    <x v="283"/>
    <x v="13"/>
    <x v="203"/>
    <n v="1"/>
    <x v="0"/>
    <n v="13"/>
    <x v="2"/>
    <n v="131"/>
    <x v="6"/>
    <n v="1312"/>
    <x v="18"/>
    <n v="131203"/>
    <x v="62"/>
    <n v="13120304"/>
    <x v="102"/>
    <n v="131203040"/>
    <x v="35"/>
    <n v="1312030401"/>
    <x v="0"/>
    <n v="1"/>
    <s v="Ingresos corrientes"/>
    <n v="45000000"/>
    <n v="45000000"/>
    <n v="45000000"/>
    <n v="4756913.22"/>
    <n v="4757009.62"/>
    <n v="3640102.48"/>
    <n v="1988084.86"/>
    <n v="2245095.9500000002"/>
    <n v="2801774.42"/>
    <n v="5226171.55"/>
    <n v="3045693.86"/>
    <n v="4006475.61"/>
    <n v="3712320.89"/>
    <n v="2550339.27"/>
    <n v="0"/>
    <n v="38729981.729999997"/>
    <n v="6270018.2699999996"/>
    <n v="86.07"/>
    <n v="13.93"/>
  </r>
  <r>
    <x v="284"/>
    <x v="13"/>
    <x v="249"/>
    <n v="1"/>
    <x v="0"/>
    <n v="13"/>
    <x v="2"/>
    <n v="131"/>
    <x v="6"/>
    <n v="1312"/>
    <x v="18"/>
    <n v="131203"/>
    <x v="62"/>
    <n v="13120304"/>
    <x v="102"/>
    <n v="131203040"/>
    <x v="39"/>
    <n v="1312030402"/>
    <x v="0"/>
    <n v="1"/>
    <s v="Ingresos corrientes"/>
    <n v="14500000"/>
    <n v="14500000"/>
    <n v="14500000"/>
    <n v="1103188.28"/>
    <n v="737903.38"/>
    <n v="1068638.18"/>
    <n v="995623.97"/>
    <n v="1050930.21"/>
    <n v="1085181.8600000001"/>
    <n v="1068144.8500000001"/>
    <n v="1014434.2"/>
    <n v="1028414.44"/>
    <n v="1050046.77"/>
    <n v="1047959.46"/>
    <n v="0"/>
    <n v="11250465.6"/>
    <n v="3249534.4"/>
    <n v="77.59"/>
    <n v="22.41"/>
  </r>
  <r>
    <x v="58"/>
    <x v="13"/>
    <x v="52"/>
    <n v="1"/>
    <x v="0"/>
    <n v="13"/>
    <x v="2"/>
    <n v="131"/>
    <x v="6"/>
    <n v="1312"/>
    <x v="18"/>
    <n v="131204"/>
    <x v="33"/>
    <n v="13120401"/>
    <x v="24"/>
    <n v="131204011"/>
    <x v="10"/>
    <n v="1312040110"/>
    <x v="0"/>
    <n v="1"/>
    <s v="Ingresos corrientes"/>
    <n v="23000000"/>
    <n v="23000000"/>
    <n v="23000000"/>
    <n v="461320"/>
    <n v="1496269.41"/>
    <n v="4146855.51"/>
    <n v="0"/>
    <n v="223862.01"/>
    <n v="1082516"/>
    <n v="132835"/>
    <n v="283825"/>
    <n v="0"/>
    <n v="1465394.56"/>
    <n v="350239.5"/>
    <n v="0"/>
    <n v="9643116.9900000002"/>
    <n v="13356883.01"/>
    <n v="41.93"/>
    <n v="58.07"/>
  </r>
  <r>
    <x v="59"/>
    <x v="13"/>
    <x v="53"/>
    <n v="1"/>
    <x v="0"/>
    <n v="13"/>
    <x v="2"/>
    <n v="131"/>
    <x v="6"/>
    <n v="1312"/>
    <x v="18"/>
    <n v="131209"/>
    <x v="34"/>
    <n v="13120902"/>
    <x v="25"/>
    <n v="131209021"/>
    <x v="11"/>
    <n v="1312090210"/>
    <x v="0"/>
    <n v="1"/>
    <s v="Ingresos corrientes"/>
    <n v="68500000"/>
    <n v="68500000"/>
    <n v="68500000"/>
    <n v="2241818.6"/>
    <n v="312622.31"/>
    <n v="4960687.28"/>
    <n v="4772219.78"/>
    <n v="873731.82"/>
    <n v="620470.65"/>
    <n v="533002.79"/>
    <n v="1146877.4399999999"/>
    <n v="891502.7"/>
    <n v="0"/>
    <n v="7563646.1699999999"/>
    <n v="0"/>
    <n v="23916579.539999999"/>
    <n v="44583420.460000001"/>
    <n v="34.909999999999997"/>
    <n v="65.09"/>
  </r>
  <r>
    <x v="193"/>
    <x v="13"/>
    <x v="168"/>
    <n v="1"/>
    <x v="0"/>
    <n v="13"/>
    <x v="2"/>
    <n v="131"/>
    <x v="6"/>
    <n v="1312"/>
    <x v="18"/>
    <n v="131209"/>
    <x v="34"/>
    <n v="13120902"/>
    <x v="25"/>
    <n v="131209022"/>
    <x v="28"/>
    <n v="1312090220"/>
    <x v="0"/>
    <n v="1"/>
    <s v="Ingresos corrientes"/>
    <n v="164000000"/>
    <n v="164000000"/>
    <n v="164000000"/>
    <n v="0"/>
    <n v="0"/>
    <n v="0"/>
    <n v="153252473.38999999"/>
    <n v="0"/>
    <n v="0"/>
    <n v="0"/>
    <n v="0"/>
    <n v="0"/>
    <n v="0"/>
    <n v="0"/>
    <n v="0"/>
    <n v="153252473.38999999"/>
    <n v="10747526.609999999"/>
    <n v="93.45"/>
    <n v="6.55"/>
  </r>
  <r>
    <x v="258"/>
    <x v="13"/>
    <x v="225"/>
    <n v="1"/>
    <x v="0"/>
    <n v="13"/>
    <x v="2"/>
    <n v="131"/>
    <x v="6"/>
    <n v="1312"/>
    <x v="18"/>
    <n v="131209"/>
    <x v="34"/>
    <n v="13120906"/>
    <x v="99"/>
    <n v="131209061"/>
    <x v="0"/>
    <n v="1312090610"/>
    <x v="0"/>
    <n v="1"/>
    <s v="Ingresos corrientes"/>
    <n v="15000000"/>
    <n v="15000000"/>
    <n v="15000000"/>
    <n v="6872457.9199999999"/>
    <n v="2235328.0299999998"/>
    <n v="6553773.9800000004"/>
    <n v="6647562.4400000004"/>
    <n v="921840.5"/>
    <n v="716112.49"/>
    <n v="765565.11"/>
    <n v="812289.56"/>
    <n v="1091091.6000000001"/>
    <n v="505959.1"/>
    <n v="200325.04"/>
    <n v="0"/>
    <n v="27322305.77"/>
    <n v="-12322305.77"/>
    <n v="182.15"/>
    <n v="-82.15"/>
  </r>
  <r>
    <x v="61"/>
    <x v="13"/>
    <x v="55"/>
    <n v="1"/>
    <x v="0"/>
    <n v="13"/>
    <x v="2"/>
    <n v="131"/>
    <x v="6"/>
    <n v="1312"/>
    <x v="18"/>
    <n v="131209"/>
    <x v="34"/>
    <n v="13120909"/>
    <x v="26"/>
    <n v="131209092"/>
    <x v="13"/>
    <n v="1312090920"/>
    <x v="0"/>
    <n v="1"/>
    <s v="Ingresos corrient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248"/>
    <x v="13"/>
    <x v="216"/>
    <n v="1"/>
    <x v="0"/>
    <n v="13"/>
    <x v="2"/>
    <n v="131"/>
    <x v="6"/>
    <n v="1312"/>
    <x v="18"/>
    <n v="131209"/>
    <x v="34"/>
    <n v="13120909"/>
    <x v="98"/>
    <n v="131209093"/>
    <x v="0"/>
    <n v="1312090930"/>
    <x v="0"/>
    <n v="1"/>
    <s v="Ingresos corrientes"/>
    <n v="163003100"/>
    <n v="163003100"/>
    <n v="163003100"/>
    <n v="0"/>
    <n v="0"/>
    <n v="0"/>
    <n v="0"/>
    <n v="0"/>
    <n v="0"/>
    <n v="0"/>
    <n v="0"/>
    <n v="0"/>
    <n v="0"/>
    <n v="0"/>
    <n v="0"/>
    <n v="0"/>
    <n v="163003100"/>
    <n v="0"/>
    <n v="100"/>
  </r>
  <r>
    <x v="267"/>
    <x v="13"/>
    <x v="234"/>
    <n v="1"/>
    <x v="0"/>
    <n v="13"/>
    <x v="2"/>
    <n v="131"/>
    <x v="6"/>
    <n v="1312"/>
    <x v="18"/>
    <n v="131209"/>
    <x v="34"/>
    <n v="13120909"/>
    <x v="101"/>
    <n v="131209094"/>
    <x v="0"/>
    <n v="1312090940"/>
    <x v="0"/>
    <n v="1"/>
    <s v="Ingresos corrientes"/>
    <n v="1554000000"/>
    <n v="1554000000"/>
    <n v="1554000000"/>
    <n v="117291969.2"/>
    <n v="130460218.42"/>
    <n v="128276338.2"/>
    <n v="100029827.2"/>
    <n v="73000985.439999998"/>
    <n v="116200768.45999999"/>
    <n v="135218908.22999999"/>
    <n v="99818631.459999993"/>
    <n v="111630393.73999999"/>
    <n v="117709268.06"/>
    <n v="75847400"/>
    <n v="0"/>
    <n v="1205484708.4100001"/>
    <n v="348515291.58999997"/>
    <n v="77.569999999999993"/>
    <n v="22.43"/>
  </r>
  <r>
    <x v="63"/>
    <x v="13"/>
    <x v="57"/>
    <n v="1"/>
    <x v="0"/>
    <n v="13"/>
    <x v="2"/>
    <n v="131"/>
    <x v="6"/>
    <n v="1313"/>
    <x v="19"/>
    <n v="131301"/>
    <x v="35"/>
    <n v="13130101"/>
    <x v="27"/>
    <n v="131301012"/>
    <x v="15"/>
    <n v="1313010120"/>
    <x v="0"/>
    <n v="1"/>
    <s v="Ingresos corrientes"/>
    <n v="6758577638"/>
    <n v="6758577638"/>
    <n v="6758577638"/>
    <n v="221379151.22999999"/>
    <n v="63438196"/>
    <n v="76108274.799999997"/>
    <n v="256559557.43000001"/>
    <n v="64622501.960000001"/>
    <n v="38761217.25"/>
    <n v="6820263"/>
    <n v="191551430.18000001"/>
    <n v="88599770.879999995"/>
    <n v="4878776"/>
    <n v="1843288"/>
    <n v="0"/>
    <n v="1014562426.73"/>
    <n v="5744015211.2700005"/>
    <n v="15.01"/>
    <n v="84.99"/>
  </r>
  <r>
    <x v="64"/>
    <x v="13"/>
    <x v="58"/>
    <n v="1"/>
    <x v="0"/>
    <n v="13"/>
    <x v="2"/>
    <n v="131"/>
    <x v="6"/>
    <n v="1313"/>
    <x v="19"/>
    <n v="131301"/>
    <x v="35"/>
    <n v="13130103"/>
    <x v="28"/>
    <n v="131301031"/>
    <x v="16"/>
    <n v="1313010310"/>
    <x v="0"/>
    <n v="1"/>
    <s v="Ingresos corrientes"/>
    <n v="17300000"/>
    <n v="17300000"/>
    <n v="17300000"/>
    <n v="1624111.28"/>
    <n v="1605876"/>
    <n v="1166732"/>
    <n v="1115000"/>
    <n v="717530"/>
    <n v="600000"/>
    <n v="1202954"/>
    <n v="445000"/>
    <n v="1025566"/>
    <n v="1101606"/>
    <n v="374704"/>
    <n v="0"/>
    <n v="10979079.279999999"/>
    <n v="6320920.7199999997"/>
    <n v="63.46"/>
    <n v="36.54"/>
  </r>
  <r>
    <x v="65"/>
    <x v="13"/>
    <x v="59"/>
    <n v="1"/>
    <x v="0"/>
    <n v="13"/>
    <x v="2"/>
    <n v="131"/>
    <x v="6"/>
    <n v="1313"/>
    <x v="19"/>
    <n v="131301"/>
    <x v="110"/>
    <n v="13130103"/>
    <x v="28"/>
    <n v="131301032"/>
    <x v="17"/>
    <n v="1313010320"/>
    <x v="0"/>
    <n v="1"/>
    <s v="Ingresos corrientes"/>
    <n v="4000000"/>
    <n v="4000000"/>
    <n v="4000000"/>
    <n v="355090"/>
    <n v="366650"/>
    <n v="219140"/>
    <n v="291640"/>
    <n v="381390"/>
    <n v="410306"/>
    <n v="156830"/>
    <n v="459004"/>
    <n v="379390"/>
    <n v="490530"/>
    <n v="136040"/>
    <n v="0"/>
    <n v="3646010"/>
    <n v="353990"/>
    <n v="91.15"/>
    <n v="8.85"/>
  </r>
  <r>
    <x v="66"/>
    <x v="13"/>
    <x v="60"/>
    <n v="1"/>
    <x v="0"/>
    <n v="13"/>
    <x v="2"/>
    <n v="131"/>
    <x v="6"/>
    <n v="1313"/>
    <x v="19"/>
    <n v="131301"/>
    <x v="35"/>
    <n v="13130103"/>
    <x v="28"/>
    <n v="131301033"/>
    <x v="18"/>
    <n v="1313010330"/>
    <x v="0"/>
    <n v="1"/>
    <s v="Ingresos corrientes"/>
    <n v="65800000"/>
    <n v="65800000"/>
    <n v="65800000"/>
    <n v="8384709.5"/>
    <n v="7366970.5"/>
    <n v="6505861"/>
    <n v="4980776.5"/>
    <n v="5816038"/>
    <n v="5929613.5"/>
    <n v="6999366"/>
    <n v="6142691"/>
    <n v="6770926.5"/>
    <n v="5974982.5"/>
    <n v="5429631"/>
    <n v="0"/>
    <n v="70301566"/>
    <n v="-4501566"/>
    <n v="106.84"/>
    <n v="-6.84"/>
  </r>
  <r>
    <x v="67"/>
    <x v="13"/>
    <x v="61"/>
    <n v="1"/>
    <x v="0"/>
    <n v="13"/>
    <x v="2"/>
    <n v="131"/>
    <x v="6"/>
    <n v="1313"/>
    <x v="19"/>
    <n v="131301"/>
    <x v="35"/>
    <n v="13130103"/>
    <x v="28"/>
    <n v="131301034"/>
    <x v="19"/>
    <n v="1313010340"/>
    <x v="0"/>
    <n v="1"/>
    <s v="Ingresos corrientes"/>
    <n v="42600000"/>
    <n v="42600000"/>
    <n v="42600000"/>
    <n v="2588122.2000000002"/>
    <n v="3265814"/>
    <n v="2932950"/>
    <n v="755166"/>
    <n v="2533604"/>
    <n v="4105511"/>
    <n v="4233153.5"/>
    <n v="1896792"/>
    <n v="2983214"/>
    <n v="2178963"/>
    <n v="1419136"/>
    <n v="0"/>
    <n v="28892425.699999999"/>
    <n v="13707574.300000001"/>
    <n v="67.819999999999993"/>
    <n v="32.18"/>
  </r>
  <r>
    <x v="285"/>
    <x v="13"/>
    <x v="250"/>
    <n v="1"/>
    <x v="0"/>
    <n v="13"/>
    <x v="2"/>
    <n v="131"/>
    <x v="6"/>
    <n v="1313"/>
    <x v="19"/>
    <n v="131302"/>
    <x v="63"/>
    <n v="13130201"/>
    <x v="103"/>
    <n v="131302013"/>
    <x v="0"/>
    <n v="1313020130"/>
    <x v="0"/>
    <n v="1"/>
    <s v="Ingresos corrientes"/>
    <n v="6282454875"/>
    <n v="6282454875"/>
    <n v="6282454875"/>
    <n v="0"/>
    <n v="0"/>
    <n v="0"/>
    <n v="2611103330.6599998"/>
    <n v="0"/>
    <n v="571730182.02999997"/>
    <n v="336960273.95999998"/>
    <n v="0"/>
    <n v="0"/>
    <n v="915454855.61000001"/>
    <n v="0"/>
    <n v="0"/>
    <n v="4435248642.2600002"/>
    <n v="1847206232.74"/>
    <n v="70.599999999999994"/>
    <n v="29.4"/>
  </r>
  <r>
    <x v="286"/>
    <x v="13"/>
    <x v="251"/>
    <n v="1"/>
    <x v="0"/>
    <n v="13"/>
    <x v="2"/>
    <n v="131"/>
    <x v="6"/>
    <n v="1313"/>
    <x v="19"/>
    <n v="131302"/>
    <x v="63"/>
    <n v="13130201"/>
    <x v="103"/>
    <n v="131302014"/>
    <x v="0"/>
    <n v="1313020140"/>
    <x v="0"/>
    <n v="1"/>
    <s v="Ingresos corrientes"/>
    <n v="319524539"/>
    <n v="319524539"/>
    <n v="319524539"/>
    <n v="0"/>
    <n v="0"/>
    <n v="0"/>
    <n v="151702662.99000001"/>
    <n v="0"/>
    <n v="860910.48"/>
    <n v="9530064.6999999993"/>
    <n v="0"/>
    <n v="0"/>
    <n v="0"/>
    <n v="0"/>
    <n v="0"/>
    <n v="162093638.16999999"/>
    <n v="157430900.83000001"/>
    <n v="50.73"/>
    <n v="49.27"/>
  </r>
  <r>
    <x v="148"/>
    <x v="13"/>
    <x v="130"/>
    <n v="1"/>
    <x v="0"/>
    <n v="13"/>
    <x v="2"/>
    <n v="131"/>
    <x v="6"/>
    <n v="1313"/>
    <x v="19"/>
    <n v="131302"/>
    <x v="63"/>
    <n v="13130203"/>
    <x v="54"/>
    <n v="131302031"/>
    <x v="24"/>
    <n v="1313020310"/>
    <x v="0"/>
    <n v="1"/>
    <s v="Ingresos corrientes"/>
    <n v="10000000"/>
    <n v="10000000"/>
    <n v="10000000"/>
    <n v="575000"/>
    <n v="1028000"/>
    <n v="2021000"/>
    <n v="719000"/>
    <n v="1011000"/>
    <n v="1686000"/>
    <n v="818000"/>
    <n v="1428000"/>
    <n v="1483000"/>
    <n v="1256000"/>
    <n v="1332000"/>
    <n v="0"/>
    <n v="13357000"/>
    <n v="-3357000"/>
    <n v="133.57"/>
    <n v="-33.57"/>
  </r>
  <r>
    <x v="149"/>
    <x v="13"/>
    <x v="131"/>
    <n v="1"/>
    <x v="0"/>
    <n v="13"/>
    <x v="2"/>
    <n v="131"/>
    <x v="6"/>
    <n v="1313"/>
    <x v="19"/>
    <n v="131302"/>
    <x v="63"/>
    <n v="13130203"/>
    <x v="54"/>
    <n v="131302032"/>
    <x v="25"/>
    <n v="1313020320"/>
    <x v="0"/>
    <n v="1"/>
    <s v="Ingresos corrientes"/>
    <n v="20000000"/>
    <n v="20000000"/>
    <n v="20000000"/>
    <n v="258000"/>
    <n v="1104000"/>
    <n v="3968000"/>
    <n v="9000"/>
    <n v="3122000"/>
    <n v="231000"/>
    <n v="-51000"/>
    <n v="1140000"/>
    <n v="611000"/>
    <n v="1551000"/>
    <n v="3860000"/>
    <n v="0"/>
    <n v="15803000"/>
    <n v="4197000"/>
    <n v="79.02"/>
    <n v="20.98"/>
  </r>
  <r>
    <x v="259"/>
    <x v="13"/>
    <x v="226"/>
    <n v="1"/>
    <x v="0"/>
    <n v="13"/>
    <x v="2"/>
    <n v="131"/>
    <x v="6"/>
    <n v="1313"/>
    <x v="19"/>
    <n v="131302"/>
    <x v="63"/>
    <n v="13130203"/>
    <x v="54"/>
    <n v="131302034"/>
    <x v="38"/>
    <n v="1313020340"/>
    <x v="0"/>
    <n v="1"/>
    <s v="Ingresos corrientes"/>
    <n v="832866961"/>
    <n v="832866961"/>
    <n v="832866961"/>
    <n v="1338601"/>
    <n v="0"/>
    <n v="0"/>
    <n v="601452994.88999999"/>
    <n v="0"/>
    <n v="0"/>
    <n v="0"/>
    <n v="0"/>
    <n v="0"/>
    <n v="0"/>
    <n v="0"/>
    <n v="0"/>
    <n v="602791595.88999999"/>
    <n v="230075365.11000001"/>
    <n v="72.38"/>
    <n v="27.62"/>
  </r>
  <r>
    <x v="306"/>
    <x v="13"/>
    <x v="269"/>
    <n v="1"/>
    <x v="0"/>
    <n v="13"/>
    <x v="2"/>
    <n v="131"/>
    <x v="6"/>
    <n v="1313"/>
    <x v="19"/>
    <n v="131302"/>
    <x v="63"/>
    <n v="13130203"/>
    <x v="54"/>
    <n v="131302035"/>
    <x v="42"/>
    <n v="1313020350"/>
    <x v="0"/>
    <n v="1"/>
    <s v="Ingresos corrientes"/>
    <n v="18500000"/>
    <n v="18500000"/>
    <n v="18500000"/>
    <n v="1789845"/>
    <n v="1509184"/>
    <n v="3728400.5"/>
    <n v="1496075"/>
    <n v="1648835"/>
    <n v="2194578.75"/>
    <n v="2265121.5"/>
    <n v="149600"/>
    <n v="753800"/>
    <n v="106800"/>
    <n v="77550"/>
    <n v="0"/>
    <n v="15719789.75"/>
    <n v="2780210.25"/>
    <n v="84.97"/>
    <n v="15.03"/>
  </r>
  <r>
    <x v="268"/>
    <x v="13"/>
    <x v="235"/>
    <n v="1"/>
    <x v="0"/>
    <n v="13"/>
    <x v="2"/>
    <n v="132"/>
    <x v="7"/>
    <n v="1321"/>
    <x v="20"/>
    <n v="132103"/>
    <x v="82"/>
    <n v="13210300"/>
    <x v="0"/>
    <n v="132103000"/>
    <x v="0"/>
    <n v="1321030000"/>
    <x v="0"/>
    <n v="1"/>
    <s v="Ingresos corrientes"/>
    <n v="21400000000"/>
    <n v="12644845739"/>
    <n v="12644845739"/>
    <n v="0"/>
    <n v="0"/>
    <n v="12644845739.65"/>
    <n v="0"/>
    <n v="0"/>
    <n v="0"/>
    <n v="0"/>
    <n v="0"/>
    <n v="0"/>
    <n v="0"/>
    <n v="0"/>
    <n v="0"/>
    <n v="12644845739.65"/>
    <n v="-0.65"/>
    <n v="100"/>
    <n v="0"/>
  </r>
  <r>
    <x v="71"/>
    <x v="13"/>
    <x v="65"/>
    <n v="1"/>
    <x v="0"/>
    <n v="13"/>
    <x v="2"/>
    <n v="132"/>
    <x v="7"/>
    <n v="1322"/>
    <x v="21"/>
    <n v="132202"/>
    <x v="38"/>
    <n v="13220201"/>
    <x v="0"/>
    <n v="132202010"/>
    <x v="0"/>
    <n v="1322020100"/>
    <x v="0"/>
    <n v="1"/>
    <s v="Ingresos corrientes"/>
    <n v="0"/>
    <n v="0"/>
    <n v="0"/>
    <n v="1563706"/>
    <n v="1563706"/>
    <n v="1563706"/>
    <n v="0"/>
    <n v="0"/>
    <n v="0"/>
    <n v="0"/>
    <n v="0"/>
    <n v="0"/>
    <n v="0"/>
    <n v="0"/>
    <n v="0"/>
    <n v="4691118"/>
    <n v="-4691118"/>
    <n v="0"/>
    <n v="100"/>
  </r>
  <r>
    <x v="150"/>
    <x v="13"/>
    <x v="132"/>
    <n v="1"/>
    <x v="0"/>
    <n v="13"/>
    <x v="2"/>
    <n v="132"/>
    <x v="7"/>
    <n v="1323"/>
    <x v="22"/>
    <n v="132303"/>
    <x v="57"/>
    <n v="13230301"/>
    <x v="55"/>
    <n v="132303010"/>
    <x v="0"/>
    <n v="1323030100"/>
    <x v="0"/>
    <n v="1"/>
    <s v="Ingresos corrientes"/>
    <n v="380000000"/>
    <n v="380000000"/>
    <n v="380000000"/>
    <n v="10851562.1"/>
    <n v="7896365.1399999997"/>
    <n v="4683876.28"/>
    <n v="11900800.65"/>
    <n v="3900790.79"/>
    <n v="47581927.460000001"/>
    <n v="8974103.5999999996"/>
    <n v="3031887.01"/>
    <n v="2999682.1"/>
    <n v="4661606.88"/>
    <n v="1600276.76"/>
    <n v="0"/>
    <n v="108082878.77"/>
    <n v="271917121.23000002"/>
    <n v="28.44"/>
    <n v="71.56"/>
  </r>
  <r>
    <x v="194"/>
    <x v="13"/>
    <x v="169"/>
    <n v="1"/>
    <x v="0"/>
    <n v="13"/>
    <x v="2"/>
    <n v="133"/>
    <x v="24"/>
    <n v="1331"/>
    <x v="23"/>
    <n v="133101"/>
    <x v="40"/>
    <n v="13310100"/>
    <x v="0"/>
    <n v="133101000"/>
    <x v="0"/>
    <n v="1331010000"/>
    <x v="0"/>
    <n v="1"/>
    <s v="Ingresos corrientes"/>
    <n v="400000000"/>
    <n v="400000000"/>
    <n v="400000000"/>
    <n v="28153994.079999998"/>
    <n v="0"/>
    <n v="0"/>
    <n v="0"/>
    <n v="0"/>
    <n v="8512704.0999999996"/>
    <n v="160906656.72999999"/>
    <n v="100000"/>
    <n v="0"/>
    <n v="0"/>
    <n v="0"/>
    <n v="0"/>
    <n v="197673354.91"/>
    <n v="202326645.09"/>
    <n v="49.42"/>
    <n v="50.58"/>
  </r>
  <r>
    <x v="151"/>
    <x v="13"/>
    <x v="133"/>
    <n v="1"/>
    <x v="0"/>
    <n v="13"/>
    <x v="2"/>
    <n v="133"/>
    <x v="24"/>
    <n v="1331"/>
    <x v="23"/>
    <n v="133102"/>
    <x v="58"/>
    <n v="13310201"/>
    <x v="56"/>
    <n v="133102010"/>
    <x v="0"/>
    <n v="1331020100"/>
    <x v="0"/>
    <n v="1"/>
    <s v="Ingresos corrientes"/>
    <n v="5443000000"/>
    <n v="5443000000"/>
    <n v="5443000000"/>
    <n v="497879383"/>
    <n v="276724614"/>
    <n v="358673011"/>
    <n v="191365411.97"/>
    <n v="422018728"/>
    <n v="365311135"/>
    <n v="806894642.01999998"/>
    <n v="288639557.5"/>
    <n v="317416278.5"/>
    <n v="437959875"/>
    <n v="293455800"/>
    <n v="3009442"/>
    <n v="4259347877.9899998"/>
    <n v="1183652122.01"/>
    <n v="78.25"/>
    <n v="21.75"/>
  </r>
  <r>
    <x v="152"/>
    <x v="13"/>
    <x v="134"/>
    <n v="1"/>
    <x v="0"/>
    <n v="13"/>
    <x v="2"/>
    <n v="133"/>
    <x v="24"/>
    <n v="1331"/>
    <x v="23"/>
    <n v="133102"/>
    <x v="58"/>
    <n v="13310202"/>
    <x v="57"/>
    <n v="133102020"/>
    <x v="0"/>
    <n v="1331020200"/>
    <x v="0"/>
    <n v="1"/>
    <s v="Ingresos corrientes"/>
    <n v="1800000000"/>
    <n v="1800000000"/>
    <n v="1800000000"/>
    <n v="73136403.760000005"/>
    <n v="105306259.47"/>
    <n v="272058316.97000003"/>
    <n v="142502709.50999999"/>
    <n v="97973373.430000007"/>
    <n v="46293236.590000004"/>
    <n v="187750298.38"/>
    <n v="179228711.77000001"/>
    <n v="123047077.48"/>
    <n v="214787903.69999999"/>
    <n v="7306250.3799999999"/>
    <n v="0"/>
    <n v="1449390541.4400001"/>
    <n v="350609458.56"/>
    <n v="80.52"/>
    <n v="19.48"/>
  </r>
  <r>
    <x v="74"/>
    <x v="13"/>
    <x v="68"/>
    <n v="1"/>
    <x v="0"/>
    <n v="13"/>
    <x v="2"/>
    <n v="133"/>
    <x v="24"/>
    <n v="1331"/>
    <x v="23"/>
    <n v="133104"/>
    <x v="41"/>
    <n v="13310401"/>
    <x v="31"/>
    <n v="133104010"/>
    <x v="0"/>
    <n v="1331040100"/>
    <x v="0"/>
    <n v="1"/>
    <s v="Ingresos corrientes"/>
    <n v="6860000000"/>
    <n v="6860000000"/>
    <n v="6860000000"/>
    <n v="366309751"/>
    <n v="339751277"/>
    <n v="320599201"/>
    <n v="152231400"/>
    <n v="273171548"/>
    <n v="304730863"/>
    <n v="371832023"/>
    <n v="289838590"/>
    <n v="473173367.77999997"/>
    <n v="723022466"/>
    <n v="547852357"/>
    <n v="46444397"/>
    <n v="4208957240.7800002"/>
    <n v="2651042759.2199998"/>
    <n v="61.36"/>
    <n v="38.64"/>
  </r>
  <r>
    <x v="153"/>
    <x v="13"/>
    <x v="135"/>
    <n v="1"/>
    <x v="0"/>
    <n v="13"/>
    <x v="2"/>
    <n v="133"/>
    <x v="24"/>
    <n v="1331"/>
    <x v="23"/>
    <n v="133104"/>
    <x v="41"/>
    <n v="13310402"/>
    <x v="58"/>
    <n v="133104020"/>
    <x v="0"/>
    <n v="1331040200"/>
    <x v="0"/>
    <n v="1"/>
    <s v="Ingresos corrientes"/>
    <n v="100000000"/>
    <n v="100000000"/>
    <n v="100000000"/>
    <n v="0"/>
    <n v="0"/>
    <n v="0"/>
    <n v="47800"/>
    <n v="0"/>
    <n v="45313719.049999997"/>
    <n v="23197421.66"/>
    <n v="56730.59"/>
    <n v="11517626.050000001"/>
    <n v="2319929"/>
    <n v="3740674.8"/>
    <n v="0"/>
    <n v="86193901.150000006"/>
    <n v="13806098.85"/>
    <n v="86.19"/>
    <n v="13.81"/>
  </r>
  <r>
    <x v="154"/>
    <x v="13"/>
    <x v="136"/>
    <n v="1"/>
    <x v="0"/>
    <n v="13"/>
    <x v="2"/>
    <n v="133"/>
    <x v="24"/>
    <n v="1331"/>
    <x v="23"/>
    <n v="133109"/>
    <x v="42"/>
    <n v="13310901"/>
    <x v="59"/>
    <n v="133109010"/>
    <x v="0"/>
    <n v="1331090100"/>
    <x v="0"/>
    <n v="1"/>
    <s v="Ingresos corrientes"/>
    <n v="0"/>
    <n v="0"/>
    <n v="0"/>
    <n v="0"/>
    <n v="0"/>
    <n v="3016500"/>
    <n v="20512784.640000001"/>
    <n v="0"/>
    <n v="0"/>
    <n v="0"/>
    <n v="63240000"/>
    <n v="7988000"/>
    <n v="0"/>
    <n v="0"/>
    <n v="0"/>
    <n v="94757284.640000001"/>
    <n v="-94757284.640000001"/>
    <n v="0"/>
    <n v="100"/>
  </r>
  <r>
    <x v="155"/>
    <x v="13"/>
    <x v="137"/>
    <n v="1"/>
    <x v="0"/>
    <n v="13"/>
    <x v="2"/>
    <n v="133"/>
    <x v="24"/>
    <n v="1331"/>
    <x v="23"/>
    <n v="133109"/>
    <x v="42"/>
    <n v="13310902"/>
    <x v="60"/>
    <n v="133109020"/>
    <x v="0"/>
    <n v="1331090200"/>
    <x v="0"/>
    <n v="1"/>
    <s v="Ingresos corrientes"/>
    <n v="175000000"/>
    <n v="175000000"/>
    <n v="175000000"/>
    <n v="18504500"/>
    <n v="5395500"/>
    <n v="18199688.170000002"/>
    <n v="10358500"/>
    <n v="15783500"/>
    <n v="20719500"/>
    <n v="30684000"/>
    <n v="45843500"/>
    <n v="28472000"/>
    <n v="12769500"/>
    <n v="20981500"/>
    <n v="0"/>
    <n v="227711688.16999999"/>
    <n v="-52711688.170000002"/>
    <n v="130.12"/>
    <n v="-30.12"/>
  </r>
  <r>
    <x v="156"/>
    <x v="13"/>
    <x v="70"/>
    <n v="1"/>
    <x v="0"/>
    <n v="13"/>
    <x v="2"/>
    <n v="133"/>
    <x v="24"/>
    <n v="1331"/>
    <x v="23"/>
    <n v="133109"/>
    <x v="42"/>
    <n v="13310903"/>
    <x v="61"/>
    <n v="133109030"/>
    <x v="0"/>
    <n v="1331090300"/>
    <x v="0"/>
    <n v="1"/>
    <s v="Ingresos corrientes"/>
    <n v="365300000"/>
    <n v="365300000"/>
    <n v="365300000"/>
    <n v="6385268.29"/>
    <n v="3448020.09"/>
    <n v="6197290.8300000001"/>
    <n v="31192064.059999999"/>
    <n v="15252275.130000001"/>
    <n v="7318057.8399999999"/>
    <n v="13145003.66"/>
    <n v="9927738.8100000005"/>
    <n v="14201154.35"/>
    <n v="-3665728.13"/>
    <n v="4544360.0199999996"/>
    <n v="209654.12"/>
    <n v="108155159.06999999"/>
    <n v="257144840.93000001"/>
    <n v="29.61"/>
    <n v="70.39"/>
  </r>
  <r>
    <x v="207"/>
    <x v="13"/>
    <x v="182"/>
    <n v="1"/>
    <x v="0"/>
    <n v="13"/>
    <x v="2"/>
    <n v="133"/>
    <x v="24"/>
    <n v="1331"/>
    <x v="23"/>
    <n v="133109"/>
    <x v="42"/>
    <n v="13310904"/>
    <x v="81"/>
    <n v="133109040"/>
    <x v="0"/>
    <n v="1331090400"/>
    <x v="0"/>
    <n v="1"/>
    <s v="Ingresos corrientes"/>
    <n v="103000000"/>
    <n v="103000000"/>
    <n v="103000000"/>
    <n v="342200529.60000002"/>
    <n v="35254431.420000002"/>
    <n v="0"/>
    <n v="0"/>
    <n v="0"/>
    <n v="68874986.370000005"/>
    <n v="0"/>
    <n v="0"/>
    <n v="2155000"/>
    <n v="32986527.289999999"/>
    <n v="0"/>
    <n v="0"/>
    <n v="481471474.68000001"/>
    <n v="-378471474.68000001"/>
    <n v="467.45"/>
    <n v="-367.45"/>
  </r>
  <r>
    <x v="288"/>
    <x v="13"/>
    <x v="253"/>
    <n v="1"/>
    <x v="0"/>
    <n v="13"/>
    <x v="2"/>
    <n v="133"/>
    <x v="24"/>
    <n v="1331"/>
    <x v="23"/>
    <n v="133109"/>
    <x v="42"/>
    <n v="13310905"/>
    <x v="105"/>
    <n v="133109050"/>
    <x v="0"/>
    <n v="1331090500"/>
    <x v="0"/>
    <n v="1"/>
    <s v="Ingresos corrientes"/>
    <n v="35700000"/>
    <n v="35700000"/>
    <n v="35700000"/>
    <n v="0"/>
    <n v="0"/>
    <n v="0"/>
    <n v="7517000"/>
    <n v="0"/>
    <n v="0"/>
    <n v="0"/>
    <n v="0"/>
    <n v="0"/>
    <n v="0"/>
    <n v="0"/>
    <n v="0"/>
    <n v="7517000"/>
    <n v="28183000"/>
    <n v="21.06"/>
    <n v="78.94"/>
  </r>
  <r>
    <x v="307"/>
    <x v="13"/>
    <x v="270"/>
    <n v="1"/>
    <x v="0"/>
    <n v="13"/>
    <x v="2"/>
    <n v="133"/>
    <x v="24"/>
    <n v="1331"/>
    <x v="23"/>
    <n v="133109"/>
    <x v="42"/>
    <n v="13310906"/>
    <x v="109"/>
    <n v="133109060"/>
    <x v="0"/>
    <n v="1331090600"/>
    <x v="0"/>
    <n v="1"/>
    <s v="Ingresos corrientes"/>
    <n v="0"/>
    <n v="0"/>
    <n v="0"/>
    <n v="481578.07"/>
    <n v="0"/>
    <n v="0"/>
    <n v="0"/>
    <n v="0"/>
    <n v="0"/>
    <n v="0"/>
    <n v="66930"/>
    <n v="0"/>
    <n v="0"/>
    <n v="0"/>
    <n v="0"/>
    <n v="548508.06999999995"/>
    <n v="-548508.06999999995"/>
    <n v="0"/>
    <n v="100"/>
  </r>
  <r>
    <x v="348"/>
    <x v="13"/>
    <x v="313"/>
    <n v="1"/>
    <x v="0"/>
    <n v="13"/>
    <x v="2"/>
    <n v="133"/>
    <x v="24"/>
    <n v="1331"/>
    <x v="23"/>
    <n v="133109"/>
    <x v="42"/>
    <n v="13310907"/>
    <x v="121"/>
    <n v="133109070"/>
    <x v="0"/>
    <n v="1331090700"/>
    <x v="0"/>
    <n v="1"/>
    <s v="Ingresos corrientes"/>
    <n v="0"/>
    <n v="0"/>
    <n v="0"/>
    <n v="0"/>
    <n v="0"/>
    <n v="0"/>
    <n v="0"/>
    <n v="3613600"/>
    <n v="1857200"/>
    <n v="7150900"/>
    <n v="17617400"/>
    <n v="9261400"/>
    <n v="14329400"/>
    <n v="8356400"/>
    <n v="0"/>
    <n v="62186300"/>
    <n v="-62186300"/>
    <n v="0"/>
    <n v="100"/>
  </r>
  <r>
    <x v="195"/>
    <x v="13"/>
    <x v="170"/>
    <n v="1"/>
    <x v="0"/>
    <n v="13"/>
    <x v="2"/>
    <n v="133"/>
    <x v="24"/>
    <n v="1331"/>
    <x v="23"/>
    <n v="133109"/>
    <x v="42"/>
    <n v="13310909"/>
    <x v="77"/>
    <n v="133109090"/>
    <x v="0"/>
    <n v="1331090900"/>
    <x v="0"/>
    <n v="1"/>
    <s v="Ingresos corrientes"/>
    <n v="206000000"/>
    <n v="206000000"/>
    <n v="206000000"/>
    <n v="1006429.9"/>
    <n v="121963.5"/>
    <n v="3532552"/>
    <n v="7617867"/>
    <n v="3910762.13"/>
    <n v="1198060"/>
    <n v="1168249.7"/>
    <n v="476938.25"/>
    <n v="575516.76"/>
    <n v="6860256"/>
    <n v="0"/>
    <n v="0"/>
    <n v="26468595.239999998"/>
    <n v="179531404.75999999"/>
    <n v="12.85"/>
    <n v="87.15"/>
  </r>
  <r>
    <x v="80"/>
    <x v="13"/>
    <x v="74"/>
    <n v="1"/>
    <x v="0"/>
    <n v="13"/>
    <x v="2"/>
    <n v="133"/>
    <x v="24"/>
    <n v="1332"/>
    <x v="48"/>
    <n v="133201"/>
    <x v="43"/>
    <n v="13320101"/>
    <x v="37"/>
    <n v="133201010"/>
    <x v="0"/>
    <n v="1332010100"/>
    <x v="0"/>
    <n v="1"/>
    <s v="Ingresos corrientes"/>
    <n v="26000000"/>
    <n v="26000000"/>
    <n v="26000000"/>
    <n v="31495743.350000001"/>
    <n v="0"/>
    <n v="3612019.69"/>
    <n v="31571897.23"/>
    <n v="0"/>
    <n v="0"/>
    <n v="4429502.1900000004"/>
    <n v="850000"/>
    <n v="45689941.609999999"/>
    <n v="13251142.82"/>
    <n v="0"/>
    <n v="0"/>
    <n v="130900246.89"/>
    <n v="-104900246.89"/>
    <n v="503.46"/>
    <n v="-403.46"/>
  </r>
  <r>
    <x v="260"/>
    <x v="13"/>
    <x v="227"/>
    <n v="1"/>
    <x v="0"/>
    <n v="13"/>
    <x v="2"/>
    <n v="134"/>
    <x v="21"/>
    <n v="1341"/>
    <x v="45"/>
    <n v="134100"/>
    <x v="78"/>
    <n v="13410000"/>
    <x v="0"/>
    <n v="134100000"/>
    <x v="0"/>
    <n v="1341000000"/>
    <x v="0"/>
    <n v="1"/>
    <s v="Ingresos corrientes"/>
    <n v="278000000"/>
    <n v="278000000"/>
    <n v="278000000"/>
    <n v="56617812.840000004"/>
    <n v="39519679.130000003"/>
    <n v="50441389.369999997"/>
    <n v="29166368.890000001"/>
    <n v="47054156.770000003"/>
    <n v="54423496.229999997"/>
    <n v="50016504.850000001"/>
    <n v="47287685.600000001"/>
    <n v="52666996.590000004"/>
    <n v="44759998.060000002"/>
    <n v="55191770.039999999"/>
    <n v="8241.5400000000009"/>
    <n v="527154099.91000003"/>
    <n v="-249154099.91"/>
    <n v="189.62"/>
    <n v="-89.62"/>
  </r>
  <r>
    <x v="157"/>
    <x v="13"/>
    <x v="138"/>
    <n v="1"/>
    <x v="0"/>
    <n v="13"/>
    <x v="2"/>
    <n v="139"/>
    <x v="9"/>
    <n v="1391"/>
    <x v="25"/>
    <n v="139100"/>
    <x v="44"/>
    <n v="13910000"/>
    <x v="0"/>
    <n v="139100000"/>
    <x v="0"/>
    <n v="1391000000"/>
    <x v="0"/>
    <n v="1"/>
    <s v="Ingresos corrientes"/>
    <n v="5150000000"/>
    <n v="5150000000"/>
    <n v="5150000000"/>
    <n v="218143820.03"/>
    <n v="325251835.87"/>
    <n v="128585912.7"/>
    <n v="184896787.49000001"/>
    <n v="466960631.06999999"/>
    <n v="297850059.77999997"/>
    <n v="229995962.63999999"/>
    <n v="305321163.97000003"/>
    <n v="254987419.05000001"/>
    <n v="3086620224.54"/>
    <n v="71605330.519999996"/>
    <n v="0"/>
    <n v="5570219147.6599998"/>
    <n v="-420219147.66000003"/>
    <n v="108.16"/>
    <n v="-8.16"/>
  </r>
  <r>
    <x v="349"/>
    <x v="13"/>
    <x v="314"/>
    <n v="1"/>
    <x v="0"/>
    <n v="13"/>
    <x v="2"/>
    <n v="139"/>
    <x v="9"/>
    <n v="1392"/>
    <x v="49"/>
    <n v="139200"/>
    <x v="123"/>
    <n v="13920000"/>
    <x v="122"/>
    <n v="139200000"/>
    <x v="44"/>
    <n v="1392000000"/>
    <x v="4"/>
    <n v="1"/>
    <s v="Ingresos corrientes"/>
    <n v="0"/>
    <n v="3400000"/>
    <n v="3400000"/>
    <n v="0"/>
    <n v="0"/>
    <n v="0"/>
    <n v="0"/>
    <n v="0"/>
    <n v="0"/>
    <n v="0"/>
    <n v="0"/>
    <n v="0"/>
    <n v="0"/>
    <n v="0"/>
    <n v="0"/>
    <n v="0"/>
    <n v="3400000"/>
    <n v="0"/>
    <n v="100"/>
  </r>
  <r>
    <x v="158"/>
    <x v="13"/>
    <x v="77"/>
    <n v="1"/>
    <x v="0"/>
    <n v="13"/>
    <x v="2"/>
    <n v="139"/>
    <x v="9"/>
    <n v="1399"/>
    <x v="26"/>
    <n v="139900"/>
    <x v="44"/>
    <n v="13990000"/>
    <x v="0"/>
    <n v="139900000"/>
    <x v="0"/>
    <n v="1399000000"/>
    <x v="0"/>
    <n v="1"/>
    <s v="Ingresos corrientes"/>
    <n v="4950000000"/>
    <n v="6754354731.5299997"/>
    <n v="6754354731.5299997"/>
    <n v="982667644.96000004"/>
    <n v="933502813.61000001"/>
    <n v="1036378778.2"/>
    <n v="959621172.24000001"/>
    <n v="269035895.73000002"/>
    <n v="168889383.00999999"/>
    <n v="409449169.10000002"/>
    <n v="675068865.37"/>
    <n v="2515054063.1199999"/>
    <n v="461205782.91000003"/>
    <n v="750928626.66999996"/>
    <n v="309955860.27999997"/>
    <n v="9471758055.2000008"/>
    <n v="-2717403323.6700001"/>
    <n v="140.22999999999999"/>
    <n v="-40.229999999999997"/>
  </r>
  <r>
    <x v="159"/>
    <x v="13"/>
    <x v="139"/>
    <n v="1"/>
    <x v="0"/>
    <n v="14"/>
    <x v="3"/>
    <n v="141"/>
    <x v="10"/>
    <n v="1412"/>
    <x v="27"/>
    <n v="141201"/>
    <x v="45"/>
    <n v="14120101"/>
    <x v="62"/>
    <n v="141201010"/>
    <x v="0"/>
    <n v="1412010100"/>
    <x v="0"/>
    <n v="1"/>
    <s v="Ingresos corrientes"/>
    <n v="33667377884"/>
    <n v="33667377884"/>
    <n v="33667377884"/>
    <n v="0"/>
    <n v="0"/>
    <n v="1899968786.25"/>
    <n v="2219235726"/>
    <n v="13595954610.34"/>
    <n v="14234984465.42"/>
    <n v="0"/>
    <n v="0"/>
    <n v="0"/>
    <n v="0"/>
    <n v="0"/>
    <n v="0"/>
    <n v="31950143588.009998"/>
    <n v="1717234295.99"/>
    <n v="94.9"/>
    <n v="5.0999999999999996"/>
  </r>
  <r>
    <x v="160"/>
    <x v="13"/>
    <x v="140"/>
    <n v="1"/>
    <x v="0"/>
    <n v="14"/>
    <x v="3"/>
    <n v="141"/>
    <x v="10"/>
    <n v="1412"/>
    <x v="27"/>
    <n v="141201"/>
    <x v="45"/>
    <n v="14120103"/>
    <x v="63"/>
    <n v="141201030"/>
    <x v="0"/>
    <n v="1412010300"/>
    <x v="0"/>
    <n v="1"/>
    <s v="Ingresos corrientes"/>
    <n v="14584669376"/>
    <n v="14584669376"/>
    <n v="14584669376"/>
    <n v="0"/>
    <n v="190000"/>
    <n v="1155667500"/>
    <n v="1135631250"/>
    <n v="1140896250"/>
    <n v="0"/>
    <n v="1119056250"/>
    <n v="1718973750"/>
    <n v="733200000"/>
    <n v="0"/>
    <n v="0"/>
    <n v="0"/>
    <n v="7003615000"/>
    <n v="7581054376"/>
    <n v="48.02"/>
    <n v="51.98"/>
  </r>
  <r>
    <x v="208"/>
    <x v="13"/>
    <x v="183"/>
    <n v="1"/>
    <x v="0"/>
    <n v="14"/>
    <x v="3"/>
    <n v="141"/>
    <x v="10"/>
    <n v="1412"/>
    <x v="27"/>
    <n v="141201"/>
    <x v="45"/>
    <n v="14120105"/>
    <x v="82"/>
    <n v="141201050"/>
    <x v="0"/>
    <n v="1412010500"/>
    <x v="0"/>
    <n v="1"/>
    <s v="Ingresos corrientes"/>
    <n v="85378383051"/>
    <n v="85378383051"/>
    <n v="85378383051"/>
    <n v="0"/>
    <n v="7114730000"/>
    <n v="7114730000"/>
    <n v="7114730000"/>
    <n v="0"/>
    <n v="7114730000"/>
    <n v="7114730000"/>
    <n v="0"/>
    <n v="7114730000"/>
    <n v="7114730000"/>
    <n v="0"/>
    <n v="0"/>
    <n v="49803110000"/>
    <n v="35575273051"/>
    <n v="58.33"/>
    <n v="41.67"/>
  </r>
  <r>
    <x v="209"/>
    <x v="13"/>
    <x v="184"/>
    <n v="1"/>
    <x v="0"/>
    <n v="14"/>
    <x v="3"/>
    <n v="141"/>
    <x v="10"/>
    <n v="1412"/>
    <x v="27"/>
    <n v="141201"/>
    <x v="45"/>
    <n v="14120106"/>
    <x v="83"/>
    <n v="141201060"/>
    <x v="0"/>
    <n v="1412010600"/>
    <x v="0"/>
    <n v="1"/>
    <s v="Ingresos corrientes"/>
    <n v="17738274829"/>
    <n v="17738274829"/>
    <n v="17738274829"/>
    <n v="0"/>
    <n v="0"/>
    <n v="7290315013.5"/>
    <n v="5550255461.0900002"/>
    <n v="4897704354.4099998"/>
    <n v="0"/>
    <n v="0"/>
    <n v="0"/>
    <n v="0"/>
    <n v="0"/>
    <n v="0"/>
    <n v="0"/>
    <n v="17738274829"/>
    <n v="0"/>
    <n v="100"/>
    <n v="0"/>
  </r>
  <r>
    <x v="210"/>
    <x v="13"/>
    <x v="185"/>
    <n v="1"/>
    <x v="0"/>
    <n v="14"/>
    <x v="3"/>
    <n v="141"/>
    <x v="10"/>
    <n v="1412"/>
    <x v="27"/>
    <n v="141201"/>
    <x v="45"/>
    <n v="14120107"/>
    <x v="84"/>
    <n v="141201070"/>
    <x v="0"/>
    <n v="1412010700"/>
    <x v="0"/>
    <n v="1"/>
    <s v="Ingresos corrientes"/>
    <n v="50000000000"/>
    <n v="50000000000"/>
    <n v="50000000000"/>
    <n v="0"/>
    <n v="4340000000"/>
    <n v="2753984431.8299999"/>
    <n v="3608000000"/>
    <n v="7000000000"/>
    <n v="4376225000"/>
    <n v="4413675000"/>
    <n v="1395454545.45"/>
    <n v="4166666666.6700001"/>
    <n v="0"/>
    <n v="0"/>
    <n v="0"/>
    <n v="32054005643.950001"/>
    <n v="17945994356.049999"/>
    <n v="64.11"/>
    <n v="35.89"/>
  </r>
  <r>
    <x v="211"/>
    <x v="13"/>
    <x v="186"/>
    <n v="1"/>
    <x v="0"/>
    <n v="14"/>
    <x v="3"/>
    <n v="141"/>
    <x v="10"/>
    <n v="1412"/>
    <x v="27"/>
    <n v="141201"/>
    <x v="45"/>
    <n v="14120108"/>
    <x v="85"/>
    <n v="141201080"/>
    <x v="0"/>
    <n v="1412010800"/>
    <x v="0"/>
    <n v="1"/>
    <s v="Ingresos corrientes"/>
    <n v="7177242240"/>
    <n v="7177242240"/>
    <n v="7177242240"/>
    <n v="0"/>
    <n v="598103520"/>
    <n v="598103520"/>
    <n v="0"/>
    <n v="598103520"/>
    <n v="0"/>
    <n v="598103520"/>
    <n v="1196207040"/>
    <n v="598103520"/>
    <n v="0"/>
    <n v="0"/>
    <n v="0"/>
    <n v="4186724640"/>
    <n v="2990517600"/>
    <n v="58.33"/>
    <n v="41.67"/>
  </r>
  <r>
    <x v="212"/>
    <x v="13"/>
    <x v="187"/>
    <n v="1"/>
    <x v="0"/>
    <n v="14"/>
    <x v="3"/>
    <n v="141"/>
    <x v="10"/>
    <n v="1412"/>
    <x v="27"/>
    <n v="141201"/>
    <x v="45"/>
    <n v="14120109"/>
    <x v="86"/>
    <n v="141201090"/>
    <x v="0"/>
    <n v="1412010900"/>
    <x v="0"/>
    <n v="1"/>
    <s v="Ingresos corrientes"/>
    <n v="3249746900"/>
    <n v="3249746900"/>
    <n v="3249746900"/>
    <n v="0"/>
    <n v="141088654"/>
    <n v="93332721"/>
    <n v="97658835"/>
    <n v="0"/>
    <n v="0"/>
    <n v="228963789.37"/>
    <n v="88760022.579999998"/>
    <n v="363162146.81"/>
    <n v="122350944.11"/>
    <n v="0"/>
    <n v="0"/>
    <n v="1135317112.8699999"/>
    <n v="2114429787.1300001"/>
    <n v="34.94"/>
    <n v="65.06"/>
  </r>
  <r>
    <x v="92"/>
    <x v="13"/>
    <x v="79"/>
    <n v="1"/>
    <x v="0"/>
    <n v="14"/>
    <x v="3"/>
    <n v="141"/>
    <x v="10"/>
    <n v="1412"/>
    <x v="27"/>
    <n v="141202"/>
    <x v="46"/>
    <n v="14120200"/>
    <x v="0"/>
    <n v="141202000"/>
    <x v="0"/>
    <n v="1412020000"/>
    <x v="0"/>
    <n v="1"/>
    <s v="Ingresos corrientes"/>
    <n v="3406883003"/>
    <n v="3406883003"/>
    <n v="3406883003"/>
    <n v="0"/>
    <n v="217659071.31999999"/>
    <n v="470824293.23000002"/>
    <n v="217313754.41999999"/>
    <n v="182322909"/>
    <n v="233001130.13"/>
    <n v="220099386.69999999"/>
    <n v="218754930.06999999"/>
    <n v="219236474.50999999"/>
    <n v="219246530.34"/>
    <n v="0"/>
    <n v="0"/>
    <n v="2198458479.7199998"/>
    <n v="1208424523.28"/>
    <n v="64.53"/>
    <n v="35.47"/>
  </r>
  <r>
    <x v="270"/>
    <x v="13"/>
    <x v="237"/>
    <n v="1"/>
    <x v="0"/>
    <n v="14"/>
    <x v="3"/>
    <n v="141"/>
    <x v="10"/>
    <n v="1412"/>
    <x v="27"/>
    <n v="141206"/>
    <x v="84"/>
    <n v="14120600"/>
    <x v="0"/>
    <n v="141206000"/>
    <x v="0"/>
    <n v="1412060000"/>
    <x v="0"/>
    <n v="1"/>
    <s v="Ingresos corrientes"/>
    <n v="663436801"/>
    <n v="663436801"/>
    <n v="663436801"/>
    <n v="0"/>
    <n v="0"/>
    <n v="0"/>
    <n v="96581448.689999998"/>
    <n v="0"/>
    <n v="0"/>
    <n v="0"/>
    <n v="0"/>
    <n v="0"/>
    <n v="0"/>
    <n v="0"/>
    <n v="0"/>
    <n v="96581448.689999998"/>
    <n v="566855352.30999994"/>
    <n v="14.56"/>
    <n v="85.44"/>
  </r>
  <r>
    <x v="94"/>
    <x v="13"/>
    <x v="81"/>
    <n v="1"/>
    <x v="0"/>
    <n v="14"/>
    <x v="3"/>
    <n v="141"/>
    <x v="10"/>
    <n v="1413"/>
    <x v="28"/>
    <n v="141301"/>
    <x v="48"/>
    <n v="14130101"/>
    <x v="38"/>
    <n v="141301010"/>
    <x v="0"/>
    <n v="1413010100"/>
    <x v="0"/>
    <n v="1"/>
    <s v="Ingresos corrientes"/>
    <n v="8000000"/>
    <n v="8000000"/>
    <n v="8000000"/>
    <n v="0"/>
    <n v="0"/>
    <n v="0"/>
    <n v="0"/>
    <n v="0"/>
    <n v="5484708"/>
    <n v="0"/>
    <n v="0"/>
    <n v="0"/>
    <n v="0"/>
    <n v="0"/>
    <n v="0"/>
    <n v="5484708"/>
    <n v="2515292"/>
    <n v="68.56"/>
    <n v="31.44"/>
  </r>
  <r>
    <x v="164"/>
    <x v="13"/>
    <x v="144"/>
    <n v="1"/>
    <x v="0"/>
    <n v="14"/>
    <x v="3"/>
    <n v="141"/>
    <x v="10"/>
    <n v="1413"/>
    <x v="28"/>
    <n v="141301"/>
    <x v="48"/>
    <n v="14130102"/>
    <x v="67"/>
    <n v="141301020"/>
    <x v="0"/>
    <n v="1413010200"/>
    <x v="0"/>
    <n v="1"/>
    <s v="Ingresos corrientes"/>
    <n v="400000"/>
    <n v="400000"/>
    <n v="400000"/>
    <n v="0"/>
    <n v="0"/>
    <n v="400000"/>
    <n v="0"/>
    <n v="0"/>
    <n v="0"/>
    <n v="0"/>
    <n v="0"/>
    <n v="0"/>
    <n v="0"/>
    <n v="0"/>
    <n v="0"/>
    <n v="400000"/>
    <n v="0"/>
    <n v="100"/>
    <n v="0"/>
  </r>
  <r>
    <x v="95"/>
    <x v="13"/>
    <x v="82"/>
    <n v="1"/>
    <x v="0"/>
    <n v="14"/>
    <x v="3"/>
    <n v="141"/>
    <x v="10"/>
    <n v="1413"/>
    <x v="28"/>
    <n v="141301"/>
    <x v="48"/>
    <n v="14130103"/>
    <x v="39"/>
    <n v="141301030"/>
    <x v="0"/>
    <n v="1413010300"/>
    <x v="0"/>
    <n v="1"/>
    <s v="Ingresos corrientes"/>
    <n v="53000000"/>
    <n v="53000000"/>
    <n v="53000000"/>
    <n v="0"/>
    <n v="0"/>
    <n v="0"/>
    <n v="0"/>
    <n v="0"/>
    <n v="0"/>
    <n v="0"/>
    <n v="0"/>
    <n v="0"/>
    <n v="0"/>
    <n v="0"/>
    <n v="0"/>
    <n v="0"/>
    <n v="53000000"/>
    <n v="0"/>
    <n v="100"/>
  </r>
  <r>
    <x v="96"/>
    <x v="13"/>
    <x v="83"/>
    <n v="1"/>
    <x v="0"/>
    <n v="14"/>
    <x v="3"/>
    <n v="141"/>
    <x v="10"/>
    <n v="1413"/>
    <x v="28"/>
    <n v="141301"/>
    <x v="48"/>
    <n v="14130104"/>
    <x v="40"/>
    <n v="141301040"/>
    <x v="0"/>
    <n v="1413010400"/>
    <x v="0"/>
    <n v="1"/>
    <s v="Ingresos corrientes"/>
    <n v="10400000"/>
    <n v="10400000"/>
    <n v="10400000"/>
    <n v="0"/>
    <n v="10400000"/>
    <n v="0"/>
    <n v="0"/>
    <n v="0"/>
    <n v="0"/>
    <n v="0"/>
    <n v="0"/>
    <n v="0"/>
    <n v="0"/>
    <n v="0"/>
    <n v="0"/>
    <n v="10400000"/>
    <n v="0"/>
    <n v="100"/>
    <n v="0"/>
  </r>
  <r>
    <x v="97"/>
    <x v="13"/>
    <x v="84"/>
    <n v="1"/>
    <x v="0"/>
    <n v="14"/>
    <x v="3"/>
    <n v="141"/>
    <x v="10"/>
    <n v="1413"/>
    <x v="28"/>
    <n v="141301"/>
    <x v="48"/>
    <n v="14130105"/>
    <x v="41"/>
    <n v="141301050"/>
    <x v="0"/>
    <n v="1413010500"/>
    <x v="0"/>
    <n v="1"/>
    <s v="Ingresos corrientes"/>
    <n v="77000000"/>
    <n v="77000000"/>
    <n v="77000000"/>
    <n v="0"/>
    <n v="0"/>
    <n v="0"/>
    <n v="0"/>
    <n v="0"/>
    <n v="0"/>
    <n v="77000000"/>
    <n v="0"/>
    <n v="0"/>
    <n v="0"/>
    <n v="0"/>
    <n v="0"/>
    <n v="77000000"/>
    <n v="0"/>
    <n v="100"/>
    <n v="0"/>
  </r>
  <r>
    <x v="165"/>
    <x v="13"/>
    <x v="145"/>
    <n v="1"/>
    <x v="0"/>
    <n v="14"/>
    <x v="3"/>
    <n v="141"/>
    <x v="10"/>
    <n v="1413"/>
    <x v="28"/>
    <n v="141301"/>
    <x v="48"/>
    <n v="14130106"/>
    <x v="68"/>
    <n v="141301060"/>
    <x v="0"/>
    <n v="1413010600"/>
    <x v="0"/>
    <n v="1"/>
    <s v="Ingresos corrientes"/>
    <n v="60500000"/>
    <n v="60500000"/>
    <n v="60500000"/>
    <n v="0"/>
    <n v="0"/>
    <n v="60500000"/>
    <n v="0"/>
    <n v="0"/>
    <n v="0"/>
    <n v="0"/>
    <n v="0"/>
    <n v="0"/>
    <n v="0"/>
    <n v="0"/>
    <n v="0"/>
    <n v="60500000"/>
    <n v="0"/>
    <n v="100"/>
    <n v="0"/>
  </r>
  <r>
    <x v="197"/>
    <x v="13"/>
    <x v="172"/>
    <n v="1"/>
    <x v="0"/>
    <n v="14"/>
    <x v="3"/>
    <n v="141"/>
    <x v="10"/>
    <n v="1413"/>
    <x v="28"/>
    <n v="141301"/>
    <x v="48"/>
    <n v="14130107"/>
    <x v="79"/>
    <n v="141301070"/>
    <x v="0"/>
    <n v="1413010700"/>
    <x v="0"/>
    <n v="1"/>
    <s v="Ingresos corrientes"/>
    <n v="94000000"/>
    <n v="94000000"/>
    <n v="94000000"/>
    <n v="0"/>
    <n v="0"/>
    <n v="94000000"/>
    <n v="0"/>
    <n v="0"/>
    <n v="0"/>
    <n v="0"/>
    <n v="0"/>
    <n v="0"/>
    <n v="0"/>
    <n v="0"/>
    <n v="0"/>
    <n v="94000000"/>
    <n v="0"/>
    <n v="100"/>
    <n v="0"/>
  </r>
  <r>
    <x v="166"/>
    <x v="13"/>
    <x v="146"/>
    <n v="1"/>
    <x v="0"/>
    <n v="14"/>
    <x v="3"/>
    <n v="141"/>
    <x v="10"/>
    <n v="1413"/>
    <x v="28"/>
    <n v="141301"/>
    <x v="48"/>
    <n v="14130109"/>
    <x v="69"/>
    <n v="141301090"/>
    <x v="0"/>
    <n v="1413010900"/>
    <x v="0"/>
    <n v="1"/>
    <s v="Ingresos corrientes"/>
    <n v="13500000"/>
    <n v="13500000"/>
    <n v="13500000"/>
    <n v="0"/>
    <n v="0"/>
    <n v="0"/>
    <n v="0"/>
    <n v="10000000"/>
    <n v="0"/>
    <n v="0"/>
    <n v="0"/>
    <n v="0"/>
    <n v="0"/>
    <n v="0"/>
    <n v="0"/>
    <n v="10000000"/>
    <n v="3500000"/>
    <n v="74.069999999999993"/>
    <n v="25.93"/>
  </r>
  <r>
    <x v="99"/>
    <x v="13"/>
    <x v="86"/>
    <n v="1"/>
    <x v="0"/>
    <n v="14"/>
    <x v="3"/>
    <n v="141"/>
    <x v="10"/>
    <n v="1413"/>
    <x v="28"/>
    <n v="141301"/>
    <x v="48"/>
    <n v="14130110"/>
    <x v="43"/>
    <n v="141301100"/>
    <x v="0"/>
    <n v="1413011000"/>
    <x v="0"/>
    <n v="1"/>
    <s v="Ingresos corrientes"/>
    <n v="70000000"/>
    <n v="70000000"/>
    <n v="70000000"/>
    <n v="0"/>
    <n v="0"/>
    <n v="0"/>
    <n v="0"/>
    <n v="70000000"/>
    <n v="0"/>
    <n v="0"/>
    <n v="0"/>
    <n v="0"/>
    <n v="0"/>
    <n v="0"/>
    <n v="0"/>
    <n v="70000000"/>
    <n v="0"/>
    <n v="100"/>
    <n v="0"/>
  </r>
  <r>
    <x v="100"/>
    <x v="13"/>
    <x v="87"/>
    <n v="1"/>
    <x v="0"/>
    <n v="14"/>
    <x v="3"/>
    <n v="141"/>
    <x v="10"/>
    <n v="1413"/>
    <x v="28"/>
    <n v="141301"/>
    <x v="48"/>
    <n v="14130111"/>
    <x v="44"/>
    <n v="141301110"/>
    <x v="0"/>
    <n v="1413011100"/>
    <x v="0"/>
    <n v="1"/>
    <s v="Ingresos corrientes"/>
    <n v="8000000"/>
    <n v="8000000"/>
    <n v="8000000"/>
    <n v="0"/>
    <n v="0"/>
    <n v="0"/>
    <n v="8000000"/>
    <n v="0"/>
    <n v="0"/>
    <n v="0"/>
    <n v="0"/>
    <n v="0"/>
    <n v="0"/>
    <n v="0"/>
    <n v="0"/>
    <n v="8000000"/>
    <n v="0"/>
    <n v="100"/>
    <n v="0"/>
  </r>
  <r>
    <x v="101"/>
    <x v="13"/>
    <x v="88"/>
    <n v="1"/>
    <x v="0"/>
    <n v="14"/>
    <x v="3"/>
    <n v="141"/>
    <x v="10"/>
    <n v="1413"/>
    <x v="28"/>
    <n v="141301"/>
    <x v="48"/>
    <n v="14130112"/>
    <x v="45"/>
    <n v="141301120"/>
    <x v="0"/>
    <n v="1413011200"/>
    <x v="0"/>
    <n v="1"/>
    <s v="Ingresos corrientes"/>
    <n v="228000000"/>
    <n v="228000000"/>
    <n v="228000000"/>
    <n v="0"/>
    <n v="0"/>
    <n v="0"/>
    <n v="0"/>
    <n v="0"/>
    <n v="0"/>
    <n v="0"/>
    <n v="0"/>
    <n v="0"/>
    <n v="0"/>
    <n v="0"/>
    <n v="0"/>
    <n v="0"/>
    <n v="228000000"/>
    <n v="0"/>
    <n v="100"/>
  </r>
  <r>
    <x v="102"/>
    <x v="13"/>
    <x v="89"/>
    <n v="1"/>
    <x v="0"/>
    <n v="14"/>
    <x v="3"/>
    <n v="141"/>
    <x v="10"/>
    <n v="1413"/>
    <x v="28"/>
    <n v="141301"/>
    <x v="48"/>
    <n v="14130113"/>
    <x v="46"/>
    <n v="141301130"/>
    <x v="0"/>
    <n v="1413011300"/>
    <x v="0"/>
    <n v="1"/>
    <s v="Ingresos corrientes"/>
    <n v="41000000"/>
    <n v="41000000"/>
    <n v="41000000"/>
    <n v="0"/>
    <n v="0"/>
    <n v="0"/>
    <n v="10250000"/>
    <n v="0"/>
    <n v="0"/>
    <n v="10250000"/>
    <n v="0"/>
    <n v="0"/>
    <n v="0"/>
    <n v="0"/>
    <n v="0"/>
    <n v="20500000"/>
    <n v="20500000"/>
    <n v="50"/>
    <n v="50"/>
  </r>
  <r>
    <x v="105"/>
    <x v="13"/>
    <x v="92"/>
    <n v="1"/>
    <x v="0"/>
    <n v="14"/>
    <x v="3"/>
    <n v="141"/>
    <x v="10"/>
    <n v="1413"/>
    <x v="28"/>
    <n v="141302"/>
    <x v="49"/>
    <n v="14130200"/>
    <x v="0"/>
    <n v="141302000"/>
    <x v="0"/>
    <n v="1413020000"/>
    <x v="0"/>
    <n v="1"/>
    <s v="Ingresos corrientes"/>
    <n v="0"/>
    <n v="0"/>
    <n v="0"/>
    <n v="0"/>
    <n v="0"/>
    <n v="0"/>
    <n v="6608472961"/>
    <n v="0"/>
    <n v="0"/>
    <n v="0"/>
    <n v="0"/>
    <n v="0"/>
    <n v="0"/>
    <n v="0"/>
    <n v="0"/>
    <n v="6608472961"/>
    <n v="-6608472961"/>
    <n v="0"/>
    <n v="100"/>
  </r>
  <r>
    <x v="167"/>
    <x v="13"/>
    <x v="147"/>
    <n v="1"/>
    <x v="0"/>
    <n v="14"/>
    <x v="3"/>
    <n v="141"/>
    <x v="10"/>
    <n v="1413"/>
    <x v="28"/>
    <n v="141303"/>
    <x v="59"/>
    <n v="14130300"/>
    <x v="0"/>
    <n v="141303000"/>
    <x v="0"/>
    <n v="1413030000"/>
    <x v="0"/>
    <n v="1"/>
    <s v="Ingresos corrientes"/>
    <n v="408853250"/>
    <n v="408853250"/>
    <n v="408853250"/>
    <n v="0"/>
    <n v="68142208.340000004"/>
    <n v="34071104.170000002"/>
    <n v="34071104.170000002"/>
    <n v="0"/>
    <n v="0"/>
    <n v="0"/>
    <n v="34071104.170000002"/>
    <n v="34071104.170000002"/>
    <n v="34071104.170000002"/>
    <n v="68142208.340000004"/>
    <n v="0"/>
    <n v="306639937.52999997"/>
    <n v="102213312.47"/>
    <n v="75"/>
    <n v="25"/>
  </r>
  <r>
    <x v="249"/>
    <x v="13"/>
    <x v="217"/>
    <n v="1"/>
    <x v="0"/>
    <n v="14"/>
    <x v="3"/>
    <n v="141"/>
    <x v="10"/>
    <n v="1413"/>
    <x v="28"/>
    <n v="141304"/>
    <x v="74"/>
    <n v="14130400"/>
    <x v="0"/>
    <n v="141304000"/>
    <x v="0"/>
    <n v="1413040000"/>
    <x v="0"/>
    <n v="1"/>
    <s v="Ingresos corrientes"/>
    <n v="445975578"/>
    <n v="445975578"/>
    <n v="445975578"/>
    <n v="0"/>
    <n v="0"/>
    <n v="0"/>
    <n v="0"/>
    <n v="412936131"/>
    <n v="0"/>
    <n v="0"/>
    <n v="0"/>
    <n v="0"/>
    <n v="0"/>
    <n v="0"/>
    <n v="0"/>
    <n v="412936131"/>
    <n v="33039447"/>
    <n v="92.59"/>
    <n v="7.41"/>
  </r>
  <r>
    <x v="290"/>
    <x v="13"/>
    <x v="255"/>
    <n v="1"/>
    <x v="0"/>
    <n v="14"/>
    <x v="3"/>
    <n v="141"/>
    <x v="10"/>
    <n v="1413"/>
    <x v="28"/>
    <n v="141306"/>
    <x v="94"/>
    <n v="14130600"/>
    <x v="0"/>
    <n v="141306000"/>
    <x v="0"/>
    <n v="1413060000"/>
    <x v="0"/>
    <n v="1"/>
    <s v="Ingresos corrientes"/>
    <n v="15000000"/>
    <n v="15000000"/>
    <n v="15000000"/>
    <n v="0"/>
    <n v="0"/>
    <n v="0"/>
    <n v="0"/>
    <n v="0"/>
    <n v="0"/>
    <n v="0"/>
    <n v="0"/>
    <n v="0"/>
    <n v="0"/>
    <n v="0"/>
    <n v="0"/>
    <n v="0"/>
    <n v="15000000"/>
    <n v="0"/>
    <n v="100"/>
  </r>
  <r>
    <x v="106"/>
    <x v="13"/>
    <x v="93"/>
    <n v="1"/>
    <x v="0"/>
    <n v="14"/>
    <x v="3"/>
    <n v="141"/>
    <x v="10"/>
    <n v="1414"/>
    <x v="29"/>
    <n v="141401"/>
    <x v="50"/>
    <n v="14140100"/>
    <x v="0"/>
    <n v="141401000"/>
    <x v="0"/>
    <n v="1414010000"/>
    <x v="0"/>
    <n v="1"/>
    <s v="Ingresos corrientes"/>
    <n v="1160000000"/>
    <n v="1160000000"/>
    <n v="1160000000"/>
    <n v="32827763.25"/>
    <n v="35391690.479999997"/>
    <n v="50091939.43"/>
    <n v="120457976.40000001"/>
    <n v="82315762.650000006"/>
    <n v="60186704.880000003"/>
    <n v="62003087.32"/>
    <n v="42513758.909999996"/>
    <n v="45840667.409999996"/>
    <n v="116945785.59"/>
    <n v="61621187.039999999"/>
    <n v="0"/>
    <n v="710196323.36000001"/>
    <n v="449803676.63999999"/>
    <n v="61.22"/>
    <n v="38.78"/>
  </r>
  <r>
    <x v="107"/>
    <x v="13"/>
    <x v="94"/>
    <n v="1"/>
    <x v="0"/>
    <n v="14"/>
    <x v="3"/>
    <n v="141"/>
    <x v="10"/>
    <n v="1415"/>
    <x v="30"/>
    <n v="141501"/>
    <x v="51"/>
    <n v="14150101"/>
    <x v="47"/>
    <n v="141501010"/>
    <x v="0"/>
    <n v="1415010100"/>
    <x v="0"/>
    <n v="1"/>
    <s v="Ingresos corrientes"/>
    <n v="217700000"/>
    <n v="217700000"/>
    <n v="217700000"/>
    <n v="0"/>
    <n v="0"/>
    <n v="0"/>
    <n v="130000000"/>
    <n v="0"/>
    <n v="0"/>
    <n v="0"/>
    <n v="0"/>
    <n v="0"/>
    <n v="0"/>
    <n v="0"/>
    <n v="0"/>
    <n v="130000000"/>
    <n v="87700000"/>
    <n v="59.72"/>
    <n v="40.28"/>
  </r>
  <r>
    <x v="108"/>
    <x v="13"/>
    <x v="95"/>
    <n v="1"/>
    <x v="0"/>
    <n v="14"/>
    <x v="3"/>
    <n v="141"/>
    <x v="10"/>
    <n v="1415"/>
    <x v="30"/>
    <n v="141501"/>
    <x v="51"/>
    <n v="14150102"/>
    <x v="48"/>
    <n v="141501020"/>
    <x v="0"/>
    <n v="1415010200"/>
    <x v="0"/>
    <n v="1"/>
    <s v="Ingresos corrientes"/>
    <n v="349900000"/>
    <n v="349900000"/>
    <n v="349900000"/>
    <n v="0"/>
    <n v="0"/>
    <n v="0"/>
    <n v="0"/>
    <n v="0"/>
    <n v="0"/>
    <n v="0"/>
    <n v="0"/>
    <n v="0"/>
    <n v="0"/>
    <n v="0"/>
    <n v="0"/>
    <n v="0"/>
    <n v="349900000"/>
    <n v="0"/>
    <n v="100"/>
  </r>
  <r>
    <x v="109"/>
    <x v="13"/>
    <x v="96"/>
    <n v="1"/>
    <x v="0"/>
    <n v="14"/>
    <x v="3"/>
    <n v="141"/>
    <x v="10"/>
    <n v="1415"/>
    <x v="30"/>
    <n v="141501"/>
    <x v="51"/>
    <n v="14150103"/>
    <x v="49"/>
    <n v="141501030"/>
    <x v="0"/>
    <n v="1415010300"/>
    <x v="0"/>
    <n v="1"/>
    <s v="Ingresos corrientes"/>
    <n v="51300000"/>
    <n v="51300000"/>
    <n v="51300000"/>
    <n v="0"/>
    <n v="0"/>
    <n v="0"/>
    <n v="0"/>
    <n v="0"/>
    <n v="51300000"/>
    <n v="0"/>
    <n v="0"/>
    <n v="0"/>
    <n v="0"/>
    <n v="0"/>
    <n v="0"/>
    <n v="51300000"/>
    <n v="0"/>
    <n v="100"/>
    <n v="0"/>
  </r>
  <r>
    <x v="110"/>
    <x v="13"/>
    <x v="97"/>
    <n v="1"/>
    <x v="0"/>
    <n v="14"/>
    <x v="3"/>
    <n v="141"/>
    <x v="10"/>
    <n v="1415"/>
    <x v="30"/>
    <n v="141501"/>
    <x v="51"/>
    <n v="14150104"/>
    <x v="50"/>
    <n v="141501040"/>
    <x v="0"/>
    <n v="1415010400"/>
    <x v="0"/>
    <n v="1"/>
    <s v="Ingresos corrientes"/>
    <n v="42200000"/>
    <n v="42200000"/>
    <n v="42200000"/>
    <n v="0"/>
    <n v="0"/>
    <n v="0"/>
    <n v="0"/>
    <n v="0"/>
    <n v="0"/>
    <n v="0"/>
    <n v="0"/>
    <n v="0"/>
    <n v="0"/>
    <n v="0"/>
    <n v="0"/>
    <n v="0"/>
    <n v="42200000"/>
    <n v="0"/>
    <n v="100"/>
  </r>
  <r>
    <x v="111"/>
    <x v="13"/>
    <x v="98"/>
    <n v="1"/>
    <x v="0"/>
    <n v="14"/>
    <x v="3"/>
    <n v="141"/>
    <x v="10"/>
    <n v="1415"/>
    <x v="30"/>
    <n v="141501"/>
    <x v="51"/>
    <n v="14150105"/>
    <x v="51"/>
    <n v="141501050"/>
    <x v="0"/>
    <n v="1415010500"/>
    <x v="0"/>
    <n v="1"/>
    <s v="Ingresos corrientes"/>
    <n v="35300000"/>
    <n v="35300000"/>
    <n v="35300000"/>
    <n v="0"/>
    <n v="0"/>
    <n v="0"/>
    <n v="0"/>
    <n v="0"/>
    <n v="0"/>
    <n v="0"/>
    <n v="0"/>
    <n v="0"/>
    <n v="0"/>
    <n v="0"/>
    <n v="0"/>
    <n v="0"/>
    <n v="35300000"/>
    <n v="0"/>
    <n v="100"/>
  </r>
  <r>
    <x v="218"/>
    <x v="13"/>
    <x v="189"/>
    <n v="1"/>
    <x v="0"/>
    <n v="14"/>
    <x v="3"/>
    <n v="141"/>
    <x v="10"/>
    <n v="1415"/>
    <x v="30"/>
    <n v="141501"/>
    <x v="51"/>
    <n v="14150106"/>
    <x v="90"/>
    <n v="141501060"/>
    <x v="0"/>
    <n v="1415010600"/>
    <x v="0"/>
    <n v="1"/>
    <s v="Ingresos corrientes"/>
    <n v="17300000"/>
    <n v="17300000"/>
    <n v="17300000"/>
    <n v="0"/>
    <n v="0"/>
    <n v="0"/>
    <n v="0"/>
    <n v="0"/>
    <n v="0"/>
    <n v="0"/>
    <n v="0"/>
    <n v="0"/>
    <n v="0"/>
    <n v="0"/>
    <n v="0"/>
    <n v="0"/>
    <n v="17300000"/>
    <n v="0"/>
    <n v="100"/>
  </r>
  <r>
    <x v="350"/>
    <x v="13"/>
    <x v="315"/>
    <n v="1"/>
    <x v="0"/>
    <n v="14"/>
    <x v="3"/>
    <n v="141"/>
    <x v="10"/>
    <n v="1415"/>
    <x v="30"/>
    <n v="141504"/>
    <x v="124"/>
    <n v="14150400"/>
    <x v="0"/>
    <n v="141504000"/>
    <x v="0"/>
    <n v="1415040000"/>
    <x v="0"/>
    <n v="1"/>
    <s v="Ingresos corrientes"/>
    <n v="0"/>
    <n v="15955943820"/>
    <n v="15955943820"/>
    <n v="0"/>
    <n v="0"/>
    <n v="0"/>
    <n v="0"/>
    <n v="1040700900"/>
    <n v="7899389868"/>
    <n v="5975706221"/>
    <n v="1040146831"/>
    <n v="0"/>
    <n v="0"/>
    <n v="0"/>
    <n v="0"/>
    <n v="15955943820"/>
    <n v="0"/>
    <n v="100"/>
    <n v="0"/>
  </r>
  <r>
    <x v="168"/>
    <x v="13"/>
    <x v="148"/>
    <n v="1"/>
    <x v="0"/>
    <n v="14"/>
    <x v="3"/>
    <n v="141"/>
    <x v="10"/>
    <n v="1416"/>
    <x v="31"/>
    <n v="141601"/>
    <x v="51"/>
    <n v="14160101"/>
    <x v="70"/>
    <n v="141601010"/>
    <x v="0"/>
    <n v="1416010100"/>
    <x v="0"/>
    <n v="1"/>
    <s v="Ingresos corrientes"/>
    <n v="903300000"/>
    <n v="903300000"/>
    <n v="903300000"/>
    <n v="607500000"/>
    <n v="0"/>
    <n v="0"/>
    <n v="0"/>
    <n v="0"/>
    <n v="0"/>
    <n v="0"/>
    <n v="0"/>
    <n v="0"/>
    <n v="0"/>
    <n v="0"/>
    <n v="0"/>
    <n v="607500000"/>
    <n v="295800000"/>
    <n v="67.25"/>
    <n v="32.75"/>
  </r>
  <r>
    <x v="170"/>
    <x v="13"/>
    <x v="150"/>
    <n v="1"/>
    <x v="0"/>
    <n v="14"/>
    <x v="3"/>
    <n v="141"/>
    <x v="10"/>
    <n v="1416"/>
    <x v="31"/>
    <n v="141601"/>
    <x v="51"/>
    <n v="14160103"/>
    <x v="72"/>
    <n v="141601030"/>
    <x v="0"/>
    <n v="1416010300"/>
    <x v="0"/>
    <n v="1"/>
    <s v="Ingresos corrientes"/>
    <n v="1375500000"/>
    <n v="1375500000"/>
    <n v="1375500000"/>
    <n v="0"/>
    <n v="0"/>
    <n v="0"/>
    <n v="0"/>
    <n v="0"/>
    <n v="0"/>
    <n v="0"/>
    <n v="0"/>
    <n v="0"/>
    <n v="0"/>
    <n v="0"/>
    <n v="0"/>
    <n v="0"/>
    <n v="1375500000"/>
    <n v="0"/>
    <n v="100"/>
  </r>
  <r>
    <x v="171"/>
    <x v="13"/>
    <x v="151"/>
    <n v="1"/>
    <x v="0"/>
    <n v="14"/>
    <x v="3"/>
    <n v="141"/>
    <x v="10"/>
    <n v="1416"/>
    <x v="31"/>
    <n v="141601"/>
    <x v="51"/>
    <n v="14160104"/>
    <x v="73"/>
    <n v="141601040"/>
    <x v="0"/>
    <n v="1416010400"/>
    <x v="0"/>
    <n v="1"/>
    <s v="Ingresos corrientes"/>
    <n v="22500000"/>
    <n v="22500000"/>
    <n v="22500000"/>
    <n v="0"/>
    <n v="0"/>
    <n v="0"/>
    <n v="0"/>
    <n v="0"/>
    <n v="22500000"/>
    <n v="0"/>
    <n v="0"/>
    <n v="0"/>
    <n v="0"/>
    <n v="0"/>
    <n v="0"/>
    <n v="22500000"/>
    <n v="0"/>
    <n v="100"/>
    <n v="0"/>
  </r>
  <r>
    <x v="198"/>
    <x v="13"/>
    <x v="173"/>
    <n v="1"/>
    <x v="0"/>
    <n v="14"/>
    <x v="3"/>
    <n v="141"/>
    <x v="10"/>
    <n v="1416"/>
    <x v="31"/>
    <n v="141601"/>
    <x v="51"/>
    <n v="14160106"/>
    <x v="80"/>
    <n v="141601060"/>
    <x v="0"/>
    <n v="1416010600"/>
    <x v="0"/>
    <n v="1"/>
    <s v="Ingresos corrientes"/>
    <n v="28200000"/>
    <n v="28200000"/>
    <n v="28200000"/>
    <n v="0"/>
    <n v="0"/>
    <n v="0"/>
    <n v="51300000"/>
    <n v="0"/>
    <n v="-51300000"/>
    <n v="0"/>
    <n v="28200000"/>
    <n v="0"/>
    <n v="0"/>
    <n v="0"/>
    <n v="0"/>
    <n v="28200000"/>
    <n v="0"/>
    <n v="100"/>
    <n v="0"/>
  </r>
  <r>
    <x v="339"/>
    <x v="13"/>
    <x v="303"/>
    <n v="1"/>
    <x v="0"/>
    <n v="14"/>
    <x v="3"/>
    <n v="141"/>
    <x v="10"/>
    <n v="1416"/>
    <x v="31"/>
    <n v="141602"/>
    <x v="120"/>
    <n v="14160202"/>
    <x v="120"/>
    <n v="141602020"/>
    <x v="0"/>
    <n v="1416020200"/>
    <x v="0"/>
    <n v="1"/>
    <s v="Ingresos corrientes"/>
    <n v="3145000000"/>
    <n v="3145000000"/>
    <n v="3145000000"/>
    <n v="426933006.43000001"/>
    <n v="1551827.14"/>
    <n v="208133907.77000001"/>
    <n v="248428537.50999999"/>
    <n v="228636784.37"/>
    <n v="192166944.25999999"/>
    <n v="207312178.33000001"/>
    <n v="212247370.47999999"/>
    <n v="429338090.58999997"/>
    <n v="179188042.24000001"/>
    <n v="-5009738.3899999997"/>
    <n v="0"/>
    <n v="2328926950.73"/>
    <n v="816073049.26999998"/>
    <n v="74.05"/>
    <n v="25.95"/>
  </r>
  <r>
    <x v="341"/>
    <x v="13"/>
    <x v="305"/>
    <n v="1"/>
    <x v="0"/>
    <n v="14"/>
    <x v="3"/>
    <n v="142"/>
    <x v="11"/>
    <n v="1426"/>
    <x v="32"/>
    <n v="142600"/>
    <x v="122"/>
    <n v="14260000"/>
    <x v="0"/>
    <n v="142600000"/>
    <x v="0"/>
    <n v="1426000000"/>
    <x v="0"/>
    <n v="1"/>
    <s v="Ingresos corrientes"/>
    <n v="1105000000"/>
    <n v="1105000000"/>
    <n v="1105000000"/>
    <n v="72242355.920000002"/>
    <n v="343924165.61000001"/>
    <n v="66239475.060000002"/>
    <n v="72125011.060000002"/>
    <n v="180141649.37"/>
    <n v="169739596.03"/>
    <n v="140906056.91999999"/>
    <n v="94464415.209999993"/>
    <n v="-132505307.90000001"/>
    <n v="169604869.44"/>
    <n v="170662106.78"/>
    <n v="0"/>
    <n v="1347544393.5"/>
    <n v="-242544393.5"/>
    <n v="121.95"/>
    <n v="-21.95"/>
  </r>
  <r>
    <x v="292"/>
    <x v="13"/>
    <x v="257"/>
    <n v="1"/>
    <x v="0"/>
    <n v="14"/>
    <x v="3"/>
    <n v="143"/>
    <x v="18"/>
    <n v="1432"/>
    <x v="40"/>
    <n v="143204"/>
    <x v="96"/>
    <n v="14320400"/>
    <x v="0"/>
    <n v="143204000"/>
    <x v="0"/>
    <n v="1432040000"/>
    <x v="0"/>
    <n v="1"/>
    <s v="Ingresos corrientes"/>
    <m/>
    <n v="49634900"/>
    <n v="49634900"/>
    <n v="0"/>
    <n v="0"/>
    <n v="0"/>
    <n v="0"/>
    <n v="0"/>
    <n v="0"/>
    <n v="49634900"/>
    <n v="0"/>
    <n v="0"/>
    <n v="0"/>
    <n v="0"/>
    <n v="0"/>
    <n v="49634900"/>
    <n v="0"/>
    <n v="100"/>
    <n v="0"/>
  </r>
  <r>
    <x v="351"/>
    <x v="13"/>
    <x v="316"/>
    <n v="2"/>
    <x v="1"/>
    <n v="24"/>
    <x v="4"/>
    <n v="241"/>
    <x v="12"/>
    <n v="2413"/>
    <x v="50"/>
    <n v="241301"/>
    <x v="125"/>
    <n v="24130100"/>
    <x v="0"/>
    <n v="241301000"/>
    <x v="0"/>
    <n v="2413010000"/>
    <x v="0"/>
    <n v="60"/>
    <s v="Transferencia de capital OD"/>
    <n v="6608472961"/>
    <n v="4986046263"/>
    <n v="4986046263"/>
    <n v="0"/>
    <n v="0"/>
    <n v="0"/>
    <n v="0"/>
    <n v="0"/>
    <n v="0"/>
    <n v="0"/>
    <n v="0"/>
    <n v="0"/>
    <n v="0"/>
    <n v="0"/>
    <n v="0"/>
    <n v="0"/>
    <n v="4986046263"/>
    <n v="0"/>
    <n v="100"/>
  </r>
  <r>
    <x v="352"/>
    <x v="13"/>
    <x v="317"/>
    <n v="2"/>
    <x v="1"/>
    <n v="24"/>
    <x v="4"/>
    <n v="241"/>
    <x v="12"/>
    <n v="2416"/>
    <x v="51"/>
    <n v="241602"/>
    <x v="126"/>
    <n v="24160201"/>
    <x v="0"/>
    <n v="241602010"/>
    <x v="0"/>
    <n v="2416020100"/>
    <x v="0"/>
    <n v="60"/>
    <s v="Transferencia de capital OD"/>
    <n v="0"/>
    <n v="75000000000"/>
    <n v="75000000000"/>
    <n v="0"/>
    <n v="0"/>
    <n v="0"/>
    <n v="0"/>
    <n v="75000000000"/>
    <n v="0"/>
    <n v="0"/>
    <n v="0"/>
    <n v="0"/>
    <n v="0"/>
    <n v="0"/>
    <n v="0"/>
    <n v="75000000000"/>
    <n v="0"/>
    <n v="100"/>
    <n v="0"/>
  </r>
  <r>
    <x v="174"/>
    <x v="13"/>
    <x v="154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0"/>
    <s v="Títulos valores de deuda interna"/>
    <n v="732814048336"/>
    <n v="832814048336"/>
    <n v="832814048336"/>
    <n v="1034840383.15"/>
    <n v="5038746799.3000002"/>
    <n v="35492797993.269997"/>
    <n v="659321335.23000002"/>
    <n v="36432066915.080002"/>
    <n v="10309124624.209999"/>
    <n v="79307607457.509995"/>
    <n v="65424972114.669998"/>
    <n v="68894563028.789993"/>
    <n v="40943733877.059998"/>
    <n v="64200988785.349998"/>
    <n v="0"/>
    <n v="407738763313.62"/>
    <n v="425075285022.38"/>
    <n v="48.96"/>
    <n v="51.04"/>
  </r>
  <r>
    <x v="200"/>
    <x v="13"/>
    <x v="175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1"/>
    <s v="Títulos valores de deuda interna (Deuda Política)"/>
    <n v="9386215110"/>
    <n v="9386215110"/>
    <n v="9386215110"/>
    <n v="0"/>
    <n v="0"/>
    <n v="0"/>
    <n v="0"/>
    <n v="0"/>
    <n v="0"/>
    <n v="0"/>
    <n v="0"/>
    <n v="0"/>
    <n v="0"/>
    <n v="0"/>
    <n v="0"/>
    <n v="0"/>
    <n v="9386215110"/>
    <n v="0"/>
    <n v="100"/>
  </r>
  <r>
    <x v="254"/>
    <x v="13"/>
    <x v="221"/>
    <n v="3"/>
    <x v="2"/>
    <n v="31"/>
    <x v="6"/>
    <n v="313"/>
    <x v="15"/>
    <n v="3131"/>
    <x v="36"/>
    <n v="313101"/>
    <x v="53"/>
    <n v="31310100"/>
    <x v="0"/>
    <n v="313101000"/>
    <x v="0"/>
    <n v="3131010000"/>
    <x v="0"/>
    <n v="282"/>
    <s v="Títulos valores de deuda interna (Caja Única)"/>
    <n v="150000000000"/>
    <n v="150000000000"/>
    <n v="150000000000"/>
    <n v="0"/>
    <n v="0"/>
    <n v="0"/>
    <n v="0"/>
    <n v="0"/>
    <n v="0"/>
    <n v="0"/>
    <n v="0"/>
    <n v="0"/>
    <n v="0"/>
    <n v="0"/>
    <n v="0"/>
    <n v="0"/>
    <n v="150000000000"/>
    <n v="0"/>
    <n v="100"/>
  </r>
  <r>
    <x v="175"/>
    <x v="13"/>
    <x v="155"/>
    <n v="3"/>
    <x v="2"/>
    <n v="31"/>
    <x v="6"/>
    <n v="313"/>
    <x v="15"/>
    <n v="3131"/>
    <x v="36"/>
    <n v="313102"/>
    <x v="60"/>
    <n v="31310200"/>
    <x v="0"/>
    <n v="313102000"/>
    <x v="0"/>
    <n v="3131020000"/>
    <x v="0"/>
    <n v="280"/>
    <s v="Títulos valores de deuda interna"/>
    <n v="4152612940568"/>
    <n v="3573494378132.75"/>
    <n v="3573494378132.75"/>
    <n v="163290753746.62"/>
    <n v="170882748045.14999"/>
    <n v="207723215026.19"/>
    <n v="60645899880.93"/>
    <n v="29819375683.869999"/>
    <n v="100669245573"/>
    <n v="316261855727.66998"/>
    <n v="203455500503.07001"/>
    <n v="507647469646.67999"/>
    <n v="276654675596.79999"/>
    <n v="191758836932.35999"/>
    <n v="0"/>
    <n v="2228809576362.3398"/>
    <n v="1344684801770.4099"/>
    <n v="62.37"/>
    <n v="37.630000000000003"/>
  </r>
  <r>
    <x v="201"/>
    <x v="13"/>
    <x v="176"/>
    <n v="3"/>
    <x v="2"/>
    <n v="32"/>
    <x v="7"/>
    <n v="321"/>
    <x v="16"/>
    <n v="3211"/>
    <x v="37"/>
    <n v="321101"/>
    <x v="54"/>
    <n v="32110104"/>
    <x v="0"/>
    <n v="321101040"/>
    <x v="0"/>
    <n v="3211010400"/>
    <x v="0"/>
    <n v="453"/>
    <s v="Crédito BCIE 1709, Ley N° 8685 Programa de Gestión Integrada de Recursos Hídricos"/>
    <n v="0"/>
    <n v="1795787361.1300001"/>
    <n v="0"/>
    <n v="0"/>
    <n v="0"/>
    <n v="0"/>
    <n v="0"/>
    <n v="0"/>
    <n v="0"/>
    <n v="0"/>
    <n v="0"/>
    <n v="0"/>
    <n v="0"/>
    <n v="0"/>
    <n v="0"/>
    <n v="0"/>
    <n v="1795787361.1300001"/>
    <n v="0"/>
    <n v="100"/>
  </r>
  <r>
    <x v="342"/>
    <x v="13"/>
    <x v="307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454"/>
    <s v="Crédito BCIE 2198 Programa de Alcantarillado y Con trol de Inundaciones para Limón, autorizado median te Ley No.9690 del 27 de junio del 2019"/>
    <n v="0"/>
    <n v="32074736400"/>
    <n v="298605000"/>
    <n v="0"/>
    <n v="0"/>
    <n v="0"/>
    <n v="0"/>
    <n v="0"/>
    <n v="0"/>
    <n v="0"/>
    <n v="298605000"/>
    <n v="0"/>
    <n v="0"/>
    <n v="0"/>
    <n v="0"/>
    <n v="298605000"/>
    <n v="31776131400"/>
    <n v="0.93"/>
    <n v="99.07"/>
  </r>
  <r>
    <x v="295"/>
    <x v="13"/>
    <x v="259"/>
    <n v="3"/>
    <x v="2"/>
    <n v="32"/>
    <x v="7"/>
    <n v="321"/>
    <x v="16"/>
    <n v="3211"/>
    <x v="37"/>
    <n v="321101"/>
    <x v="54"/>
    <n v="32110105"/>
    <x v="0"/>
    <n v="321101050"/>
    <x v="0"/>
    <n v="3211010500"/>
    <x v="0"/>
    <n v="513"/>
    <s v="Crédito BCIE-2157, Ley 9327 Proyecto de Mercado Regional Mayorista de la Región Chorotega"/>
    <n v="0"/>
    <n v="2003121168.4400001"/>
    <n v="0"/>
    <n v="0"/>
    <n v="0"/>
    <n v="0"/>
    <n v="0"/>
    <n v="0"/>
    <n v="0"/>
    <n v="0"/>
    <n v="0"/>
    <n v="0"/>
    <n v="0"/>
    <n v="0"/>
    <n v="0"/>
    <n v="0"/>
    <n v="2003121168.4400001"/>
    <n v="0"/>
    <n v="100"/>
  </r>
  <r>
    <x v="221"/>
    <x v="13"/>
    <x v="190"/>
    <n v="3"/>
    <x v="2"/>
    <n v="32"/>
    <x v="7"/>
    <n v="321"/>
    <x v="16"/>
    <n v="3211"/>
    <x v="37"/>
    <n v="321102"/>
    <x v="55"/>
    <n v="32110215"/>
    <x v="0"/>
    <n v="321102150"/>
    <x v="0"/>
    <n v="3211021500"/>
    <x v="0"/>
    <n v="504"/>
    <s v="Crédito BID 2007/-OC-CR, Ley N° 8845 Programa de Infraestructura Vial (PIVI) "/>
    <n v="0"/>
    <n v="5579019748.1999998"/>
    <n v="0"/>
    <n v="0"/>
    <n v="0"/>
    <n v="0"/>
    <n v="0"/>
    <n v="0"/>
    <n v="0"/>
    <n v="0"/>
    <n v="0"/>
    <n v="0"/>
    <n v="0"/>
    <n v="0"/>
    <n v="0"/>
    <n v="0"/>
    <n v="5579019748.1999998"/>
    <n v="0"/>
    <n v="100"/>
  </r>
  <r>
    <x v="241"/>
    <x v="13"/>
    <x v="209"/>
    <n v="3"/>
    <x v="2"/>
    <n v="32"/>
    <x v="7"/>
    <n v="321"/>
    <x v="16"/>
    <n v="3211"/>
    <x v="37"/>
    <n v="321102"/>
    <x v="55"/>
    <n v="32110218"/>
    <x v="0"/>
    <n v="321102180"/>
    <x v="0"/>
    <n v="3211021800"/>
    <x v="0"/>
    <n v="507"/>
    <s v="Crédito BID 2526/OC-CR, Ley N° 9025 Programa para la Prevención de la Violencia y Promoción de la Inclusión Social}"/>
    <n v="0"/>
    <n v="93466517.420000002"/>
    <n v="0"/>
    <n v="0"/>
    <n v="0"/>
    <n v="0"/>
    <n v="0"/>
    <n v="0"/>
    <n v="0"/>
    <n v="0"/>
    <n v="0"/>
    <n v="0"/>
    <n v="0"/>
    <n v="0"/>
    <n v="0"/>
    <n v="0"/>
    <n v="93466517.420000002"/>
    <n v="0"/>
    <n v="100"/>
  </r>
  <r>
    <x v="264"/>
    <x v="13"/>
    <x v="231"/>
    <n v="3"/>
    <x v="2"/>
    <n v="32"/>
    <x v="7"/>
    <n v="321"/>
    <x v="16"/>
    <n v="3211"/>
    <x v="37"/>
    <n v="321102"/>
    <x v="55"/>
    <n v="32110219"/>
    <x v="0"/>
    <n v="321102190"/>
    <x v="0"/>
    <n v="3211021900"/>
    <x v="0"/>
    <n v="508"/>
    <s v="Crédito BID Nº 2852/OC-CR-Programa de Innovación y Capital Humano para la Competitividad, Ley N° 9218"/>
    <n v="0"/>
    <n v="11874890347.629999"/>
    <n v="1210335244.3"/>
    <n v="16745645.77"/>
    <n v="98728110.370000005"/>
    <n v="235787814.00999999"/>
    <n v="259205697.72"/>
    <n v="182831257.37"/>
    <n v="55609818.170000002"/>
    <n v="68677393.159999996"/>
    <n v="81835764.859999999"/>
    <n v="99351154.969999999"/>
    <n v="111562587.90000001"/>
    <n v="0"/>
    <n v="0"/>
    <n v="1210335244.3"/>
    <n v="10664555103.33"/>
    <n v="10.19"/>
    <n v="89.81"/>
  </r>
  <r>
    <x v="278"/>
    <x v="13"/>
    <x v="245"/>
    <n v="3"/>
    <x v="2"/>
    <n v="32"/>
    <x v="7"/>
    <n v="321"/>
    <x v="16"/>
    <n v="3211"/>
    <x v="37"/>
    <n v="321102"/>
    <x v="55"/>
    <n v="32110220"/>
    <x v="0"/>
    <n v="321102200"/>
    <x v="0"/>
    <n v="3211022000"/>
    <x v="0"/>
    <n v="509"/>
    <s v="Crédito BID N° 3071/OC-CR-Programa de Infraestructura de Transporte (PIT) Ley N° 9283"/>
    <n v="0"/>
    <n v="139170700000"/>
    <n v="0"/>
    <n v="0"/>
    <n v="0"/>
    <n v="0"/>
    <n v="0"/>
    <n v="0"/>
    <n v="0"/>
    <n v="0"/>
    <n v="0"/>
    <n v="0"/>
    <n v="0"/>
    <n v="0"/>
    <n v="0"/>
    <n v="0"/>
    <n v="139170700000"/>
    <n v="0"/>
    <n v="100"/>
  </r>
  <r>
    <x v="279"/>
    <x v="13"/>
    <x v="246"/>
    <n v="3"/>
    <x v="2"/>
    <n v="32"/>
    <x v="7"/>
    <n v="321"/>
    <x v="16"/>
    <n v="3211"/>
    <x v="37"/>
    <n v="321102"/>
    <x v="55"/>
    <n v="32110221"/>
    <x v="0"/>
    <n v="321102210"/>
    <x v="0"/>
    <n v="3211022100"/>
    <x v="0"/>
    <n v="510"/>
    <s v="Crédito BID N° 3072/CH-CR-Programa de Infraestructura de Transporte (PIT) Ley N° 9283"/>
    <n v="0"/>
    <n v="30254500000"/>
    <n v="0"/>
    <n v="0"/>
    <n v="0"/>
    <n v="0"/>
    <n v="0"/>
    <n v="0"/>
    <n v="0"/>
    <n v="0"/>
    <n v="0"/>
    <n v="0"/>
    <n v="0"/>
    <n v="0"/>
    <n v="0"/>
    <n v="0"/>
    <n v="30254500000"/>
    <n v="0"/>
    <n v="100"/>
  </r>
  <r>
    <x v="320"/>
    <x v="13"/>
    <x v="283"/>
    <n v="3"/>
    <x v="2"/>
    <n v="32"/>
    <x v="7"/>
    <n v="321"/>
    <x v="16"/>
    <n v="3211"/>
    <x v="37"/>
    <n v="321102"/>
    <x v="55"/>
    <n v="32110222"/>
    <x v="0"/>
    <n v="321102220"/>
    <x v="0"/>
    <n v="3211022200"/>
    <x v="0"/>
    <n v="515"/>
    <s v="Crédito BID N°3488/OC-CR-Programa de Integración Fronteriza (PIF) Ley N°9451"/>
    <n v="0"/>
    <n v="58798699500.449997"/>
    <n v="711657371.60000002"/>
    <n v="31100941.18"/>
    <n v="48485477.25"/>
    <n v="51794879.039999999"/>
    <n v="67168458.209999993"/>
    <n v="69408364.459999993"/>
    <n v="111454816.41"/>
    <n v="77757931.980000004"/>
    <n v="57890057.450000003"/>
    <n v="101498928.73"/>
    <n v="95097516.890000001"/>
    <n v="0"/>
    <n v="0"/>
    <n v="711657371.60000002"/>
    <n v="58087042128.849998"/>
    <n v="1.21"/>
    <n v="98.79"/>
  </r>
  <r>
    <x v="321"/>
    <x v="13"/>
    <x v="284"/>
    <n v="3"/>
    <x v="2"/>
    <n v="32"/>
    <x v="7"/>
    <n v="321"/>
    <x v="16"/>
    <n v="3211"/>
    <x v="37"/>
    <n v="321102"/>
    <x v="55"/>
    <n v="32110223"/>
    <x v="0"/>
    <n v="321102230"/>
    <x v="0"/>
    <n v="3211022300"/>
    <x v="0"/>
    <n v="516"/>
    <s v="Crédito BID Nº4433/OC-CR Programa de Emergencias en Respuesta a la Tormenta Tropical Nate Ley N°9595"/>
    <n v="0"/>
    <n v="535478800"/>
    <n v="0"/>
    <n v="0"/>
    <n v="0"/>
    <n v="0"/>
    <n v="0"/>
    <n v="0"/>
    <n v="0"/>
    <n v="0"/>
    <n v="0"/>
    <n v="0"/>
    <n v="0"/>
    <n v="0"/>
    <n v="0"/>
    <n v="0"/>
    <n v="535478800"/>
    <n v="0"/>
    <n v="100"/>
  </r>
  <r>
    <x v="322"/>
    <x v="13"/>
    <x v="285"/>
    <n v="3"/>
    <x v="2"/>
    <n v="32"/>
    <x v="7"/>
    <n v="321"/>
    <x v="16"/>
    <n v="3211"/>
    <x v="37"/>
    <n v="321102"/>
    <x v="55"/>
    <n v="32110224"/>
    <x v="0"/>
    <n v="321102240"/>
    <x v="0"/>
    <n v="3211022400"/>
    <x v="0"/>
    <n v="517"/>
    <s v="Crédito BID N° 4507/OC-CR Programa Red Vial Cantonal II (PIV2) Ley N° 8982"/>
    <n v="0"/>
    <n v="81373344448.759995"/>
    <n v="9587673499.3199997"/>
    <n v="0"/>
    <n v="505298839.68000001"/>
    <n v="1808256564.49"/>
    <n v="923556566.13999999"/>
    <n v="534407160.58999997"/>
    <n v="806065291.17999995"/>
    <n v="600511756.27999997"/>
    <n v="1276402568.5599999"/>
    <n v="720999632.87"/>
    <n v="2412175119.5300002"/>
    <n v="0"/>
    <n v="0"/>
    <n v="9587673499.3199997"/>
    <n v="71785670949.440002"/>
    <n v="11.78"/>
    <n v="88.22"/>
  </r>
  <r>
    <x v="343"/>
    <x v="13"/>
    <x v="308"/>
    <n v="3"/>
    <x v="2"/>
    <n v="32"/>
    <x v="7"/>
    <n v="321"/>
    <x v="16"/>
    <n v="3211"/>
    <x v="37"/>
    <n v="321102"/>
    <x v="55"/>
    <n v="32110225"/>
    <x v="0"/>
    <n v="321102250"/>
    <x v="0"/>
    <n v="3211022500"/>
    <x v="0"/>
    <n v="518"/>
    <s v="Crédito BID N° 4819/OC-CR Programa de Apoyo a la Sostenibilidad Fiscal Ley N° 9754"/>
    <n v="0"/>
    <n v="57200709693"/>
    <n v="57200709693"/>
    <n v="0"/>
    <n v="19820830917.369999"/>
    <n v="37379878775.629997"/>
    <n v="0"/>
    <n v="0"/>
    <n v="0"/>
    <n v="0"/>
    <n v="0"/>
    <n v="0"/>
    <n v="0"/>
    <n v="0"/>
    <n v="0"/>
    <n v="57200709693"/>
    <n v="0"/>
    <n v="100"/>
    <n v="0"/>
  </r>
  <r>
    <x v="353"/>
    <x v="13"/>
    <x v="318"/>
    <n v="3"/>
    <x v="2"/>
    <n v="32"/>
    <x v="7"/>
    <n v="321"/>
    <x v="16"/>
    <n v="3211"/>
    <x v="37"/>
    <n v="321102"/>
    <x v="55"/>
    <n v="32110226"/>
    <x v="122"/>
    <n v="321102260"/>
    <x v="44"/>
    <n v="3211022600"/>
    <x v="4"/>
    <n v="519"/>
    <s v="Crédito BID N.°4988/OC-CR Programa hacia una Economía Verde: Apoyo al Plan de Descarbonización de Costa Rica. Ley Nº 9846"/>
    <n v="0"/>
    <n v="131612900000"/>
    <n v="44202103927.940002"/>
    <n v="0"/>
    <n v="0"/>
    <n v="0"/>
    <n v="0"/>
    <n v="0"/>
    <n v="0"/>
    <n v="0"/>
    <n v="0"/>
    <n v="14462154300.610001"/>
    <n v="29739949627.330002"/>
    <n v="0"/>
    <n v="0"/>
    <n v="44202103927.940002"/>
    <n v="87410796072.059998"/>
    <n v="33.58"/>
    <n v="66.42"/>
  </r>
  <r>
    <x v="300"/>
    <x v="13"/>
    <x v="264"/>
    <n v="3"/>
    <x v="2"/>
    <n v="32"/>
    <x v="7"/>
    <n v="321"/>
    <x v="16"/>
    <n v="3211"/>
    <x v="37"/>
    <n v="321103"/>
    <x v="56"/>
    <n v="32110302"/>
    <x v="0"/>
    <n v="321103020"/>
    <x v="0"/>
    <n v="3211030200"/>
    <x v="0"/>
    <n v="514"/>
    <s v="Crédito BIRF 8593-CR, Ley No 9396, Programa por Resultados para el Fortalecimiento del Seguro Universal de Salud en Costa Rica"/>
    <n v="0"/>
    <n v="67904700000"/>
    <n v="60216050000"/>
    <n v="0"/>
    <n v="0"/>
    <n v="0"/>
    <n v="0"/>
    <n v="28519000000"/>
    <n v="31697050000"/>
    <n v="0"/>
    <n v="0"/>
    <n v="0"/>
    <n v="0"/>
    <n v="0"/>
    <n v="0"/>
    <n v="60216050000"/>
    <n v="7688650000"/>
    <n v="88.68"/>
    <n v="11.32"/>
  </r>
  <r>
    <x v="256"/>
    <x v="13"/>
    <x v="223"/>
    <n v="3"/>
    <x v="2"/>
    <n v="32"/>
    <x v="7"/>
    <n v="321"/>
    <x v="16"/>
    <n v="3211"/>
    <x v="37"/>
    <n v="321103"/>
    <x v="56"/>
    <n v="32110307"/>
    <x v="0"/>
    <n v="321103070"/>
    <x v="0"/>
    <n v="3211030700"/>
    <x v="0"/>
    <n v="538"/>
    <s v="Crédifo BIRF N° 8194-CR para el Proyecto de Mejoramiento de la Educación Superior"/>
    <n v="0"/>
    <n v="471934547.75"/>
    <n v="0"/>
    <n v="0"/>
    <n v="0"/>
    <n v="0"/>
    <n v="0"/>
    <n v="0"/>
    <n v="0"/>
    <n v="0"/>
    <n v="0"/>
    <n v="0"/>
    <n v="0"/>
    <n v="0"/>
    <n v="0"/>
    <n v="0"/>
    <n v="471934547.75"/>
    <n v="0"/>
    <n v="100"/>
  </r>
  <r>
    <x v="224"/>
    <x v="13"/>
    <x v="193"/>
    <n v="3"/>
    <x v="2"/>
    <n v="32"/>
    <x v="7"/>
    <n v="321"/>
    <x v="16"/>
    <n v="3211"/>
    <x v="37"/>
    <n v="321109"/>
    <x v="68"/>
    <n v="32110901"/>
    <x v="0"/>
    <n v="321109010"/>
    <x v="0"/>
    <n v="3211090100"/>
    <x v="0"/>
    <n v="650"/>
    <s v="Crédito Banco Japonés de Cooperación Internacional CR-P4, Ley N° 8559 Proyecto de Mejoramiento del Medio Ambiente del Area Metropolitana de San José"/>
    <n v="0"/>
    <n v="754868880.95000005"/>
    <n v="506672837.48000002"/>
    <n v="0"/>
    <n v="0"/>
    <n v="313644825"/>
    <n v="193028012.47999999"/>
    <n v="0"/>
    <n v="0"/>
    <n v="0"/>
    <n v="0"/>
    <n v="0"/>
    <n v="0"/>
    <n v="0"/>
    <n v="0"/>
    <n v="506672837.48000002"/>
    <n v="248196043.47"/>
    <n v="67.12"/>
    <n v="32.880000000000003"/>
  </r>
  <r>
    <x v="354"/>
    <x v="13"/>
    <x v="319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1"/>
    <s v="Contrato Préstamo para financiar el Programa de Apoyo para el Fortalecimiento de las Finanzas Públicas"/>
    <n v="0"/>
    <n v="290710000000"/>
    <n v="290663994583.40002"/>
    <n v="0"/>
    <n v="0"/>
    <n v="0"/>
    <n v="0"/>
    <n v="31390875000"/>
    <n v="147173742242.17001"/>
    <n v="14582501403.790001"/>
    <n v="15200861552.01"/>
    <n v="82292264385.429993"/>
    <n v="23750000"/>
    <n v="0"/>
    <n v="0"/>
    <n v="290663994583.40002"/>
    <n v="46005416.600000001"/>
    <n v="99.98"/>
    <n v="0.02"/>
  </r>
  <r>
    <x v="355"/>
    <x v="13"/>
    <x v="320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2"/>
    <s v="AFD Contrato de Préstamo N.° CCR 1011 01F Ley Nº 9846. Programa de Apoyo Presupuestario para el Fortalecimiento de las Políticas"/>
    <n v="0"/>
    <n v="85728857988.899994"/>
    <n v="0"/>
    <n v="0"/>
    <n v="0"/>
    <n v="0"/>
    <n v="0"/>
    <n v="0"/>
    <n v="0"/>
    <n v="0"/>
    <n v="0"/>
    <n v="0"/>
    <n v="0"/>
    <n v="0"/>
    <n v="0"/>
    <n v="0"/>
    <n v="85728857988.899994"/>
    <n v="0"/>
    <n v="100"/>
  </r>
  <r>
    <x v="356"/>
    <x v="13"/>
    <x v="321"/>
    <n v="3"/>
    <x v="2"/>
    <n v="32"/>
    <x v="7"/>
    <n v="321"/>
    <x v="16"/>
    <n v="3211"/>
    <x v="37"/>
    <n v="321109"/>
    <x v="68"/>
    <n v="32110902"/>
    <x v="0"/>
    <n v="321109020"/>
    <x v="0"/>
    <n v="3211090200"/>
    <x v="0"/>
    <n v="663"/>
    <s v="FMI Crédito Instrumento de Financiamiento Rápido ( IFR) para apoyo presupuestario en la atención de l a emergencia COVID-19"/>
    <n v="0"/>
    <n v="311860335975.53003"/>
    <n v="68092293798.68"/>
    <n v="0"/>
    <n v="0"/>
    <n v="0"/>
    <n v="0"/>
    <n v="0"/>
    <n v="0"/>
    <n v="0"/>
    <n v="0"/>
    <n v="0"/>
    <n v="68092293798.68"/>
    <n v="0"/>
    <n v="0"/>
    <n v="68092293798.68"/>
    <n v="243768042176.85001"/>
    <n v="21.83"/>
    <n v="78.17"/>
  </r>
  <r>
    <x v="280"/>
    <x v="13"/>
    <x v="247"/>
    <n v="3"/>
    <x v="2"/>
    <n v="32"/>
    <x v="7"/>
    <n v="321"/>
    <x v="16"/>
    <n v="3212"/>
    <x v="38"/>
    <n v="321200"/>
    <x v="44"/>
    <n v="32120010"/>
    <x v="0"/>
    <n v="321200100"/>
    <x v="0"/>
    <n v="3212001000"/>
    <x v="0"/>
    <n v="511"/>
    <s v="Cred EXIMBANK Ley 9293Proyecto Rehabilitación y Ampliación de la Ruta Nacional N°_x000a_32, Tramo: Ruta N° 4 - Limón"/>
    <n v="0"/>
    <n v="4124321100.3400002"/>
    <n v="0"/>
    <n v="0"/>
    <n v="0"/>
    <n v="0"/>
    <n v="0"/>
    <n v="0"/>
    <n v="0"/>
    <n v="0"/>
    <n v="0"/>
    <n v="0"/>
    <n v="0"/>
    <n v="0"/>
    <n v="0"/>
    <n v="0"/>
    <n v="4124321100.3400002"/>
    <n v="0"/>
    <n v="100"/>
  </r>
  <r>
    <x v="281"/>
    <x v="13"/>
    <x v="247"/>
    <n v="3"/>
    <x v="2"/>
    <n v="32"/>
    <x v="7"/>
    <n v="321"/>
    <x v="16"/>
    <n v="3212"/>
    <x v="38"/>
    <n v="321200"/>
    <x v="44"/>
    <n v="32120020"/>
    <x v="0"/>
    <n v="321200200"/>
    <x v="0"/>
    <n v="3212002000"/>
    <x v="0"/>
    <n v="512"/>
    <s v="Cred EXIMBANK Ley 9293Proyecto Rehabilitación y Ampliación de la Ruta Nacional N°_x000a_32, Tramo: Ruta N° 4 - Limón"/>
    <n v="0"/>
    <n v="135472932272.55"/>
    <n v="15201182603.24"/>
    <n v="0"/>
    <n v="0"/>
    <n v="958422120.28999996"/>
    <n v="2118061750.1300001"/>
    <n v="0"/>
    <n v="2448916885.1399999"/>
    <n v="0"/>
    <n v="3486382226.3899999"/>
    <n v="1333723741.03"/>
    <n v="4855675880.2600002"/>
    <n v="0"/>
    <n v="0"/>
    <n v="15201182603.24"/>
    <n v="120271749669.31"/>
    <n v="11.22"/>
    <n v="88.78"/>
  </r>
  <r>
    <x v="344"/>
    <x v="13"/>
    <x v="309"/>
    <n v="3"/>
    <x v="2"/>
    <n v="32"/>
    <x v="7"/>
    <n v="321"/>
    <x v="16"/>
    <n v="3212"/>
    <x v="38"/>
    <n v="321203"/>
    <x v="44"/>
    <n v="32120300"/>
    <x v="0"/>
    <n v="321203000"/>
    <x v="0"/>
    <n v="3212030000"/>
    <x v="0"/>
    <n v="694"/>
    <s v="Crédito KFW N° 28568 Programa de Saneamiento en Zo nas Prioritarias, Ley N° 9723"/>
    <n v="0"/>
    <n v="50786692666.699997"/>
    <n v="0"/>
    <n v="0"/>
    <n v="0"/>
    <n v="0"/>
    <n v="0"/>
    <n v="0"/>
    <n v="0"/>
    <n v="0"/>
    <n v="0"/>
    <n v="0"/>
    <n v="0"/>
    <n v="0"/>
    <n v="0"/>
    <n v="0"/>
    <n v="50786692666.699997"/>
    <n v="0"/>
    <n v="100"/>
  </r>
  <r>
    <x v="131"/>
    <x v="13"/>
    <x v="113"/>
    <n v="3"/>
    <x v="2"/>
    <n v="33"/>
    <x v="8"/>
    <n v="331"/>
    <x v="17"/>
    <n v="3311"/>
    <x v="35"/>
    <n v="331103"/>
    <x v="44"/>
    <n v="33110300"/>
    <x v="0"/>
    <n v="331103000"/>
    <x v="0"/>
    <n v="3311030000"/>
    <x v="0"/>
    <n v="980"/>
    <s v="Superávit Defensoría"/>
    <n v="0"/>
    <n v="46467129.380000003"/>
    <n v="46467129.380000003"/>
    <n v="0"/>
    <n v="0"/>
    <n v="0"/>
    <n v="0"/>
    <n v="0"/>
    <n v="0"/>
    <n v="46467129.380000003"/>
    <n v="0"/>
    <n v="0"/>
    <n v="0"/>
    <n v="0"/>
    <n v="0"/>
    <n v="46467129.380000003"/>
    <n v="0"/>
    <n v="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 dinámica1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G23" firstHeaderRow="0" firstDataRow="1" firstDataCol="1" rowPageCount="6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Page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110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4" item="0" hier="-1"/>
    <pageField fld="6" hier="-1"/>
    <pageField fld="8" hier="-1"/>
    <pageField fld="10" hier="-1"/>
    <pageField fld="12" hier="-1"/>
    <pageField fld="14" hier="-1"/>
  </pageFields>
  <dataFields count="6">
    <dataField name="Suma de I Bimestre_millones" fld="55" baseField="0" baseItem="0" numFmtId="166"/>
    <dataField name="Suma de II Bimestre_millones" fld="56" baseField="0" baseItem="0" numFmtId="166"/>
    <dataField name="Suma de III Bimestre_millones" fld="57" baseField="0" baseItem="0" numFmtId="166"/>
    <dataField name="Suma de IV Bimestre_millones " fld="58" baseField="0" baseItem="0" numFmtId="166"/>
    <dataField name="Suma de V Bimestre_millones" fld="59" baseField="0" baseItem="0"/>
    <dataField name="Suma de VI Bimestre_millones" fld="60" baseField="0" baseItem="0"/>
  </dataFields>
  <formats count="4">
    <format dxfId="99">
      <pivotArea outline="0" collapsedLevelsAreSubtotals="1" fieldPosition="0"/>
    </format>
    <format dxfId="9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2" cacheId="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G34:H87" firstHeaderRow="1" firstDataRow="1" firstDataCol="1"/>
  <pivotFields count="4">
    <pivotField axis="axisRow" showAll="0">
      <items count="15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</pivotFields>
  <rowFields count="2">
    <field x="0"/>
    <field x="1"/>
  </rowFields>
  <rowItems count="53"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t="grand">
      <x/>
    </i>
  </rowItems>
  <colItems count="1">
    <i/>
  </colItems>
  <dataFields count="1">
    <dataField name="Suma de Variación interanual " fld="3" baseField="1" baseItem="0"/>
  </dataFields>
  <formats count="27">
    <format dxfId="94">
      <pivotArea collapsedLevelsAreSubtotals="1" fieldPosition="0">
        <references count="1">
          <reference field="0" count="1">
            <x v="1"/>
          </reference>
        </references>
      </pivotArea>
    </format>
    <format dxfId="93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92">
      <pivotArea collapsedLevelsAreSubtotals="1" fieldPosition="0">
        <references count="1">
          <reference field="0" count="1">
            <x v="2"/>
          </reference>
        </references>
      </pivotArea>
    </format>
    <format dxfId="91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90">
      <pivotArea collapsedLevelsAreSubtotals="1" fieldPosition="0">
        <references count="1">
          <reference field="0" count="1">
            <x v="3"/>
          </reference>
        </references>
      </pivotArea>
    </format>
    <format dxfId="89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88">
      <pivotArea collapsedLevelsAreSubtotals="1" fieldPosition="0">
        <references count="1">
          <reference field="0" count="1">
            <x v="4"/>
          </reference>
        </references>
      </pivotArea>
    </format>
    <format dxfId="87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86">
      <pivotArea collapsedLevelsAreSubtotals="1" fieldPosition="0">
        <references count="1">
          <reference field="0" count="1">
            <x v="5"/>
          </reference>
        </references>
      </pivotArea>
    </format>
    <format dxfId="85">
      <pivotArea collapsedLevelsAreSubtotals="1" fieldPosition="0">
        <references count="2">
          <reference field="0" count="1" selected="0">
            <x v="5"/>
          </reference>
          <reference field="1" count="0"/>
        </references>
      </pivotArea>
    </format>
    <format dxfId="84">
      <pivotArea collapsedLevelsAreSubtotals="1" fieldPosition="0">
        <references count="1">
          <reference field="0" count="1">
            <x v="6"/>
          </reference>
        </references>
      </pivotArea>
    </format>
    <format dxfId="83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82">
      <pivotArea collapsedLevelsAreSubtotals="1" fieldPosition="0">
        <references count="1">
          <reference field="0" count="1">
            <x v="7"/>
          </reference>
        </references>
      </pivotArea>
    </format>
    <format dxfId="81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80">
      <pivotArea collapsedLevelsAreSubtotals="1" fieldPosition="0">
        <references count="1">
          <reference field="0" count="1">
            <x v="8"/>
          </reference>
        </references>
      </pivotArea>
    </format>
    <format dxfId="79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78">
      <pivotArea collapsedLevelsAreSubtotals="1" fieldPosition="0">
        <references count="1">
          <reference field="0" count="1">
            <x v="9"/>
          </reference>
        </references>
      </pivotArea>
    </format>
    <format dxfId="77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76">
      <pivotArea collapsedLevelsAreSubtotals="1" fieldPosition="0">
        <references count="1">
          <reference field="0" count="1">
            <x v="10"/>
          </reference>
        </references>
      </pivotArea>
    </format>
    <format dxfId="75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74">
      <pivotArea collapsedLevelsAreSubtotals="1" fieldPosition="0">
        <references count="1">
          <reference field="0" count="1">
            <x v="11"/>
          </reference>
        </references>
      </pivotArea>
    </format>
    <format dxfId="73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72">
      <pivotArea collapsedLevelsAreSubtotals="1" fieldPosition="0">
        <references count="2">
          <reference field="0" count="1" selected="0">
            <x v="11"/>
          </reference>
          <reference field="1" count="3">
            <x v="1"/>
            <x v="2"/>
            <x v="3"/>
          </reference>
        </references>
      </pivotArea>
    </format>
    <format dxfId="71">
      <pivotArea collapsedLevelsAreSubtotals="1" fieldPosition="0">
        <references count="1">
          <reference field="0" count="1">
            <x v="12"/>
          </reference>
        </references>
      </pivotArea>
    </format>
    <format dxfId="70">
      <pivotArea collapsedLevelsAreSubtotals="1" fieldPosition="0">
        <references count="2">
          <reference field="0" count="1" selected="0">
            <x v="12"/>
          </reference>
          <reference field="1" count="0"/>
        </references>
      </pivotArea>
    </format>
    <format dxfId="69">
      <pivotArea collapsedLevelsAreSubtotals="1" fieldPosition="0">
        <references count="1">
          <reference field="0" count="1">
            <x v="13"/>
          </reference>
        </references>
      </pivotArea>
    </format>
    <format dxfId="68">
      <pivotArea collapsedLevelsAreSubtotals="1" fieldPosition="0">
        <references count="2">
          <reference field="0" count="1" selected="0">
            <x v="13"/>
          </reference>
          <reference field="1" count="1">
            <x v="0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 dinámica5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E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103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29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multipleItemSelectionAllowed="1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18" hier="-1"/>
  </pageFields>
  <dataFields count="4">
    <dataField name="Suma de I trimestre_millones" fld="50" baseField="1" baseItem="9"/>
    <dataField name="Suma de II_trimestre_millones" fld="51" baseField="0" baseItem="0"/>
    <dataField name="Suma de III trimestre_millones" fld="52" baseField="0" baseItem="0"/>
    <dataField name="Suma de IV trimestre_millones" fld="53" baseField="0" baseItem="0"/>
  </dataFields>
  <formats count="1">
    <format dxfId="9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la dinámica6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19"/>
        <item x="315"/>
        <item x="313"/>
        <item x="317"/>
        <item x="314"/>
        <item m="1" x="322"/>
        <item x="318"/>
        <item x="320"/>
        <item x="32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57">
      <pivotArea outline="0" collapsedLevelsAreSubtotals="1" fieldPosition="0"/>
    </format>
  </formats>
  <chartFormats count="12"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la dinámica3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I39:J183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numFmtId="167" showAll="0"/>
  </pivotFields>
  <rowFields count="2">
    <field x="0"/>
    <field x="1"/>
  </rowFields>
  <rowItems count="1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a de Estacionalidad" fld="2" baseField="0" baseItem="0" numFmtId="167"/>
  </dataFields>
  <formats count="1">
    <format dxfId="5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">
  <location ref="L41:M194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de Monto" fld="2" baseField="0" baseItem="0" numFmtId="166"/>
  </dataFields>
  <formats count="9">
    <format dxfId="67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66">
      <pivotArea collapsedLevelsAreSubtotals="1" fieldPosition="0">
        <references count="1">
          <reference field="0" count="1">
            <x v="10"/>
          </reference>
        </references>
      </pivotArea>
    </format>
    <format dxfId="65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64">
      <pivotArea grandRow="1" outline="0" collapsedLevelsAreSubtotals="1" fieldPosition="0"/>
    </format>
    <format dxfId="63">
      <pivotArea collapsedLevelsAreSubtotals="1" fieldPosition="0">
        <references count="1">
          <reference field="0" count="1">
            <x v="9"/>
          </reference>
        </references>
      </pivotArea>
    </format>
    <format dxfId="62">
      <pivotArea collapsedLevelsAreSubtotals="1" fieldPosition="0">
        <references count="1">
          <reference field="0" count="1">
            <x v="11"/>
          </reference>
        </references>
      </pivotArea>
    </format>
    <format dxfId="61">
      <pivotArea collapsedLevelsAreSubtotals="1" fieldPosition="0">
        <references count="2">
          <reference field="0" count="1" selected="0">
            <x v="11"/>
          </reference>
          <reference field="1" count="1">
            <x v="0"/>
          </reference>
        </references>
      </pivotArea>
    </format>
    <format dxfId="60">
      <pivotArea collapsedLevelsAreSubtotals="1" fieldPosition="0">
        <references count="2">
          <reference field="0" count="1" selected="0">
            <x v="11"/>
          </reference>
          <reference field="1" count="1">
            <x v="1"/>
          </reference>
        </references>
      </pivotArea>
    </format>
    <format dxfId="59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3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6:M31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19"/>
        <item x="315"/>
        <item x="313"/>
        <item x="317"/>
        <item x="314"/>
        <item m="1" x="322"/>
        <item x="318"/>
        <item x="320"/>
        <item x="32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h="1" x="44"/>
        <item h="1" x="37"/>
        <item h="1" x="38"/>
        <item h="1" x="33"/>
        <item h="1" x="79"/>
        <item h="1" x="80"/>
        <item h="1" x="54"/>
        <item h="1" x="55"/>
        <item h="1" x="56"/>
        <item h="1" x="83"/>
        <item h="1" x="52"/>
        <item h="1" x="53"/>
        <item h="1" x="60"/>
        <item h="1" x="105"/>
        <item h="1" x="65"/>
        <item h="1" x="106"/>
        <item h="1" x="103"/>
        <item h="1" x="92"/>
        <item h="1" x="31"/>
        <item h="1" x="29"/>
        <item h="1" x="30"/>
        <item h="1" x="101"/>
        <item h="1" x="84"/>
        <item h="1" x="48"/>
        <item h="1" x="51"/>
        <item h="1" x="35"/>
        <item h="1" x="110"/>
        <item h="1" x="63"/>
        <item h="1" x="24"/>
        <item h="1" x="20"/>
        <item h="1" x="18"/>
        <item h="1" x="97"/>
        <item h="1" x="85"/>
        <item h="1" x="113"/>
        <item h="1" x="75"/>
        <item h="1" x="72"/>
        <item h="1" x="64"/>
        <item h="1" x="96"/>
        <item h="1" x="73"/>
        <item h="1" x="67"/>
        <item h="1" x="76"/>
        <item h="1" x="93"/>
        <item h="1" x="91"/>
        <item h="1" x="98"/>
        <item h="1" x="1"/>
        <item h="1" x="0"/>
        <item h="1" x="9"/>
        <item h="1" x="100"/>
        <item h="1" x="23"/>
        <item h="1" x="8"/>
        <item h="1" x="14"/>
        <item h="1" x="15"/>
        <item h="1" x="5"/>
        <item h="1" x="13"/>
        <item h="1" x="71"/>
        <item h="1" x="7"/>
        <item h="1" x="61"/>
        <item h="1" x="16"/>
        <item h="1" x="17"/>
        <item h="1" x="22"/>
        <item h="1" x="12"/>
        <item x="19"/>
        <item h="1" x="4"/>
        <item h="1" x="3"/>
        <item h="1" x="2"/>
        <item h="1" x="6"/>
        <item h="1" x="11"/>
        <item h="1" x="94"/>
        <item h="1" x="28"/>
        <item h="1" x="70"/>
        <item h="1" x="99"/>
        <item h="1" x="49"/>
        <item h="1" x="74"/>
        <item h="1" x="95"/>
        <item h="1" x="78"/>
        <item h="1" x="39"/>
        <item h="1" x="69"/>
        <item h="1" x="59"/>
        <item h="1" x="40"/>
        <item h="1" x="58"/>
        <item h="1" x="107"/>
        <item h="1" x="108"/>
        <item h="1" x="42"/>
        <item h="1" x="57"/>
        <item h="1" x="102"/>
        <item h="1" x="68"/>
        <item h="1" x="21"/>
        <item h="1" x="25"/>
        <item h="1" x="34"/>
        <item h="1" x="27"/>
        <item h="1" x="47"/>
        <item h="1" x="77"/>
        <item h="1" x="66"/>
        <item h="1" x="43"/>
        <item h="1" x="41"/>
        <item h="1" x="88"/>
        <item h="1" x="62"/>
        <item h="1" x="86"/>
        <item h="1" x="109"/>
        <item h="1" x="104"/>
        <item h="1" x="10"/>
        <item h="1" x="26"/>
        <item h="1" x="90"/>
        <item h="1" x="45"/>
        <item h="1" x="46"/>
        <item h="1" x="50"/>
        <item h="1" x="89"/>
        <item h="1" x="81"/>
        <item h="1" x="87"/>
        <item h="1" x="82"/>
        <item h="1" x="32"/>
        <item h="1" x="36"/>
        <item h="1" x="111"/>
        <item h="1" x="112"/>
        <item h="1" x="114"/>
        <item h="1" x="120"/>
        <item h="1" x="122"/>
        <item h="1" x="117"/>
        <item h="1" x="118"/>
        <item h="1" x="119"/>
        <item h="1" x="121"/>
        <item h="1" x="115"/>
        <item h="1" x="116"/>
        <item h="1" x="125"/>
        <item h="1" x="124"/>
        <item h="1" x="126"/>
        <item h="1" x="123"/>
        <item t="default"/>
      </items>
    </pivotField>
    <pivotField showAll="0"/>
    <pivotField axis="axisPage" multipleItemSelectionAllowed="1" showAll="0">
      <items count="124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showAll="0">
      <items count="46">
        <item x="0"/>
        <item x="29"/>
        <item x="32"/>
        <item x="10"/>
        <item x="41"/>
        <item x="19"/>
        <item x="15"/>
        <item x="40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43"/>
        <item x="35"/>
        <item x="27"/>
        <item x="39"/>
        <item x="1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0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la dinámica4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35:C112" firstHeaderRow="1" firstDataRow="1" firstDataCol="1"/>
  <pivotFields count="5">
    <pivotField axis="axisRow" showAll="0">
      <items count="13">
        <item h="1" x="0"/>
        <item h="1" x="1"/>
        <item h="1" x="2"/>
        <item h="1" x="3"/>
        <item h="1" x="4"/>
        <item h="1"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2">
    <field x="0"/>
    <field x="1"/>
  </rowFields>
  <rowItems count="77"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a de Var interanual" fld="4" baseField="1" baseItem="11"/>
  </dataFields>
  <formats count="1">
    <format dxfId="56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 dinámica2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4">
  <location ref="I34:J187" firstHeaderRow="1" firstDataRow="1" firstDataCol="1"/>
  <pivotFields count="5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2">
    <field x="0"/>
    <field x="1"/>
  </rowFields>
  <rowItems count="1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de Var interanual acum 12 meses" fld="4" baseField="1" baseItem="0" numFmtId="167"/>
  </dataFields>
  <formats count="17">
    <format dxfId="53">
      <pivotArea collapsedLevelsAreSubtotals="1" fieldPosition="0">
        <references count="2">
          <reference field="0" count="1" selected="0">
            <x v="5"/>
          </reference>
          <reference field="1" count="1">
            <x v="0"/>
          </reference>
        </references>
      </pivotArea>
    </format>
    <format dxfId="52">
      <pivotArea collapsedLevelsAreSubtotals="1" fieldPosition="0">
        <references count="2">
          <reference field="0" count="1" selected="0">
            <x v="5"/>
          </reference>
          <reference field="1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1">
      <pivotArea collapsedLevelsAreSubtotals="1" fieldPosition="0">
        <references count="1">
          <reference field="0" count="1">
            <x v="6"/>
          </reference>
        </references>
      </pivotArea>
    </format>
    <format dxfId="50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49">
      <pivotArea collapsedLevelsAreSubtotals="1" fieldPosition="0">
        <references count="1">
          <reference field="0" count="1">
            <x v="7"/>
          </reference>
        </references>
      </pivotArea>
    </format>
    <format dxfId="48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47">
      <pivotArea collapsedLevelsAreSubtotals="1" fieldPosition="0">
        <references count="1">
          <reference field="0" count="1">
            <x v="8"/>
          </reference>
        </references>
      </pivotArea>
    </format>
    <format dxfId="46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45">
      <pivotArea collapsedLevelsAreSubtotals="1" fieldPosition="0">
        <references count="1">
          <reference field="0" count="1">
            <x v="9"/>
          </reference>
        </references>
      </pivotArea>
    </format>
    <format dxfId="44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43">
      <pivotArea collapsedLevelsAreSubtotals="1" fieldPosition="0">
        <references count="1">
          <reference field="0" count="1">
            <x v="10"/>
          </reference>
        </references>
      </pivotArea>
    </format>
    <format dxfId="42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41">
      <pivotArea collapsedLevelsAreSubtotals="1" fieldPosition="0">
        <references count="1">
          <reference field="0" count="1">
            <x v="11"/>
          </reference>
        </references>
      </pivotArea>
    </format>
    <format dxfId="40">
      <pivotArea collapsedLevelsAreSubtotals="1" fieldPosition="0">
        <references count="2">
          <reference field="0" count="1" selected="0">
            <x v="11"/>
          </reference>
          <reference field="1" count="2">
            <x v="0"/>
            <x v="1"/>
          </reference>
        </references>
      </pivotArea>
    </format>
    <format dxfId="39">
      <pivotArea grandRow="1" outline="0" collapsedLevelsAreSubtotals="1" fieldPosition="0"/>
    </format>
    <format dxfId="38">
      <pivotArea collapsedLevelsAreSubtotals="1" fieldPosition="0">
        <references count="1">
          <reference field="0" count="1">
            <x v="5"/>
          </reference>
        </references>
      </pivotArea>
    </format>
    <format dxfId="37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la dinámica8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7:M32" firstHeaderRow="0" firstDataRow="1" firstDataCol="1" rowPageCount="8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33"/>
        <item x="279"/>
        <item x="284"/>
        <item x="280"/>
        <item x="285"/>
        <item x="278"/>
        <item x="286"/>
        <item x="295"/>
        <item x="296"/>
        <item x="281"/>
        <item x="306"/>
        <item x="297"/>
        <item x="287"/>
        <item x="288"/>
        <item x="289"/>
        <item x="290"/>
        <item x="292"/>
        <item x="293"/>
        <item x="294"/>
        <item x="303"/>
        <item x="305"/>
        <item x="298"/>
        <item x="299"/>
        <item x="300"/>
        <item x="301"/>
        <item x="302"/>
        <item x="304"/>
        <item x="291"/>
        <item x="307"/>
        <item x="308"/>
        <item x="309"/>
        <item x="310"/>
        <item x="311"/>
        <item x="312"/>
        <item x="316"/>
        <item x="319"/>
        <item x="315"/>
        <item x="313"/>
        <item x="317"/>
        <item x="314"/>
        <item m="1" x="322"/>
        <item x="318"/>
        <item x="320"/>
        <item x="321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axis="axisPage" multipleItemSelectionAllowed="1" showAll="0">
      <items count="27">
        <item x="14"/>
        <item x="15"/>
        <item x="19"/>
        <item x="5"/>
        <item x="16"/>
        <item x="0"/>
        <item x="2"/>
        <item x="3"/>
        <item x="1"/>
        <item x="7"/>
        <item x="21"/>
        <item x="8"/>
        <item x="9"/>
        <item x="4"/>
        <item x="22"/>
        <item x="17"/>
        <item x="18"/>
        <item x="11"/>
        <item x="10"/>
        <item x="13"/>
        <item x="12"/>
        <item x="20"/>
        <item x="6"/>
        <item x="24"/>
        <item x="23"/>
        <item x="25"/>
        <item t="default"/>
      </items>
    </pivotField>
    <pivotField showAll="0"/>
    <pivotField axis="axisPage" multipleItemSelectionAllowed="1" showAll="0">
      <items count="53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Page" multipleItemSelectionAllowed="1" showAll="0">
      <items count="128">
        <item x="44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x="12"/>
        <item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x="10"/>
        <item x="26"/>
        <item x="90"/>
        <item x="45"/>
        <item x="46"/>
        <item x="50"/>
        <item x="89"/>
        <item x="81"/>
        <item x="87"/>
        <item x="82"/>
        <item x="32"/>
        <item x="36"/>
        <item x="111"/>
        <item x="112"/>
        <item x="114"/>
        <item x="120"/>
        <item x="122"/>
        <item x="117"/>
        <item x="118"/>
        <item x="119"/>
        <item x="121"/>
        <item x="115"/>
        <item x="116"/>
        <item x="125"/>
        <item x="124"/>
        <item x="126"/>
        <item x="123"/>
        <item t="default"/>
      </items>
    </pivotField>
    <pivotField showAll="0"/>
    <pivotField axis="axisPage" multipleItemSelectionAllowed="1" showAll="0">
      <items count="124">
        <item x="0"/>
        <item x="16"/>
        <item x="106"/>
        <item x="60"/>
        <item x="14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109"/>
        <item x="105"/>
        <item x="61"/>
        <item x="59"/>
        <item x="77"/>
        <item x="68"/>
        <item x="37"/>
        <item x="31"/>
        <item x="69"/>
        <item x="76"/>
        <item x="25"/>
        <item x="102"/>
        <item x="75"/>
        <item x="99"/>
        <item x="22"/>
        <item x="26"/>
        <item x="23"/>
        <item x="32"/>
        <item x="33"/>
        <item x="34"/>
        <item x="35"/>
        <item x="36"/>
        <item x="65"/>
        <item x="66"/>
        <item x="29"/>
        <item x="103"/>
        <item x="110"/>
        <item x="111"/>
        <item x="112"/>
        <item x="113"/>
        <item x="114"/>
        <item x="116"/>
        <item x="117"/>
        <item x="118"/>
        <item x="120"/>
        <item x="119"/>
        <item x="115"/>
        <item x="121"/>
        <item x="122"/>
        <item t="default"/>
      </items>
    </pivotField>
    <pivotField showAll="0"/>
    <pivotField axis="axisPage" showAll="0">
      <items count="46">
        <item x="0"/>
        <item x="29"/>
        <item x="32"/>
        <item x="10"/>
        <item x="19"/>
        <item x="15"/>
        <item x="38"/>
        <item x="12"/>
        <item x="26"/>
        <item x="18"/>
        <item x="17"/>
        <item x="42"/>
        <item x="30"/>
        <item x="31"/>
        <item x="7"/>
        <item x="33"/>
        <item x="37"/>
        <item x="25"/>
        <item x="8"/>
        <item x="23"/>
        <item x="2"/>
        <item x="1"/>
        <item x="4"/>
        <item x="3"/>
        <item x="9"/>
        <item x="36"/>
        <item x="21"/>
        <item x="6"/>
        <item x="22"/>
        <item x="5"/>
        <item x="14"/>
        <item x="34"/>
        <item x="20"/>
        <item x="24"/>
        <item x="16"/>
        <item x="28"/>
        <item x="11"/>
        <item x="35"/>
        <item x="27"/>
        <item x="39"/>
        <item x="13"/>
        <item x="40"/>
        <item x="4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8">
    <pageField fld="4" hier="-1"/>
    <pageField fld="6" hier="-1"/>
    <pageField fld="8" hier="-1"/>
    <pageField fld="10" hier="-1"/>
    <pageField fld="12" hier="-1"/>
    <pageField fld="14" hier="-1"/>
    <pageField fld="16" hier="-1"/>
    <pageField fld="2" hier="-1"/>
  </pageFields>
  <dataFields count="12">
    <dataField name="Suma de Enero" fld="24" baseField="0" baseItem="0"/>
    <dataField name="Suma de Febrero" fld="25" baseField="0" baseItem="0"/>
    <dataField name="Suma de Marzo" fld="26" baseField="0" baseItem="0"/>
    <dataField name="Suma de Abril" fld="27" baseField="1" baseItem="2"/>
    <dataField name="Suma de Mayo" fld="28" baseField="0" baseItem="0"/>
    <dataField name="Suma de Junio" fld="29" baseField="0" baseItem="0"/>
    <dataField name="Suma de Julio" fld="30" baseField="0" baseItem="0"/>
    <dataField name="Suma de Agosto" fld="31" baseField="0" baseItem="0"/>
    <dataField name="Suma de Setiembre" fld="32" baseField="0" baseItem="0"/>
    <dataField name="Suma de Octubre" fld="33" baseField="0" baseItem="0"/>
    <dataField name="Suma de Noviembre" fld="34" baseField="0" baseItem="0"/>
    <dataField name="Suma de Diciembre" fld="35" baseField="0" baseItem="0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 dinámica4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2:B27" firstHeaderRow="1" firstDataRow="1" firstDataCol="1" rowPageCount="2" colPageCount="1"/>
  <pivotFields count="6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3">
        <item h="1" x="1"/>
        <item h="1" x="7"/>
        <item h="1" x="6"/>
        <item h="1" x="2"/>
        <item x="0"/>
        <item h="1" x="5"/>
        <item h="1" x="8"/>
        <item h="1" x="3"/>
        <item h="1" x="4"/>
        <item h="1" x="9"/>
        <item h="1" x="1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2">
    <pageField fld="4" hier="-1"/>
    <pageField fld="6" hier="-1"/>
  </pageFields>
  <dataFields count="1">
    <dataField name="Suma de Acumulado" fld="36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1" cacheId="7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10:O48" firstHeaderRow="1" firstDataRow="2" firstDataCol="1" rowPageCount="2" colPageCount="1"/>
  <pivotFields count="61"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Page" showAll="0">
      <items count="13">
        <item x="1"/>
        <item x="7"/>
        <item x="6"/>
        <item x="2"/>
        <item x="0"/>
        <item x="5"/>
        <item x="8"/>
        <item x="3"/>
        <item x="4"/>
        <item x="9"/>
        <item x="10"/>
        <item x="11"/>
        <item t="default"/>
      </items>
    </pivotField>
    <pivotField showAll="0"/>
    <pivotField axis="axisRow" showAll="0">
      <items count="27">
        <item x="14"/>
        <item x="15"/>
        <item x="19"/>
        <item x="5"/>
        <item x="16"/>
        <item sd="0" x="0"/>
        <item x="2"/>
        <item x="3"/>
        <item x="1"/>
        <item x="7"/>
        <item x="21"/>
        <item x="8"/>
        <item x="9"/>
        <item sd="0" x="4"/>
        <item x="22"/>
        <item x="17"/>
        <item x="18"/>
        <item x="11"/>
        <item x="10"/>
        <item x="13"/>
        <item x="12"/>
        <item x="20"/>
        <item x="6"/>
        <item x="23"/>
        <item x="24"/>
        <item x="25"/>
        <item t="default"/>
      </items>
    </pivotField>
    <pivotField showAll="0"/>
    <pivotField axis="axisRow" showAll="0">
      <items count="53">
        <item x="35"/>
        <item x="43"/>
        <item x="16"/>
        <item x="38"/>
        <item x="37"/>
        <item x="19"/>
        <item x="14"/>
        <item x="4"/>
        <item x="9"/>
        <item sd="0" x="39"/>
        <item x="5"/>
        <item x="3"/>
        <item sd="0" x="12"/>
        <item x="11"/>
        <item x="10"/>
        <item x="2"/>
        <item sd="0" x="6"/>
        <item sd="0" x="7"/>
        <item sd="0" x="8"/>
        <item x="0"/>
        <item x="1"/>
        <item x="15"/>
        <item x="26"/>
        <item x="45"/>
        <item x="23"/>
        <item sd="0" x="13"/>
        <item x="25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42"/>
        <item x="33"/>
        <item x="41"/>
        <item x="20"/>
        <item x="17"/>
        <item x="47"/>
        <item x="18"/>
        <item x="44"/>
        <item x="48"/>
        <item x="50"/>
        <item x="51"/>
        <item x="49"/>
        <item t="default"/>
      </items>
    </pivotField>
    <pivotField showAll="0"/>
    <pivotField axis="axisRow" showAll="0">
      <items count="128">
        <item x="44"/>
        <item x="36"/>
        <item x="37"/>
        <item x="38"/>
        <item x="33"/>
        <item x="79"/>
        <item x="80"/>
        <item x="54"/>
        <item x="55"/>
        <item x="56"/>
        <item x="83"/>
        <item x="52"/>
        <item x="53"/>
        <item x="60"/>
        <item x="105"/>
        <item x="65"/>
        <item x="106"/>
        <item x="103"/>
        <item x="92"/>
        <item x="31"/>
        <item x="29"/>
        <item x="30"/>
        <item x="101"/>
        <item x="84"/>
        <item x="48"/>
        <item x="51"/>
        <item x="35"/>
        <item x="110"/>
        <item x="63"/>
        <item x="24"/>
        <item x="20"/>
        <item x="18"/>
        <item x="97"/>
        <item x="85"/>
        <item x="113"/>
        <item x="75"/>
        <item x="72"/>
        <item x="64"/>
        <item x="96"/>
        <item x="73"/>
        <item x="67"/>
        <item x="76"/>
        <item x="93"/>
        <item x="91"/>
        <item x="98"/>
        <item x="1"/>
        <item x="0"/>
        <item sd="0" x="9"/>
        <item x="100"/>
        <item x="23"/>
        <item x="8"/>
        <item x="14"/>
        <item x="15"/>
        <item x="5"/>
        <item x="13"/>
        <item x="71"/>
        <item x="7"/>
        <item x="61"/>
        <item x="16"/>
        <item x="17"/>
        <item x="22"/>
        <item sd="0" x="12"/>
        <item sd="0" x="19"/>
        <item x="4"/>
        <item x="3"/>
        <item x="2"/>
        <item x="6"/>
        <item x="11"/>
        <item x="94"/>
        <item x="28"/>
        <item x="70"/>
        <item x="99"/>
        <item x="49"/>
        <item x="74"/>
        <item x="95"/>
        <item x="78"/>
        <item x="39"/>
        <item x="69"/>
        <item x="59"/>
        <item x="40"/>
        <item x="58"/>
        <item x="107"/>
        <item x="108"/>
        <item x="42"/>
        <item x="57"/>
        <item x="102"/>
        <item x="68"/>
        <item x="21"/>
        <item x="25"/>
        <item x="34"/>
        <item x="27"/>
        <item x="47"/>
        <item x="77"/>
        <item x="66"/>
        <item x="43"/>
        <item x="41"/>
        <item x="88"/>
        <item x="62"/>
        <item x="86"/>
        <item x="109"/>
        <item x="104"/>
        <item sd="0" x="10"/>
        <item x="26"/>
        <item x="90"/>
        <item x="45"/>
        <item x="46"/>
        <item x="50"/>
        <item x="89"/>
        <item x="81"/>
        <item x="87"/>
        <item x="82"/>
        <item x="32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4"/>
        <item x="125"/>
        <item x="126"/>
        <item x="123"/>
        <item t="default"/>
      </items>
    </pivotField>
    <pivotField showAll="0"/>
    <pivotField axis="axisRow" showAll="0">
      <items count="124">
        <item x="0"/>
        <item x="16"/>
        <item x="106"/>
        <item x="60"/>
        <item x="14"/>
        <item x="35"/>
        <item x="24"/>
        <item x="20"/>
        <item x="21"/>
        <item x="13"/>
        <item x="43"/>
        <item x="47"/>
        <item x="70"/>
        <item x="72"/>
        <item x="71"/>
        <item x="51"/>
        <item x="38"/>
        <item x="101"/>
        <item x="2"/>
        <item x="1"/>
        <item x="17"/>
        <item x="97"/>
        <item x="15"/>
        <item x="54"/>
        <item x="27"/>
        <item x="28"/>
        <item x="18"/>
        <item x="58"/>
        <item x="107"/>
        <item x="64"/>
        <item x="89"/>
        <item x="62"/>
        <item x="87"/>
        <item x="86"/>
        <item x="85"/>
        <item x="88"/>
        <item x="83"/>
        <item x="84"/>
        <item x="108"/>
        <item x="95"/>
        <item x="65"/>
        <item x="66"/>
        <item x="63"/>
        <item x="78"/>
        <item x="82"/>
        <item x="98"/>
        <item x="48"/>
        <item x="39"/>
        <item x="79"/>
        <item x="46"/>
        <item x="42"/>
        <item x="52"/>
        <item x="53"/>
        <item x="94"/>
        <item x="6"/>
        <item x="5"/>
        <item x="11"/>
        <item x="4"/>
        <item x="3"/>
        <item x="8"/>
        <item x="57"/>
        <item x="12"/>
        <item x="7"/>
        <item x="96"/>
        <item x="56"/>
        <item x="19"/>
        <item x="9"/>
        <item x="10"/>
        <item x="45"/>
        <item x="41"/>
        <item x="90"/>
        <item x="49"/>
        <item x="44"/>
        <item x="40"/>
        <item x="80"/>
        <item x="81"/>
        <item x="100"/>
        <item x="74"/>
        <item x="93"/>
        <item x="30"/>
        <item x="55"/>
        <item x="104"/>
        <item x="91"/>
        <item x="92"/>
        <item x="73"/>
        <item x="50"/>
        <item x="67"/>
        <item x="36"/>
        <item x="109"/>
        <item x="34"/>
        <item x="105"/>
        <item x="61"/>
        <item x="33"/>
        <item x="59"/>
        <item x="77"/>
        <item x="32"/>
        <item x="68"/>
        <item x="37"/>
        <item x="31"/>
        <item x="69"/>
        <item x="76"/>
        <item x="25"/>
        <item x="102"/>
        <item x="75"/>
        <item x="99"/>
        <item x="22"/>
        <item x="23"/>
        <item x="26"/>
        <item x="29"/>
        <item x="103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8"/>
    <field x="10"/>
    <field x="12"/>
    <field x="14"/>
  </rowFields>
  <rowItems count="37">
    <i>
      <x v="5"/>
    </i>
    <i>
      <x v="6"/>
    </i>
    <i r="1">
      <x v="8"/>
    </i>
    <i r="2">
      <x v="51"/>
    </i>
    <i r="3">
      <x v="57"/>
    </i>
    <i r="3">
      <x v="58"/>
    </i>
    <i r="2">
      <x v="52"/>
    </i>
    <i r="3">
      <x v="54"/>
    </i>
    <i r="3">
      <x v="55"/>
    </i>
    <i r="1">
      <x v="14"/>
    </i>
    <i r="2">
      <x v="58"/>
    </i>
    <i r="3">
      <x v="51"/>
    </i>
    <i r="3">
      <x v="53"/>
    </i>
    <i r="3">
      <x v="56"/>
    </i>
    <i r="3">
      <x v="59"/>
    </i>
    <i r="3">
      <x v="62"/>
    </i>
    <i r="3">
      <x v="66"/>
    </i>
    <i r="3">
      <x v="67"/>
    </i>
    <i r="2">
      <x v="59"/>
    </i>
    <i r="3">
      <x v="61"/>
    </i>
    <i>
      <x v="7"/>
    </i>
    <i r="1">
      <x v="12"/>
    </i>
    <i r="1">
      <x v="13"/>
    </i>
    <i r="2">
      <x v="31"/>
    </i>
    <i r="3">
      <x v="9"/>
    </i>
    <i r="2">
      <x v="62"/>
    </i>
    <i r="1">
      <x v="25"/>
    </i>
    <i>
      <x v="8"/>
    </i>
    <i r="1">
      <x v="9"/>
    </i>
    <i r="1">
      <x v="10"/>
    </i>
    <i r="2">
      <x v="47"/>
    </i>
    <i r="2">
      <x v="101"/>
    </i>
    <i r="1">
      <x v="16"/>
    </i>
    <i r="1">
      <x v="17"/>
    </i>
    <i r="1">
      <x v="18"/>
    </i>
    <i>
      <x v="13"/>
    </i>
    <i t="grand">
      <x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pageFields count="2">
    <pageField fld="4" item="1" hier="-1"/>
    <pageField fld="6" item="4" hier="-1"/>
  </pageFields>
  <dataFields count="1">
    <dataField name="Suma de Acumulado_millones" fld="54" baseField="0" baseItem="0" numFmtId="166"/>
  </dataFields>
  <formats count="10">
    <format dxfId="35">
      <pivotArea collapsedLevelsAreSubtotals="1" fieldPosition="0">
        <references count="1">
          <reference field="8" count="1">
            <x v="5"/>
          </reference>
        </references>
      </pivotArea>
    </format>
    <format dxfId="34">
      <pivotArea dataOnly="0" labelOnly="1" fieldPosition="0">
        <references count="1">
          <reference field="8" count="1">
            <x v="5"/>
          </reference>
        </references>
      </pivotArea>
    </format>
    <format dxfId="33">
      <pivotArea collapsedLevelsAreSubtotals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2">
      <pivotArea dataOnly="0" labelOnly="1" fieldPosition="0">
        <references count="3">
          <reference field="8" count="1" selected="0">
            <x v="6"/>
          </reference>
          <reference field="10" count="1" selected="0">
            <x v="8"/>
          </reference>
          <reference field="12" count="2">
            <x v="51"/>
            <x v="52"/>
          </reference>
        </references>
      </pivotArea>
    </format>
    <format dxfId="31">
      <pivotArea collapsedLevelsAreSubtotals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30">
      <pivotArea dataOnly="0" labelOnly="1" fieldPosition="0">
        <references count="3">
          <reference field="8" count="1" selected="0">
            <x v="8"/>
          </reference>
          <reference field="10" count="1" selected="0">
            <x v="10"/>
          </reference>
          <reference field="12" count="1">
            <x v="47"/>
          </reference>
        </references>
      </pivotArea>
    </format>
    <format dxfId="29">
      <pivotArea collapsedLevelsAreSubtotals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28">
      <pivotArea dataOnly="0" labelOnly="1" fieldPosition="0">
        <references count="4">
          <reference field="8" count="1" selected="0">
            <x v="6"/>
          </reference>
          <reference field="10" count="1" selected="0">
            <x v="14"/>
          </reference>
          <reference field="12" count="1" selected="0">
            <x v="58"/>
          </reference>
          <reference field="14" count="1">
            <x v="59"/>
          </reference>
        </references>
      </pivotArea>
    </format>
    <format dxfId="27">
      <pivotArea collapsedLevelsAreSubtotals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  <format dxfId="26">
      <pivotArea dataOnly="0" labelOnly="1" fieldPosition="0">
        <references count="4">
          <reference field="8" count="1" selected="0">
            <x v="7"/>
          </reference>
          <reference field="10" count="1" selected="0">
            <x v="13"/>
          </reference>
          <reference field="12" count="1" selected="0">
            <x v="31"/>
          </reference>
          <reference field="14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2000000}" name="Tabla dinámica3" cacheId="4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I2:AN214" firstHeaderRow="1" firstDataRow="2" firstDataCol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Acumulado_millones" fld="54" baseField="0" baseItem="0" numFmtId="166"/>
  </dataFields>
  <formats count="9">
    <format dxfId="23">
      <pivotArea outline="0" collapsedLevelsAreSubtotals="1" fieldPosition="0"/>
    </format>
    <format dxfId="2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">
      <pivotArea dataOnly="0" labelOnly="1" fieldPosition="0">
        <references count="1">
          <reference field="0" count="17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</reference>
        </references>
      </pivotArea>
    </format>
    <format dxfId="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Tabla dinámica2" cacheId="4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O3:T215" firstHeaderRow="1" firstDataRow="2" firstDataCol="1" rowPageCount="1" colPageCount="1"/>
  <pivotFields count="61">
    <pivotField axis="axisRow" showAll="0">
      <items count="324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t="default"/>
      </items>
    </pivotField>
    <pivotField axis="axisCol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287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3"/>
        <item x="231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9"/>
        <item x="212"/>
        <item x="3"/>
        <item x="5"/>
        <item x="123"/>
        <item x="8"/>
        <item x="4"/>
        <item x="121"/>
        <item x="6"/>
        <item x="12"/>
        <item x="118"/>
        <item x="163"/>
        <item x="124"/>
        <item x="26"/>
        <item x="25"/>
        <item x="119"/>
        <item x="160"/>
        <item x="117"/>
        <item x="122"/>
        <item x="116"/>
        <item x="115"/>
        <item x="162"/>
        <item x="213"/>
        <item x="134"/>
        <item x="133"/>
        <item x="27"/>
        <item x="28"/>
        <item x="22"/>
        <item x="182"/>
        <item x="233"/>
        <item x="77"/>
        <item x="94"/>
        <item x="95"/>
        <item x="189"/>
        <item x="96"/>
        <item x="82"/>
        <item x="172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49"/>
        <item x="239"/>
        <item x="276"/>
        <item x="272"/>
        <item x="159"/>
        <item x="224"/>
        <item x="211"/>
        <item x="113"/>
        <item x="232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93"/>
        <item x="38"/>
        <item x="80"/>
        <item x="240"/>
        <item x="51"/>
        <item x="50"/>
        <item x="263"/>
        <item x="234"/>
        <item x="55"/>
        <item x="220"/>
        <item x="167"/>
        <item x="53"/>
        <item x="279"/>
        <item x="284"/>
        <item x="280"/>
        <item x="285"/>
        <item x="278"/>
        <item x="2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1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pageFields count="1">
    <pageField fld="2" hier="-1"/>
  </pageFields>
  <dataFields count="1">
    <dataField name="Suma de Ejec_II_semestre_millones" fld="45" baseField="0" baseItem="0" numFmtId="16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 dinámica1" cacheId="7" applyNumberFormats="0" applyBorderFormats="0" applyFontFormats="0" applyPatternFormats="0" applyAlignmentFormats="0" applyWidthHeightFormats="1" dataCaption="Valores" updatedVersion="4" minRefreshableVersion="3" useAutoFormatting="1" colGrandTotals="0" itemPrintTitles="1" createdVersion="4" indent="0" outline="1" outlineData="1" multipleFieldFilters="0">
  <location ref="A2:F215" firstHeaderRow="1" firstDataRow="2" firstDataCol="1"/>
  <pivotFields count="61">
    <pivotField axis="axisRow" showAll="0">
      <items count="358">
        <item x="133"/>
        <item x="0"/>
        <item x="134"/>
        <item x="1"/>
        <item x="135"/>
        <item x="2"/>
        <item x="3"/>
        <item x="180"/>
        <item x="136"/>
        <item x="4"/>
        <item x="5"/>
        <item x="137"/>
        <item x="6"/>
        <item x="7"/>
        <item x="8"/>
        <item x="181"/>
        <item x="9"/>
        <item x="138"/>
        <item x="139"/>
        <item x="10"/>
        <item x="11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291"/>
        <item x="106"/>
        <item x="275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118"/>
        <item x="173"/>
        <item x="261"/>
        <item x="262"/>
        <item x="236"/>
        <item x="237"/>
        <item x="250"/>
        <item x="220"/>
        <item x="251"/>
        <item x="292"/>
        <item x="309"/>
        <item x="252"/>
        <item x="299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16"/>
        <item x="321"/>
        <item x="317"/>
        <item x="322"/>
        <item x="315"/>
        <item x="318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50"/>
        <item x="351"/>
        <item x="352"/>
        <item x="354"/>
        <item x="349"/>
        <item x="353"/>
        <item x="355"/>
        <item x="356"/>
        <item t="default"/>
      </items>
    </pivotField>
    <pivotField axis="axisCol" showAll="0">
      <items count="15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numFmtId="166" showAll="0"/>
    <pivotField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numFmtId="166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212">
    <i>
      <x/>
    </i>
    <i>
      <x v="2"/>
    </i>
    <i>
      <x v="4"/>
    </i>
    <i>
      <x v="7"/>
    </i>
    <i>
      <x v="11"/>
    </i>
    <i>
      <x v="15"/>
    </i>
    <i>
      <x v="17"/>
    </i>
    <i>
      <x v="21"/>
    </i>
    <i>
      <x v="23"/>
    </i>
    <i>
      <x v="26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7"/>
    </i>
    <i>
      <x v="49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7"/>
    </i>
    <i>
      <x v="130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8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4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5"/>
    </i>
    <i>
      <x v="236"/>
    </i>
    <i>
      <x v="238"/>
    </i>
    <i>
      <x v="242"/>
    </i>
    <i>
      <x v="243"/>
    </i>
    <i>
      <x v="248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4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6"/>
    </i>
    <i>
      <x v="307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 t="grand">
      <x/>
    </i>
  </rowItems>
  <colFields count="1">
    <field x="1"/>
  </colFields>
  <colItems count="5">
    <i>
      <x v="7"/>
    </i>
    <i>
      <x v="8"/>
    </i>
    <i>
      <x v="9"/>
    </i>
    <i>
      <x v="10"/>
    </i>
    <i>
      <x v="11"/>
    </i>
  </colItems>
  <dataFields count="1">
    <dataField name="Suma de Ejec_I_semestre_millones" fld="43" baseField="0" baseItem="0" numFmtId="166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 dinámica2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M368" firstHeaderRow="0" firstDataRow="1" firstDataCol="1" rowPageCount="1" colPageCount="1"/>
  <pivotFields count="61">
    <pivotField axis="axisRow" showAll="0">
      <items count="358">
        <item x="133"/>
        <item x="0"/>
        <item x="134"/>
        <item x="1"/>
        <item x="135"/>
        <item x="2"/>
        <item x="3"/>
        <item x="324"/>
        <item x="325"/>
        <item x="326"/>
        <item x="180"/>
        <item x="136"/>
        <item x="4"/>
        <item x="5"/>
        <item x="327"/>
        <item x="137"/>
        <item x="6"/>
        <item x="7"/>
        <item x="8"/>
        <item x="329"/>
        <item x="330"/>
        <item x="331"/>
        <item x="332"/>
        <item x="181"/>
        <item x="9"/>
        <item x="138"/>
        <item x="139"/>
        <item x="10"/>
        <item x="11"/>
        <item x="333"/>
        <item x="182"/>
        <item x="12"/>
        <item x="183"/>
        <item x="13"/>
        <item x="14"/>
        <item x="184"/>
        <item x="140"/>
        <item x="15"/>
        <item x="16"/>
        <item x="17"/>
        <item x="185"/>
        <item x="18"/>
        <item x="186"/>
        <item x="141"/>
        <item x="19"/>
        <item x="20"/>
        <item x="21"/>
        <item x="22"/>
        <item x="229"/>
        <item x="302"/>
        <item x="23"/>
        <item x="24"/>
        <item x="142"/>
        <item x="25"/>
        <item x="187"/>
        <item x="26"/>
        <item x="188"/>
        <item x="27"/>
        <item x="189"/>
        <item x="28"/>
        <item x="143"/>
        <item x="29"/>
        <item x="30"/>
        <item x="31"/>
        <item x="32"/>
        <item x="33"/>
        <item x="34"/>
        <item x="35"/>
        <item x="190"/>
        <item x="36"/>
        <item x="144"/>
        <item x="230"/>
        <item x="231"/>
        <item x="37"/>
        <item x="244"/>
        <item x="145"/>
        <item x="38"/>
        <item x="39"/>
        <item x="40"/>
        <item x="41"/>
        <item x="42"/>
        <item x="245"/>
        <item x="43"/>
        <item x="44"/>
        <item x="246"/>
        <item x="45"/>
        <item x="46"/>
        <item x="232"/>
        <item x="247"/>
        <item x="233"/>
        <item x="146"/>
        <item x="47"/>
        <item x="147"/>
        <item x="48"/>
        <item x="49"/>
        <item x="50"/>
        <item x="51"/>
        <item x="52"/>
        <item x="53"/>
        <item x="282"/>
        <item x="54"/>
        <item x="55"/>
        <item x="303"/>
        <item x="304"/>
        <item x="56"/>
        <item x="57"/>
        <item x="191"/>
        <item x="234"/>
        <item x="283"/>
        <item x="284"/>
        <item x="58"/>
        <item x="305"/>
        <item x="192"/>
        <item x="59"/>
        <item x="193"/>
        <item x="266"/>
        <item x="258"/>
        <item x="60"/>
        <item x="61"/>
        <item x="248"/>
        <item x="267"/>
        <item x="62"/>
        <item x="63"/>
        <item x="64"/>
        <item x="65"/>
        <item x="66"/>
        <item x="67"/>
        <item x="285"/>
        <item x="286"/>
        <item x="148"/>
        <item x="149"/>
        <item x="259"/>
        <item x="306"/>
        <item x="68"/>
        <item x="69"/>
        <item x="70"/>
        <item x="268"/>
        <item x="206"/>
        <item x="71"/>
        <item x="287"/>
        <item x="315"/>
        <item x="72"/>
        <item x="226"/>
        <item x="227"/>
        <item x="150"/>
        <item x="194"/>
        <item x="73"/>
        <item x="151"/>
        <item x="152"/>
        <item x="74"/>
        <item x="153"/>
        <item x="154"/>
        <item x="75"/>
        <item x="76"/>
        <item x="77"/>
        <item x="78"/>
        <item x="79"/>
        <item x="155"/>
        <item x="156"/>
        <item x="207"/>
        <item x="288"/>
        <item x="307"/>
        <item x="195"/>
        <item x="80"/>
        <item x="260"/>
        <item x="157"/>
        <item x="81"/>
        <item x="82"/>
        <item x="158"/>
        <item x="83"/>
        <item x="84"/>
        <item x="85"/>
        <item x="86"/>
        <item x="87"/>
        <item x="88"/>
        <item x="89"/>
        <item x="90"/>
        <item x="289"/>
        <item x="297"/>
        <item x="334"/>
        <item x="91"/>
        <item x="159"/>
        <item x="235"/>
        <item x="160"/>
        <item x="196"/>
        <item x="208"/>
        <item x="209"/>
        <item x="210"/>
        <item x="211"/>
        <item x="212"/>
        <item x="161"/>
        <item x="213"/>
        <item x="214"/>
        <item x="215"/>
        <item x="216"/>
        <item x="301"/>
        <item x="162"/>
        <item x="163"/>
        <item x="92"/>
        <item x="217"/>
        <item x="93"/>
        <item x="269"/>
        <item x="270"/>
        <item x="271"/>
        <item x="272"/>
        <item x="273"/>
        <item x="298"/>
        <item x="308"/>
        <item x="335"/>
        <item x="336"/>
        <item x="94"/>
        <item x="164"/>
        <item x="95"/>
        <item x="96"/>
        <item x="97"/>
        <item x="165"/>
        <item x="197"/>
        <item x="98"/>
        <item x="166"/>
        <item x="99"/>
        <item x="100"/>
        <item x="101"/>
        <item x="102"/>
        <item x="103"/>
        <item x="104"/>
        <item x="105"/>
        <item x="167"/>
        <item x="249"/>
        <item x="274"/>
        <item x="290"/>
        <item x="316"/>
        <item x="291"/>
        <item x="317"/>
        <item x="337"/>
        <item x="106"/>
        <item x="275"/>
        <item x="338"/>
        <item x="107"/>
        <item x="108"/>
        <item x="109"/>
        <item x="110"/>
        <item x="111"/>
        <item x="218"/>
        <item x="219"/>
        <item x="168"/>
        <item x="112"/>
        <item x="113"/>
        <item x="114"/>
        <item x="169"/>
        <item x="115"/>
        <item x="116"/>
        <item x="117"/>
        <item x="170"/>
        <item x="171"/>
        <item x="172"/>
        <item x="198"/>
        <item x="228"/>
        <item x="339"/>
        <item x="118"/>
        <item x="173"/>
        <item x="261"/>
        <item x="262"/>
        <item x="340"/>
        <item x="341"/>
        <item x="236"/>
        <item x="237"/>
        <item x="250"/>
        <item x="220"/>
        <item x="251"/>
        <item x="292"/>
        <item x="309"/>
        <item x="252"/>
        <item x="299"/>
        <item x="318"/>
        <item x="119"/>
        <item x="253"/>
        <item x="276"/>
        <item x="263"/>
        <item x="293"/>
        <item x="294"/>
        <item x="277"/>
        <item x="310"/>
        <item x="311"/>
        <item x="312"/>
        <item x="313"/>
        <item x="314"/>
        <item x="319"/>
        <item x="238"/>
        <item x="120"/>
        <item x="199"/>
        <item x="121"/>
        <item x="174"/>
        <item x="200"/>
        <item x="254"/>
        <item x="122"/>
        <item x="175"/>
        <item x="255"/>
        <item x="123"/>
        <item x="201"/>
        <item x="295"/>
        <item x="124"/>
        <item x="125"/>
        <item x="126"/>
        <item x="127"/>
        <item x="202"/>
        <item x="221"/>
        <item x="239"/>
        <item x="240"/>
        <item x="241"/>
        <item x="264"/>
        <item x="278"/>
        <item x="279"/>
        <item x="320"/>
        <item x="321"/>
        <item x="322"/>
        <item x="300"/>
        <item x="128"/>
        <item x="176"/>
        <item x="203"/>
        <item x="204"/>
        <item x="222"/>
        <item x="223"/>
        <item x="256"/>
        <item x="224"/>
        <item x="225"/>
        <item x="280"/>
        <item x="281"/>
        <item x="129"/>
        <item x="130"/>
        <item x="177"/>
        <item x="242"/>
        <item x="178"/>
        <item x="179"/>
        <item x="131"/>
        <item x="132"/>
        <item x="205"/>
        <item x="243"/>
        <item x="257"/>
        <item x="265"/>
        <item x="296"/>
        <item x="345"/>
        <item x="323"/>
        <item x="328"/>
        <item x="342"/>
        <item x="343"/>
        <item x="344"/>
        <item x="346"/>
        <item x="347"/>
        <item x="348"/>
        <item x="350"/>
        <item x="351"/>
        <item x="352"/>
        <item x="354"/>
        <item x="349"/>
        <item x="353"/>
        <item x="355"/>
        <item x="356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24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248"/>
        <item x="267"/>
        <item x="47"/>
        <item x="48"/>
        <item x="54"/>
        <item x="166"/>
        <item x="247"/>
        <item x="223"/>
        <item x="193"/>
        <item x="176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217"/>
        <item x="83"/>
        <item x="89"/>
        <item x="256"/>
        <item x="84"/>
        <item x="87"/>
        <item x="152"/>
        <item x="19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291"/>
        <item x="307"/>
        <item x="308"/>
        <item x="309"/>
        <item x="311"/>
        <item x="312"/>
        <item x="313"/>
        <item x="315"/>
        <item x="316"/>
        <item x="317"/>
        <item x="319"/>
        <item x="314"/>
        <item m="1" x="322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0"/>
    <field x="2"/>
  </rowFields>
  <rowItems count="365">
    <i>
      <x/>
    </i>
    <i r="1">
      <x v="166"/>
    </i>
    <i>
      <x v="2"/>
    </i>
    <i r="1">
      <x v="165"/>
    </i>
    <i>
      <x v="4"/>
    </i>
    <i r="1">
      <x v="158"/>
    </i>
    <i>
      <x v="7"/>
    </i>
    <i r="1">
      <x v="160"/>
    </i>
    <i>
      <x v="8"/>
    </i>
    <i r="1">
      <x v="163"/>
    </i>
    <i>
      <x v="9"/>
    </i>
    <i r="1">
      <x v="150"/>
    </i>
    <i>
      <x v="10"/>
    </i>
    <i r="1">
      <x v="157"/>
    </i>
    <i>
      <x v="11"/>
    </i>
    <i r="1">
      <x v="149"/>
    </i>
    <i>
      <x v="14"/>
    </i>
    <i r="1">
      <x v="162"/>
    </i>
    <i>
      <x v="15"/>
    </i>
    <i r="1">
      <x v="156"/>
    </i>
    <i>
      <x v="16"/>
    </i>
    <i r="1">
      <x v="147"/>
    </i>
    <i>
      <x v="19"/>
    </i>
    <i r="1">
      <x v="161"/>
    </i>
    <i>
      <x v="20"/>
    </i>
    <i r="1">
      <x v="164"/>
    </i>
    <i>
      <x v="21"/>
    </i>
    <i r="1">
      <x v="151"/>
    </i>
    <i>
      <x v="22"/>
    </i>
    <i r="1">
      <x v="138"/>
    </i>
    <i>
      <x v="29"/>
    </i>
    <i r="1">
      <x v="173"/>
    </i>
    <i>
      <x v="35"/>
    </i>
    <i r="1">
      <x v="159"/>
    </i>
    <i>
      <x v="42"/>
    </i>
    <i r="1">
      <x v="167"/>
    </i>
    <i>
      <x v="43"/>
    </i>
    <i r="1">
      <x v="143"/>
    </i>
    <i>
      <x v="46"/>
    </i>
    <i r="1">
      <x v="276"/>
    </i>
    <i>
      <x v="47"/>
    </i>
    <i r="1">
      <x v="174"/>
    </i>
    <i>
      <x v="49"/>
    </i>
    <i r="1">
      <x v="124"/>
    </i>
    <i>
      <x v="50"/>
    </i>
    <i r="1">
      <x v="130"/>
    </i>
    <i>
      <x v="51"/>
    </i>
    <i r="1">
      <x v="131"/>
    </i>
    <i>
      <x v="52"/>
    </i>
    <i r="1">
      <x v="153"/>
    </i>
    <i>
      <x v="54"/>
    </i>
    <i r="1">
      <x v="152"/>
    </i>
    <i>
      <x v="56"/>
    </i>
    <i r="1">
      <x v="135"/>
    </i>
    <i>
      <x v="58"/>
    </i>
    <i r="1">
      <x v="134"/>
    </i>
    <i>
      <x v="62"/>
    </i>
    <i r="1">
      <x v="206"/>
    </i>
    <i>
      <x v="63"/>
    </i>
    <i r="1">
      <x v="120"/>
    </i>
    <i>
      <x v="64"/>
    </i>
    <i r="1">
      <x v="206"/>
    </i>
    <i>
      <x v="65"/>
    </i>
    <i r="1">
      <x v="120"/>
    </i>
    <i>
      <x v="66"/>
    </i>
    <i r="1">
      <x v="206"/>
    </i>
    <i>
      <x v="67"/>
    </i>
    <i r="1">
      <x v="120"/>
    </i>
    <i>
      <x v="68"/>
    </i>
    <i r="1">
      <x v="120"/>
    </i>
    <i>
      <x v="70"/>
    </i>
    <i r="1">
      <x v="128"/>
    </i>
    <i>
      <x v="71"/>
    </i>
    <i r="1">
      <x v="125"/>
    </i>
    <i>
      <x v="72"/>
    </i>
    <i r="1">
      <x v="126"/>
    </i>
    <i>
      <x v="73"/>
    </i>
    <i r="1">
      <x v="122"/>
    </i>
    <i>
      <x v="74"/>
    </i>
    <i r="1">
      <x v="140"/>
    </i>
    <i>
      <x v="75"/>
    </i>
    <i r="1">
      <x v="11"/>
    </i>
    <i>
      <x v="78"/>
    </i>
    <i r="1">
      <x v="3"/>
    </i>
    <i>
      <x v="79"/>
    </i>
    <i r="1">
      <x v="85"/>
    </i>
    <i>
      <x v="80"/>
    </i>
    <i r="1">
      <x v="1"/>
    </i>
    <i>
      <x v="81"/>
    </i>
    <i r="1">
      <x v="168"/>
    </i>
    <i>
      <x v="83"/>
    </i>
    <i r="1">
      <x v="82"/>
    </i>
    <i>
      <x v="84"/>
    </i>
    <i r="1">
      <x v="83"/>
    </i>
    <i>
      <x v="85"/>
    </i>
    <i r="1">
      <x v="79"/>
    </i>
    <i>
      <x v="87"/>
    </i>
    <i r="1">
      <x v="116"/>
    </i>
    <i>
      <x v="88"/>
    </i>
    <i r="1">
      <x v="115"/>
    </i>
    <i>
      <x v="89"/>
    </i>
    <i r="1">
      <x v="228"/>
    </i>
    <i>
      <x v="90"/>
    </i>
    <i r="1">
      <x v="133"/>
    </i>
    <i>
      <x v="91"/>
    </i>
    <i r="1">
      <x v="277"/>
    </i>
    <i>
      <x v="92"/>
    </i>
    <i r="1">
      <x v="230"/>
    </i>
    <i>
      <x v="98"/>
    </i>
    <i r="1">
      <x v="32"/>
    </i>
    <i>
      <x v="99"/>
    </i>
    <i r="1">
      <x v="30"/>
    </i>
    <i>
      <x v="100"/>
    </i>
    <i r="1">
      <x v="33"/>
    </i>
    <i>
      <x v="101"/>
    </i>
    <i r="1">
      <x v="72"/>
    </i>
    <i>
      <x v="102"/>
    </i>
    <i r="1">
      <x v="31"/>
    </i>
    <i>
      <x v="106"/>
    </i>
    <i r="1">
      <x v="35"/>
    </i>
    <i>
      <x v="108"/>
    </i>
    <i r="1">
      <x v="257"/>
    </i>
    <i>
      <x v="109"/>
    </i>
    <i r="1">
      <x v="262"/>
    </i>
    <i>
      <x v="110"/>
    </i>
    <i r="1">
      <x v="8"/>
    </i>
    <i>
      <x v="113"/>
    </i>
    <i r="1">
      <x v="306"/>
    </i>
    <i>
      <x v="114"/>
    </i>
    <i r="1">
      <x v="259"/>
    </i>
    <i>
      <x v="116"/>
    </i>
    <i r="1">
      <x v="260"/>
    </i>
    <i>
      <x v="118"/>
    </i>
    <i r="1">
      <x v="303"/>
    </i>
    <i>
      <x v="119"/>
    </i>
    <i r="1">
      <x v="118"/>
    </i>
    <i>
      <x v="120"/>
    </i>
    <i r="1">
      <x v="302"/>
    </i>
    <i>
      <x v="121"/>
    </i>
    <i r="1">
      <x v="213"/>
    </i>
    <i>
      <x v="122"/>
    </i>
    <i r="1">
      <x v="17"/>
    </i>
    <i>
      <x v="123"/>
    </i>
    <i r="1">
      <x v="253"/>
    </i>
    <i>
      <x v="124"/>
    </i>
    <i r="1">
      <x v="81"/>
    </i>
    <i>
      <x v="125"/>
    </i>
    <i r="1">
      <x v="84"/>
    </i>
    <i>
      <x v="126"/>
    </i>
    <i r="1">
      <x v="19"/>
    </i>
    <i>
      <x v="127"/>
    </i>
    <i r="1">
      <x v="18"/>
    </i>
    <i>
      <x v="128"/>
    </i>
    <i r="1">
      <x v="16"/>
    </i>
    <i>
      <x v="129"/>
    </i>
    <i r="1">
      <x v="241"/>
    </i>
    <i>
      <x v="130"/>
    </i>
    <i r="1">
      <x v="117"/>
    </i>
    <i>
      <x v="131"/>
    </i>
    <i r="1">
      <x v="23"/>
    </i>
    <i>
      <x v="132"/>
    </i>
    <i r="1">
      <x v="80"/>
    </i>
    <i>
      <x v="136"/>
    </i>
    <i r="1">
      <x v="6"/>
    </i>
    <i>
      <x v="140"/>
    </i>
    <i r="1">
      <x v="205"/>
    </i>
    <i>
      <x v="144"/>
    </i>
    <i r="1">
      <x v="204"/>
    </i>
    <i>
      <x v="145"/>
    </i>
    <i r="1">
      <x v="217"/>
    </i>
    <i>
      <x v="147"/>
    </i>
    <i r="1">
      <x v="170"/>
    </i>
    <i>
      <x v="148"/>
    </i>
    <i r="1">
      <x v="169"/>
    </i>
    <i>
      <x v="149"/>
    </i>
    <i r="1">
      <x v="254"/>
    </i>
    <i>
      <x v="150"/>
    </i>
    <i r="1">
      <x v="99"/>
    </i>
    <i>
      <x v="151"/>
    </i>
    <i r="1">
      <x v="221"/>
    </i>
    <i>
      <x v="157"/>
    </i>
    <i r="1">
      <x v="2"/>
    </i>
    <i>
      <x v="158"/>
    </i>
    <i r="1">
      <x v="220"/>
    </i>
    <i>
      <x v="159"/>
    </i>
    <i r="1">
      <x v="175"/>
    </i>
    <i>
      <x v="160"/>
    </i>
    <i r="1">
      <x v="219"/>
    </i>
    <i>
      <x v="161"/>
    </i>
    <i r="1">
      <x v="215"/>
    </i>
    <i>
      <x v="162"/>
    </i>
    <i r="1">
      <x v="222"/>
    </i>
    <i>
      <x v="163"/>
    </i>
    <i r="1">
      <x v="248"/>
    </i>
    <i>
      <x v="164"/>
    </i>
    <i r="1">
      <x v="201"/>
    </i>
    <i>
      <x v="165"/>
    </i>
    <i r="1">
      <x v="245"/>
    </i>
    <i>
      <x v="168"/>
    </i>
    <i r="1">
      <x v="177"/>
    </i>
    <i>
      <x v="179"/>
    </i>
    <i r="1">
      <x v="288"/>
    </i>
    <i>
      <x v="181"/>
    </i>
    <i r="1">
      <x v="101"/>
    </i>
    <i>
      <x v="183"/>
    </i>
    <i r="1">
      <x v="113"/>
    </i>
    <i>
      <x v="185"/>
    </i>
    <i r="1">
      <x v="111"/>
    </i>
    <i>
      <x v="186"/>
    </i>
    <i r="1">
      <x v="105"/>
    </i>
    <i>
      <x v="187"/>
    </i>
    <i r="1">
      <x v="106"/>
    </i>
    <i>
      <x v="188"/>
    </i>
    <i r="1">
      <x v="104"/>
    </i>
    <i>
      <x v="189"/>
    </i>
    <i r="1">
      <x v="103"/>
    </i>
    <i>
      <x v="198"/>
    </i>
    <i r="1">
      <x v="209"/>
    </i>
    <i>
      <x v="201"/>
    </i>
    <i r="1">
      <x v="22"/>
    </i>
    <i>
      <x v="202"/>
    </i>
    <i r="1">
      <x v="29"/>
    </i>
    <i>
      <x v="208"/>
    </i>
    <i r="1">
      <x v="297"/>
    </i>
    <i>
      <x v="209"/>
    </i>
    <i r="1">
      <x v="290"/>
    </i>
    <i>
      <x v="210"/>
    </i>
    <i r="1">
      <x v="25"/>
    </i>
    <i>
      <x v="211"/>
    </i>
    <i r="1">
      <x v="208"/>
    </i>
    <i>
      <x v="212"/>
    </i>
    <i r="1">
      <x v="182"/>
    </i>
    <i>
      <x v="213"/>
    </i>
    <i r="1">
      <x v="193"/>
    </i>
    <i>
      <x v="214"/>
    </i>
    <i r="1">
      <x v="196"/>
    </i>
    <i>
      <x v="215"/>
    </i>
    <i r="1">
      <x v="232"/>
    </i>
    <i>
      <x v="216"/>
    </i>
    <i r="1">
      <x v="183"/>
    </i>
    <i>
      <x v="218"/>
    </i>
    <i r="1">
      <x v="258"/>
    </i>
    <i>
      <x v="219"/>
    </i>
    <i r="1">
      <x v="12"/>
    </i>
    <i>
      <x v="220"/>
    </i>
    <i r="1">
      <x v="197"/>
    </i>
    <i>
      <x v="221"/>
    </i>
    <i r="1">
      <x v="190"/>
    </i>
    <i>
      <x v="222"/>
    </i>
    <i r="1">
      <x v="194"/>
    </i>
    <i>
      <x v="225"/>
    </i>
    <i r="1">
      <x v="191"/>
    </i>
    <i>
      <x v="226"/>
    </i>
    <i r="1">
      <x v="210"/>
    </i>
    <i>
      <x v="227"/>
    </i>
    <i r="1">
      <x v="192"/>
    </i>
    <i>
      <x v="229"/>
    </i>
    <i r="1">
      <x v="185"/>
    </i>
    <i>
      <x v="233"/>
    </i>
    <i r="1">
      <x v="289"/>
    </i>
    <i>
      <x v="234"/>
    </i>
    <i r="1">
      <x v="294"/>
    </i>
    <i>
      <x v="236"/>
    </i>
    <i r="1">
      <x v="293"/>
    </i>
    <i>
      <x v="237"/>
    </i>
    <i r="1">
      <x v="178"/>
    </i>
    <i>
      <x v="238"/>
    </i>
    <i r="1">
      <x v="179"/>
    </i>
    <i>
      <x v="239"/>
    </i>
    <i r="1">
      <x v="181"/>
    </i>
    <i>
      <x v="240"/>
    </i>
    <i r="1">
      <x v="207"/>
    </i>
    <i>
      <x v="241"/>
    </i>
    <i r="1">
      <x v="27"/>
    </i>
    <i>
      <x v="242"/>
    </i>
    <i r="1">
      <x v="180"/>
    </i>
    <i>
      <x v="244"/>
    </i>
    <i r="1">
      <x v="14"/>
    </i>
    <i>
      <x v="252"/>
    </i>
    <i r="1">
      <x v="15"/>
    </i>
    <i>
      <x v="253"/>
    </i>
    <i r="1">
      <x v="200"/>
    </i>
    <i>
      <x v="255"/>
    </i>
    <i r="1">
      <x v="186"/>
    </i>
    <i>
      <x v="257"/>
    </i>
    <i r="1">
      <x v="292"/>
    </i>
    <i>
      <x v="262"/>
    </i>
    <i r="1">
      <x v="287"/>
    </i>
    <i>
      <x v="263"/>
    </i>
    <i r="1">
      <x v="291"/>
    </i>
    <i>
      <x v="269"/>
    </i>
    <i r="1">
      <x v="95"/>
    </i>
    <i>
      <x v="270"/>
    </i>
    <i r="1">
      <x v="265"/>
    </i>
    <i>
      <x v="271"/>
    </i>
    <i r="1">
      <x v="304"/>
    </i>
    <i>
      <x v="273"/>
    </i>
    <i r="1">
      <x v="242"/>
    </i>
    <i>
      <x v="291"/>
    </i>
    <i r="1">
      <x v="279"/>
    </i>
    <i>
      <x v="293"/>
    </i>
    <i r="1">
      <x v="278"/>
    </i>
    <i>
      <x v="295"/>
    </i>
    <i r="1">
      <x v="282"/>
    </i>
    <i>
      <x v="298"/>
    </i>
    <i r="1">
      <x v="39"/>
    </i>
    <i>
      <x v="299"/>
    </i>
    <i r="1">
      <x v="41"/>
    </i>
    <i>
      <x v="304"/>
    </i>
    <i r="1">
      <x v="46"/>
    </i>
    <i>
      <x v="305"/>
    </i>
    <i r="1">
      <x v="48"/>
    </i>
    <i>
      <x v="306"/>
    </i>
    <i r="1">
      <x v="49"/>
    </i>
    <i>
      <x v="307"/>
    </i>
    <i r="1">
      <x v="47"/>
    </i>
    <i>
      <x v="308"/>
    </i>
    <i r="1">
      <x v="50"/>
    </i>
    <i>
      <x v="309"/>
    </i>
    <i r="1">
      <x v="55"/>
    </i>
    <i>
      <x v="310"/>
    </i>
    <i r="1">
      <x v="51"/>
    </i>
    <i>
      <x v="311"/>
    </i>
    <i r="1">
      <x v="52"/>
    </i>
    <i>
      <x v="312"/>
    </i>
    <i r="1">
      <x v="54"/>
    </i>
    <i>
      <x v="313"/>
    </i>
    <i r="1">
      <x v="56"/>
    </i>
    <i>
      <x v="314"/>
    </i>
    <i r="1">
      <x v="53"/>
    </i>
    <i>
      <x v="315"/>
    </i>
    <i r="1">
      <x v="63"/>
    </i>
    <i>
      <x v="319"/>
    </i>
    <i r="1">
      <x v="61"/>
    </i>
    <i>
      <x v="322"/>
    </i>
    <i r="1">
      <x v="37"/>
    </i>
    <i>
      <x v="323"/>
    </i>
    <i r="1">
      <x v="38"/>
    </i>
    <i>
      <x v="324"/>
    </i>
    <i r="1">
      <x v="64"/>
    </i>
    <i>
      <x v="325"/>
    </i>
    <i r="1">
      <x v="36"/>
    </i>
    <i>
      <x v="326"/>
    </i>
    <i r="1">
      <x v="36"/>
    </i>
    <i>
      <x v="329"/>
    </i>
    <i r="1">
      <x v="67"/>
    </i>
    <i>
      <x v="330"/>
    </i>
    <i r="1">
      <x v="21"/>
    </i>
    <i>
      <x v="339"/>
    </i>
    <i r="1">
      <x v="273"/>
    </i>
    <i>
      <x v="340"/>
    </i>
    <i r="1">
      <x v="272"/>
    </i>
    <i>
      <x v="341"/>
    </i>
    <i r="1">
      <x v="271"/>
    </i>
    <i>
      <x v="342"/>
    </i>
    <i r="1">
      <x v="307"/>
    </i>
    <i>
      <x v="343"/>
    </i>
    <i r="1">
      <x v="308"/>
    </i>
    <i>
      <x v="344"/>
    </i>
    <i r="1">
      <x v="309"/>
    </i>
    <i>
      <x v="345"/>
    </i>
    <i r="1">
      <x v="310"/>
    </i>
    <i>
      <x v="346"/>
    </i>
    <i r="1">
      <x v="31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" item="12" hier="-1"/>
  </pageFields>
  <dataFields count="12">
    <dataField name="Suma de Enero" fld="24" baseField="0" baseItem="0" numFmtId="166"/>
    <dataField name="Suma de Febrero" fld="25" baseField="0" baseItem="0" numFmtId="166"/>
    <dataField name="Suma de Marzo" fld="26" baseField="0" baseItem="0" numFmtId="166"/>
    <dataField name="Suma de Abril" fld="27" baseField="0" baseItem="5" numFmtId="166"/>
    <dataField name="Suma de Mayo" fld="28" baseField="0" baseItem="0" numFmtId="166"/>
    <dataField name="Suma de Junio" fld="29" baseField="0" baseItem="0" numFmtId="166"/>
    <dataField name="Suma de Julio" fld="30" baseField="0" baseItem="0" numFmtId="166"/>
    <dataField name="Suma de Agosto" fld="31" baseField="0" baseItem="0" numFmtId="166"/>
    <dataField name="Suma de Setiembre" fld="32" baseField="0" baseItem="0" numFmtId="166"/>
    <dataField name="Suma de Octubre" fld="33" baseField="0" baseItem="0" numFmtId="166"/>
    <dataField name="Suma de Noviembre" fld="34" baseField="2" baseItem="158"/>
    <dataField name="Suma de Diciembre" fld="35" baseField="0" baseItem="5"/>
  </dataFields>
  <formats count="1">
    <format dxfId="14">
      <pivotArea outline="0" collapsedLevelsAreSubtotals="1" fieldPosition="0">
        <references count="1">
          <reference field="4294967294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6000000}" name="Tabla dinámica8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24:AR27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7000000}" name="Tabla dinámica9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9:BJ11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3000000}" name="Tabla dinámica4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33:AC43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10">
    <i>
      <x v="151"/>
    </i>
    <i>
      <x v="153"/>
    </i>
    <i>
      <x v="155"/>
    </i>
    <i>
      <x v="161"/>
    </i>
    <i>
      <x v="162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2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5">
      <pivotArea outline="0" collapsedLevelsAreSubtotals="1" fieldPosition="0"/>
    </format>
    <format dxfId="4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Tabla dinámica3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3:M40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item="19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68"/>
    <dataField name="Suma de Setiembre" fld="32" baseField="2" baseItem="168"/>
    <dataField name="Suma de Octubre" fld="33" baseField="2" baseItem="168"/>
    <dataField name="Suma de Noviembre" fld="34" baseField="2" baseItem="168"/>
    <dataField name="Suma de Diciembre" fld="35" baseField="2" baseItem="154"/>
  </dataFields>
  <formats count="4">
    <format dxfId="9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Tabla dinámica10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X22:BJ24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x="3"/>
        <item h="1" x="12"/>
        <item h="1" x="11"/>
        <item h="1" x="10"/>
        <item h="1"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h="1"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2">
    <i>
      <x v="16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5000000}" name="Tabla dinámica6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F9:AR12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multipleItemSelectionAllowed="1" showAll="0">
      <items count="54">
        <item h="1" x="35"/>
        <item h="1" x="43"/>
        <item h="1" x="16"/>
        <item h="1" x="38"/>
        <item h="1" x="37"/>
        <item h="1" x="19"/>
        <item h="1" x="14"/>
        <item h="1" x="4"/>
        <item h="1" x="9"/>
        <item h="1" x="39"/>
        <item h="1" x="5"/>
        <item h="1" x="3"/>
        <item h="1" x="12"/>
        <item h="1" x="11"/>
        <item h="1" x="10"/>
        <item x="2"/>
        <item h="1" x="6"/>
        <item h="1" x="7"/>
        <item h="1" x="8"/>
        <item h="1" x="0"/>
        <item h="1" x="1"/>
        <item h="1" x="15"/>
        <item h="1" x="26"/>
        <item h="1" x="45"/>
        <item h="1" x="23"/>
        <item h="1" x="13"/>
        <item h="1" x="25"/>
        <item h="1" x="48"/>
        <item h="1" x="24"/>
        <item h="1" x="22"/>
        <item h="1" x="21"/>
        <item h="1" x="36"/>
        <item h="1" x="30"/>
        <item h="1" x="40"/>
        <item h="1" x="29"/>
        <item h="1" x="28"/>
        <item h="1" x="31"/>
        <item h="1" x="27"/>
        <item h="1" x="46"/>
        <item h="1" x="32"/>
        <item h="1" x="34"/>
        <item h="1" x="50"/>
        <item h="1" x="51"/>
        <item h="1" x="42"/>
        <item h="1" x="33"/>
        <item h="1" x="41"/>
        <item x="20"/>
        <item h="1" x="17"/>
        <item h="1" x="47"/>
        <item h="1" x="18"/>
        <item h="1" x="44"/>
        <item h="1" x="52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3">
    <i>
      <x v="142"/>
    </i>
    <i>
      <x v="17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" hier="-1"/>
    <pageField fld="8" hier="-1"/>
    <pageField fld="10" hier="-1"/>
  </pageFields>
  <dataFields count="12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  <dataField name="Suma de Agosto" fld="31" baseField="2" baseItem="142"/>
    <dataField name="Suma de Setiembre" fld="32" baseField="2" baseItem="142"/>
    <dataField name="Suma de Octubre" fld="33" baseField="2" baseItem="142"/>
    <dataField name="Suma de Noviembre" fld="34" baseField="2" baseItem="142"/>
    <dataField name="Suma de Diciembre" fld="35" baseField="2" baseItem="142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 dinámica1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:H15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 v="154"/>
    </i>
    <i>
      <x v="163"/>
    </i>
    <i>
      <x v="165"/>
    </i>
    <i>
      <x v="168"/>
    </i>
    <i>
      <x v="171"/>
    </i>
    <i>
      <x v="17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19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4000000}" name="Tabla dinámica5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Q8:X19" firstHeaderRow="0" firstDataRow="1" firstDataCol="1" rowPageCount="3" colPageCount="1"/>
  <pivotFields count="40">
    <pivotField showAll="0"/>
    <pivotField axis="axisPage"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t="default"/>
      </items>
    </pivotField>
    <pivotField axis="axisRow" showAll="0">
      <items count="325">
        <item x="158"/>
        <item x="37"/>
        <item x="137"/>
        <item x="35"/>
        <item x="72"/>
        <item x="63"/>
        <item x="235"/>
        <item x="65"/>
        <item x="52"/>
        <item x="46"/>
        <item x="45"/>
        <item x="127"/>
        <item x="86"/>
        <item x="149"/>
        <item x="148"/>
        <item x="150"/>
        <item x="251"/>
        <item x="57"/>
        <item x="250"/>
        <item x="61"/>
        <item x="153"/>
        <item x="210"/>
        <item x="236"/>
        <item x="226"/>
        <item x="188"/>
        <item x="81"/>
        <item x="273"/>
        <item x="98"/>
        <item x="271"/>
        <item x="237"/>
        <item x="319"/>
        <item x="248"/>
        <item x="267"/>
        <item x="47"/>
        <item x="48"/>
        <item x="54"/>
        <item x="166"/>
        <item x="247"/>
        <item x="223"/>
        <item x="193"/>
        <item x="176"/>
        <item x="307"/>
        <item x="105"/>
        <item x="259"/>
        <item x="106"/>
        <item x="107"/>
        <item x="109"/>
        <item x="108"/>
        <item x="177"/>
        <item x="208"/>
        <item x="190"/>
        <item x="207"/>
        <item x="209"/>
        <item x="245"/>
        <item x="246"/>
        <item x="285"/>
        <item x="308"/>
        <item x="283"/>
        <item x="231"/>
        <item x="284"/>
        <item x="110"/>
        <item x="156"/>
        <item x="178"/>
        <item x="191"/>
        <item x="179"/>
        <item x="192"/>
        <item x="264"/>
        <item x="194"/>
        <item x="111"/>
        <item x="112"/>
        <item x="309"/>
        <item x="157"/>
        <item x="91"/>
        <item x="99"/>
        <item x="90"/>
        <item x="78"/>
        <item x="49"/>
        <item x="120"/>
        <item x="228"/>
        <item x="229"/>
        <item x="100"/>
        <item x="161"/>
        <item x="34"/>
        <item x="40"/>
        <item x="269"/>
        <item x="59"/>
        <item x="39"/>
        <item x="214"/>
        <item x="60"/>
        <item x="36"/>
        <item x="196"/>
        <item x="195"/>
        <item x="238"/>
        <item x="282"/>
        <item x="64"/>
        <item x="206"/>
        <item x="218"/>
        <item x="205"/>
        <item x="174"/>
        <item x="257"/>
        <item x="219"/>
        <item x="254"/>
        <item x="102"/>
        <item x="135"/>
        <item x="261"/>
        <item x="139"/>
        <item x="244"/>
        <item x="187"/>
        <item x="186"/>
        <item x="184"/>
        <item x="185"/>
        <item x="265"/>
        <item x="204"/>
        <item x="141"/>
        <item x="142"/>
        <item x="183"/>
        <item x="143"/>
        <item x="140"/>
        <item x="171"/>
        <item x="215"/>
        <item x="201"/>
        <item x="131"/>
        <item x="216"/>
        <item x="0"/>
        <item x="31"/>
        <item x="32"/>
        <item x="33"/>
        <item x="198"/>
        <item x="266"/>
        <item x="297"/>
        <item x="200"/>
        <item x="199"/>
        <item x="126"/>
        <item x="41"/>
        <item x="23"/>
        <item x="24"/>
        <item x="18"/>
        <item x="128"/>
        <item x="165"/>
        <item x="164"/>
        <item x="2"/>
        <item x="1"/>
        <item x="295"/>
        <item x="9"/>
        <item x="212"/>
        <item x="3"/>
        <item x="5"/>
        <item x="123"/>
        <item x="8"/>
        <item x="4"/>
        <item x="121"/>
        <item x="6"/>
        <item x="12"/>
        <item x="118"/>
        <item x="289"/>
        <item x="294"/>
        <item x="312"/>
        <item x="163"/>
        <item x="124"/>
        <item x="26"/>
        <item x="25"/>
        <item x="119"/>
        <item x="160"/>
        <item x="117"/>
        <item x="122"/>
        <item x="287"/>
        <item x="292"/>
        <item x="290"/>
        <item x="288"/>
        <item x="293"/>
        <item x="291"/>
        <item x="116"/>
        <item x="115"/>
        <item x="162"/>
        <item x="213"/>
        <item x="134"/>
        <item x="133"/>
        <item x="27"/>
        <item x="28"/>
        <item x="296"/>
        <item x="22"/>
        <item x="182"/>
        <item x="233"/>
        <item x="77"/>
        <item x="94"/>
        <item x="95"/>
        <item x="189"/>
        <item x="96"/>
        <item x="82"/>
        <item x="172"/>
        <item x="279"/>
        <item x="255"/>
        <item x="173"/>
        <item x="258"/>
        <item x="262"/>
        <item x="85"/>
        <item x="88"/>
        <item x="92"/>
        <item x="316"/>
        <item x="217"/>
        <item x="83"/>
        <item x="89"/>
        <item x="256"/>
        <item x="84"/>
        <item x="87"/>
        <item x="152"/>
        <item x="197"/>
        <item x="317"/>
        <item x="151"/>
        <item x="227"/>
        <item x="252"/>
        <item x="66"/>
        <item x="132"/>
        <item x="278"/>
        <item x="30"/>
        <item x="97"/>
        <item x="144"/>
        <item x="79"/>
        <item x="147"/>
        <item x="125"/>
        <item x="29"/>
        <item x="56"/>
        <item x="73"/>
        <item x="270"/>
        <item x="71"/>
        <item x="169"/>
        <item x="67"/>
        <item x="253"/>
        <item x="70"/>
        <item x="313"/>
        <item x="136"/>
        <item x="170"/>
        <item x="274"/>
        <item x="275"/>
        <item x="181"/>
        <item x="69"/>
        <item x="268"/>
        <item x="202"/>
        <item x="44"/>
        <item x="129"/>
        <item x="43"/>
        <item x="145"/>
        <item x="62"/>
        <item x="11"/>
        <item x="10"/>
        <item x="13"/>
        <item x="14"/>
        <item x="20"/>
        <item x="19"/>
        <item x="101"/>
        <item x="130"/>
        <item x="306"/>
        <item x="281"/>
        <item x="315"/>
        <item x="103"/>
        <item x="138"/>
        <item x="76"/>
        <item x="75"/>
        <item x="74"/>
        <item x="15"/>
        <item x="16"/>
        <item x="17"/>
        <item x="7"/>
        <item x="58"/>
        <item x="68"/>
        <item x="241"/>
        <item x="277"/>
        <item x="203"/>
        <item x="146"/>
        <item x="168"/>
        <item x="225"/>
        <item x="280"/>
        <item x="249"/>
        <item x="239"/>
        <item x="276"/>
        <item x="272"/>
        <item x="159"/>
        <item x="224"/>
        <item x="211"/>
        <item x="113"/>
        <item x="232"/>
        <item x="286"/>
        <item x="310"/>
        <item x="260"/>
        <item x="311"/>
        <item x="114"/>
        <item x="180"/>
        <item x="21"/>
        <item x="42"/>
        <item x="221"/>
        <item x="154"/>
        <item x="175"/>
        <item x="222"/>
        <item x="155"/>
        <item x="104"/>
        <item x="243"/>
        <item x="230"/>
        <item x="242"/>
        <item x="304"/>
        <item x="298"/>
        <item x="301"/>
        <item x="300"/>
        <item x="305"/>
        <item x="303"/>
        <item x="302"/>
        <item x="93"/>
        <item x="38"/>
        <item x="80"/>
        <item x="299"/>
        <item x="240"/>
        <item x="51"/>
        <item x="50"/>
        <item x="263"/>
        <item x="234"/>
        <item x="55"/>
        <item x="220"/>
        <item x="167"/>
        <item x="53"/>
        <item x="322"/>
        <item x="314"/>
        <item m="1" x="323"/>
        <item x="318"/>
        <item x="320"/>
        <item x="32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8">
        <item h="1" x="14"/>
        <item h="1" x="15"/>
        <item h="1" x="19"/>
        <item h="1" x="5"/>
        <item h="1" x="16"/>
        <item x="0"/>
        <item h="1" x="2"/>
        <item h="1" x="3"/>
        <item h="1" x="1"/>
        <item h="1" x="7"/>
        <item h="1" x="21"/>
        <item h="1" x="24"/>
        <item h="1" x="8"/>
        <item h="1" x="9"/>
        <item h="1" x="4"/>
        <item h="1" x="25"/>
        <item h="1" x="23"/>
        <item h="1" x="22"/>
        <item h="1" x="17"/>
        <item h="1" x="18"/>
        <item h="1" x="11"/>
        <item h="1" x="10"/>
        <item h="1" x="13"/>
        <item h="1" x="12"/>
        <item h="1" x="20"/>
        <item h="1" x="6"/>
        <item h="1" x="26"/>
        <item t="default"/>
      </items>
    </pivotField>
    <pivotField showAll="0"/>
    <pivotField axis="axisPage" showAll="0">
      <items count="54">
        <item x="35"/>
        <item x="43"/>
        <item x="16"/>
        <item x="38"/>
        <item x="37"/>
        <item x="19"/>
        <item x="14"/>
        <item x="4"/>
        <item x="9"/>
        <item x="39"/>
        <item x="5"/>
        <item x="3"/>
        <item x="12"/>
        <item x="11"/>
        <item x="10"/>
        <item x="2"/>
        <item x="6"/>
        <item x="7"/>
        <item x="8"/>
        <item x="0"/>
        <item x="1"/>
        <item x="15"/>
        <item x="26"/>
        <item x="45"/>
        <item x="23"/>
        <item x="13"/>
        <item x="25"/>
        <item x="48"/>
        <item x="24"/>
        <item x="22"/>
        <item x="21"/>
        <item x="36"/>
        <item x="30"/>
        <item x="40"/>
        <item x="29"/>
        <item x="28"/>
        <item x="31"/>
        <item x="27"/>
        <item x="46"/>
        <item x="32"/>
        <item x="34"/>
        <item x="50"/>
        <item x="51"/>
        <item x="42"/>
        <item x="33"/>
        <item x="41"/>
        <item x="20"/>
        <item x="17"/>
        <item x="47"/>
        <item x="18"/>
        <item x="44"/>
        <item x="5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151"/>
    </i>
    <i>
      <x v="153"/>
    </i>
    <i>
      <x v="155"/>
    </i>
    <i>
      <x v="156"/>
    </i>
    <i>
      <x v="161"/>
    </i>
    <i>
      <x v="162"/>
    </i>
    <i>
      <x v="166"/>
    </i>
    <i>
      <x v="167"/>
    </i>
    <i>
      <x v="169"/>
    </i>
    <i>
      <x v="17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1" hier="-1"/>
    <pageField fld="8" hier="-1"/>
    <pageField fld="10" item="20" hier="-1"/>
  </pageFields>
  <dataFields count="7">
    <dataField name="Suma de Enero" fld="24" baseField="12" baseItem="46" numFmtId="166"/>
    <dataField name="Suma de Febrero" fld="25" baseField="14" baseItem="61"/>
    <dataField name="Suma de Marzo" fld="26" baseField="14" baseItem="61"/>
    <dataField name="Suma de Abril" fld="27" baseField="2" baseItem="154"/>
    <dataField name="Suma de Mayo" fld="28" baseField="2" baseItem="154"/>
    <dataField name="Suma de Junio" fld="29" baseField="2" baseItem="154"/>
    <dataField name="Suma de Julio" fld="30" baseField="2" baseItem="154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Relationship Id="rId9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U2620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1" max="1" width="15.140625" customWidth="1"/>
    <col min="2" max="2" width="16" customWidth="1"/>
    <col min="3" max="3" width="60.42578125" customWidth="1"/>
    <col min="4" max="4" width="23" bestFit="1" customWidth="1"/>
    <col min="5" max="5" width="27.85546875" customWidth="1"/>
    <col min="6" max="6" width="26.28515625" customWidth="1"/>
    <col min="7" max="7" width="26.140625" customWidth="1"/>
    <col min="8" max="8" width="31" customWidth="1"/>
    <col min="9" max="9" width="20.42578125" customWidth="1"/>
    <col min="10" max="10" width="20.28515625" customWidth="1"/>
    <col min="11" max="11" width="28.42578125" customWidth="1"/>
    <col min="12" max="12" width="26.28515625" customWidth="1"/>
    <col min="13" max="13" width="20.28515625" customWidth="1"/>
    <col min="14" max="15" width="20.5703125" customWidth="1"/>
    <col min="16" max="16" width="20.28515625" customWidth="1"/>
    <col min="17" max="17" width="20.5703125" customWidth="1"/>
    <col min="18" max="18" width="21.28515625" bestFit="1" customWidth="1"/>
    <col min="20" max="20" width="11.42578125" customWidth="1"/>
  </cols>
  <sheetData>
    <row r="1" spans="1:21" x14ac:dyDescent="0.25">
      <c r="A1" s="4" t="s">
        <v>543</v>
      </c>
      <c r="B1" s="4" t="s">
        <v>542</v>
      </c>
      <c r="C1" s="4" t="s">
        <v>541</v>
      </c>
      <c r="D1" s="4" t="s">
        <v>791</v>
      </c>
      <c r="E1" s="4" t="s">
        <v>790</v>
      </c>
      <c r="F1" s="14" t="s">
        <v>792</v>
      </c>
      <c r="G1" s="4" t="s">
        <v>532</v>
      </c>
      <c r="H1" s="4" t="s">
        <v>531</v>
      </c>
      <c r="I1" s="4" t="s">
        <v>530</v>
      </c>
      <c r="J1" s="4" t="s">
        <v>529</v>
      </c>
      <c r="K1" s="4" t="s">
        <v>528</v>
      </c>
      <c r="L1" s="4" t="s">
        <v>527</v>
      </c>
      <c r="M1" s="4" t="s">
        <v>526</v>
      </c>
      <c r="N1" s="4" t="s">
        <v>525</v>
      </c>
      <c r="O1" s="4" t="s">
        <v>524</v>
      </c>
      <c r="P1" s="4" t="s">
        <v>523</v>
      </c>
      <c r="Q1" s="4" t="s">
        <v>522</v>
      </c>
      <c r="R1" s="4" t="s">
        <v>521</v>
      </c>
    </row>
    <row r="2" spans="1:21" x14ac:dyDescent="0.25">
      <c r="A2" s="40" t="s">
        <v>1106</v>
      </c>
      <c r="B2" s="40">
        <v>2007</v>
      </c>
      <c r="C2" s="73" t="s">
        <v>1107</v>
      </c>
      <c r="D2" s="42">
        <v>0</v>
      </c>
      <c r="E2" s="42">
        <v>0</v>
      </c>
      <c r="F2" s="43">
        <v>0</v>
      </c>
      <c r="G2" s="42">
        <v>6596149988.7700005</v>
      </c>
      <c r="H2" s="42">
        <v>973447360.88999999</v>
      </c>
      <c r="I2" s="42">
        <v>3228097756.4400001</v>
      </c>
      <c r="J2" s="42">
        <v>3920917810.5500002</v>
      </c>
      <c r="K2" s="42">
        <v>3820586971.04</v>
      </c>
      <c r="L2" s="42">
        <v>4875910999.5699997</v>
      </c>
      <c r="M2" s="42">
        <v>1051165033.09</v>
      </c>
      <c r="N2" s="42">
        <v>4189054132.3299999</v>
      </c>
      <c r="O2" s="42">
        <v>3438055560.96</v>
      </c>
      <c r="P2" s="42">
        <v>4143437463.3099999</v>
      </c>
      <c r="Q2" s="42">
        <v>1086614742.29</v>
      </c>
      <c r="R2" s="42">
        <v>25482796120.549999</v>
      </c>
      <c r="U2" s="17"/>
    </row>
    <row r="3" spans="1:21" x14ac:dyDescent="0.25">
      <c r="A3" s="40" t="s">
        <v>869</v>
      </c>
      <c r="B3" s="40">
        <v>2007</v>
      </c>
      <c r="C3" s="73" t="s">
        <v>870</v>
      </c>
      <c r="D3" s="42">
        <v>0</v>
      </c>
      <c r="E3" s="42">
        <v>0</v>
      </c>
      <c r="F3" s="43">
        <v>0</v>
      </c>
      <c r="G3" s="42">
        <v>6349533772.9200001</v>
      </c>
      <c r="H3" s="42">
        <v>0</v>
      </c>
      <c r="I3" s="42">
        <v>6147030203.9300003</v>
      </c>
      <c r="J3" s="42">
        <v>0</v>
      </c>
      <c r="K3" s="42">
        <v>4425156823.1099997</v>
      </c>
      <c r="L3" s="42">
        <v>0</v>
      </c>
      <c r="M3" s="42">
        <v>0</v>
      </c>
      <c r="N3" s="42">
        <v>10796855552.120001</v>
      </c>
      <c r="O3" s="42">
        <v>4461258176.96</v>
      </c>
      <c r="P3" s="42">
        <v>4430551333.0200005</v>
      </c>
      <c r="Q3" s="42">
        <v>0</v>
      </c>
      <c r="R3" s="42">
        <v>7960324653.2399998</v>
      </c>
      <c r="U3" s="17"/>
    </row>
    <row r="4" spans="1:21" x14ac:dyDescent="0.25">
      <c r="A4" s="40" t="s">
        <v>871</v>
      </c>
      <c r="B4" s="40">
        <v>2007</v>
      </c>
      <c r="C4" s="73" t="s">
        <v>872</v>
      </c>
      <c r="D4" s="42">
        <v>0</v>
      </c>
      <c r="E4" s="42">
        <v>0</v>
      </c>
      <c r="F4" s="43">
        <v>0</v>
      </c>
      <c r="G4" s="42">
        <v>2955.59</v>
      </c>
      <c r="H4" s="42">
        <v>0</v>
      </c>
      <c r="I4" s="42">
        <v>7247486.4400000004</v>
      </c>
      <c r="J4" s="42">
        <v>0</v>
      </c>
      <c r="K4" s="42">
        <v>0</v>
      </c>
      <c r="L4" s="42">
        <v>0</v>
      </c>
      <c r="M4" s="42">
        <v>0</v>
      </c>
      <c r="N4" s="42">
        <v>318048015.97000003</v>
      </c>
      <c r="O4" s="42">
        <v>48353099.109999999</v>
      </c>
      <c r="P4" s="42">
        <v>38772844.789999999</v>
      </c>
      <c r="Q4" s="42">
        <v>0</v>
      </c>
      <c r="R4" s="42">
        <v>-406369060.31</v>
      </c>
      <c r="U4" s="17"/>
    </row>
    <row r="5" spans="1:21" x14ac:dyDescent="0.25">
      <c r="A5" s="40" t="s">
        <v>873</v>
      </c>
      <c r="B5" s="40">
        <v>2007</v>
      </c>
      <c r="C5" s="73" t="s">
        <v>874</v>
      </c>
      <c r="D5" s="42">
        <v>0</v>
      </c>
      <c r="E5" s="42">
        <v>0</v>
      </c>
      <c r="F5" s="43">
        <v>0</v>
      </c>
      <c r="G5" s="42">
        <v>2571930531</v>
      </c>
      <c r="H5" s="42">
        <v>0</v>
      </c>
      <c r="I5" s="42">
        <v>283598708.82999998</v>
      </c>
      <c r="J5" s="42">
        <v>238766707.50999999</v>
      </c>
      <c r="K5" s="42">
        <v>1113097691.8399999</v>
      </c>
      <c r="L5" s="42">
        <v>610353798.29999995</v>
      </c>
      <c r="M5" s="42">
        <v>0</v>
      </c>
      <c r="N5" s="42">
        <v>2559301869.3400002</v>
      </c>
      <c r="O5" s="42">
        <v>150823891.44999999</v>
      </c>
      <c r="P5" s="42">
        <v>500083770.13999999</v>
      </c>
      <c r="Q5" s="42">
        <v>0</v>
      </c>
      <c r="R5" s="42">
        <v>7783104685.6099997</v>
      </c>
      <c r="U5" s="17"/>
    </row>
    <row r="6" spans="1:21" x14ac:dyDescent="0.25">
      <c r="A6" s="40" t="s">
        <v>875</v>
      </c>
      <c r="B6" s="40">
        <v>2007</v>
      </c>
      <c r="C6" s="73" t="s">
        <v>876</v>
      </c>
      <c r="D6" s="42">
        <v>0</v>
      </c>
      <c r="E6" s="42">
        <v>0</v>
      </c>
      <c r="F6" s="43">
        <v>0</v>
      </c>
      <c r="G6" s="42">
        <v>163947.91</v>
      </c>
      <c r="H6" s="42">
        <v>0</v>
      </c>
      <c r="I6" s="42">
        <v>169382448.62</v>
      </c>
      <c r="J6" s="42">
        <v>0</v>
      </c>
      <c r="K6" s="42">
        <v>0</v>
      </c>
      <c r="L6" s="42">
        <v>4512758679.8500004</v>
      </c>
      <c r="M6" s="42">
        <v>0</v>
      </c>
      <c r="N6" s="42">
        <v>778967122.24000001</v>
      </c>
      <c r="O6" s="42">
        <v>317315893.48000002</v>
      </c>
      <c r="P6" s="42">
        <v>890400683.49000001</v>
      </c>
      <c r="Q6" s="42">
        <v>0</v>
      </c>
      <c r="R6" s="42">
        <v>4222187873.1300001</v>
      </c>
      <c r="U6" s="17"/>
    </row>
    <row r="7" spans="1:21" x14ac:dyDescent="0.25">
      <c r="A7" s="40" t="s">
        <v>877</v>
      </c>
      <c r="B7" s="40">
        <v>2007</v>
      </c>
      <c r="C7" s="73" t="s">
        <v>878</v>
      </c>
      <c r="D7" s="42">
        <v>0</v>
      </c>
      <c r="E7" s="42">
        <v>0</v>
      </c>
      <c r="F7" s="43">
        <v>0</v>
      </c>
      <c r="G7" s="42">
        <v>5769588309.5100002</v>
      </c>
      <c r="H7" s="42">
        <v>158722917</v>
      </c>
      <c r="I7" s="42">
        <v>111849186.33</v>
      </c>
      <c r="J7" s="42">
        <v>172341079</v>
      </c>
      <c r="K7" s="42">
        <v>1094401857.0899999</v>
      </c>
      <c r="L7" s="42">
        <v>20321693098.189999</v>
      </c>
      <c r="M7" s="42">
        <v>191281880</v>
      </c>
      <c r="N7" s="42">
        <v>196749676</v>
      </c>
      <c r="O7" s="42">
        <v>-12831503799</v>
      </c>
      <c r="P7" s="42">
        <v>277441389.94</v>
      </c>
      <c r="Q7" s="42">
        <v>214466982</v>
      </c>
      <c r="R7" s="42">
        <v>-8171440914.3999996</v>
      </c>
      <c r="U7" s="17"/>
    </row>
    <row r="8" spans="1:21" x14ac:dyDescent="0.25">
      <c r="A8" s="40" t="s">
        <v>837</v>
      </c>
      <c r="B8" s="40">
        <v>2007</v>
      </c>
      <c r="C8" s="73" t="s">
        <v>838</v>
      </c>
      <c r="D8" s="42">
        <v>0</v>
      </c>
      <c r="E8" s="42">
        <v>0</v>
      </c>
      <c r="F8" s="43">
        <v>0</v>
      </c>
      <c r="G8" s="42">
        <v>0</v>
      </c>
      <c r="H8" s="42">
        <v>0</v>
      </c>
      <c r="I8" s="42">
        <v>6729.1</v>
      </c>
      <c r="J8" s="42">
        <v>0</v>
      </c>
      <c r="K8" s="42">
        <v>5523.65</v>
      </c>
      <c r="L8" s="42">
        <v>-5882.65</v>
      </c>
      <c r="M8" s="42">
        <v>0</v>
      </c>
      <c r="N8" s="42">
        <v>0</v>
      </c>
      <c r="O8" s="42">
        <v>0</v>
      </c>
      <c r="P8" s="42">
        <v>-48385.2</v>
      </c>
      <c r="Q8" s="42">
        <v>15427.82</v>
      </c>
      <c r="R8" s="42">
        <v>23587.66</v>
      </c>
      <c r="U8" s="17"/>
    </row>
    <row r="9" spans="1:21" x14ac:dyDescent="0.25">
      <c r="A9" s="40" t="s">
        <v>879</v>
      </c>
      <c r="B9" s="40">
        <v>2007</v>
      </c>
      <c r="C9" s="73" t="s">
        <v>880</v>
      </c>
      <c r="D9" s="42">
        <v>0</v>
      </c>
      <c r="E9" s="42">
        <v>0</v>
      </c>
      <c r="F9" s="43">
        <v>0</v>
      </c>
      <c r="G9" s="42">
        <v>11743021.300000001</v>
      </c>
      <c r="H9" s="42">
        <v>30343571.18</v>
      </c>
      <c r="I9" s="42">
        <v>370996984.99000001</v>
      </c>
      <c r="J9" s="42">
        <v>3814438203.6199999</v>
      </c>
      <c r="K9" s="42">
        <v>107438492.66</v>
      </c>
      <c r="L9" s="42">
        <v>6812267932.6800003</v>
      </c>
      <c r="M9" s="42">
        <v>68413639.959999993</v>
      </c>
      <c r="N9" s="42">
        <v>95075982.760000005</v>
      </c>
      <c r="O9" s="42">
        <v>-6616060757.2700005</v>
      </c>
      <c r="P9" s="42">
        <v>450473963.24000001</v>
      </c>
      <c r="Q9" s="42">
        <v>157227598.22999999</v>
      </c>
      <c r="R9" s="42">
        <v>1825217020.3299999</v>
      </c>
      <c r="U9" s="17"/>
    </row>
    <row r="10" spans="1:21" x14ac:dyDescent="0.25">
      <c r="A10" s="40" t="s">
        <v>881</v>
      </c>
      <c r="B10" s="40">
        <v>2007</v>
      </c>
      <c r="C10" s="73" t="s">
        <v>882</v>
      </c>
      <c r="D10" s="42">
        <v>0</v>
      </c>
      <c r="E10" s="42">
        <v>0</v>
      </c>
      <c r="F10" s="43">
        <v>0</v>
      </c>
      <c r="G10" s="42">
        <v>9522601964.6599998</v>
      </c>
      <c r="H10" s="42">
        <v>21095593173.860001</v>
      </c>
      <c r="I10" s="42">
        <v>61369365647.849998</v>
      </c>
      <c r="J10" s="42">
        <v>6640200600.29</v>
      </c>
      <c r="K10" s="42">
        <v>6403603262.3299999</v>
      </c>
      <c r="L10" s="42">
        <v>8138588178.4099998</v>
      </c>
      <c r="M10" s="42">
        <v>48417266879.150002</v>
      </c>
      <c r="N10" s="42">
        <v>-6567549350.0200005</v>
      </c>
      <c r="O10" s="42">
        <v>38250497478.559998</v>
      </c>
      <c r="P10" s="42">
        <v>47952691104.169998</v>
      </c>
      <c r="Q10" s="42">
        <v>22216968250.130001</v>
      </c>
      <c r="R10" s="42">
        <v>59272499956.559998</v>
      </c>
      <c r="U10" s="17"/>
    </row>
    <row r="11" spans="1:21" x14ac:dyDescent="0.25">
      <c r="A11" s="40" t="s">
        <v>883</v>
      </c>
      <c r="B11" s="40">
        <v>2007</v>
      </c>
      <c r="C11" s="73" t="s">
        <v>884</v>
      </c>
      <c r="D11" s="42">
        <v>0</v>
      </c>
      <c r="E11" s="42">
        <v>0</v>
      </c>
      <c r="F11" s="43">
        <v>0</v>
      </c>
      <c r="G11" s="42">
        <v>112698091.54000001</v>
      </c>
      <c r="H11" s="42">
        <v>0</v>
      </c>
      <c r="I11" s="42">
        <v>219689884.80000001</v>
      </c>
      <c r="J11" s="42">
        <v>538303427.91999996</v>
      </c>
      <c r="K11" s="42">
        <v>0</v>
      </c>
      <c r="L11" s="42">
        <v>407421054.05000001</v>
      </c>
      <c r="M11" s="42">
        <v>0</v>
      </c>
      <c r="N11" s="42">
        <v>1166718.73</v>
      </c>
      <c r="O11" s="42">
        <v>145771.62</v>
      </c>
      <c r="P11" s="42">
        <v>130511.53</v>
      </c>
      <c r="Q11" s="42">
        <v>0</v>
      </c>
      <c r="R11" s="42">
        <v>-1032835708.54</v>
      </c>
      <c r="U11" s="17"/>
    </row>
    <row r="12" spans="1:21" x14ac:dyDescent="0.25">
      <c r="A12" s="40" t="s">
        <v>885</v>
      </c>
      <c r="B12" s="40">
        <v>2007</v>
      </c>
      <c r="C12" s="73" t="s">
        <v>886</v>
      </c>
      <c r="D12" s="42">
        <v>0</v>
      </c>
      <c r="E12" s="42">
        <v>0</v>
      </c>
      <c r="F12" s="43">
        <v>0</v>
      </c>
      <c r="G12" s="42">
        <v>2031674.8</v>
      </c>
      <c r="H12" s="42">
        <v>0</v>
      </c>
      <c r="I12" s="42">
        <v>9462302.0299999993</v>
      </c>
      <c r="J12" s="42">
        <v>3705597.13</v>
      </c>
      <c r="K12" s="42">
        <v>0</v>
      </c>
      <c r="L12" s="42">
        <v>20340707.739999998</v>
      </c>
      <c r="M12" s="42">
        <v>0</v>
      </c>
      <c r="N12" s="42">
        <v>827572.13</v>
      </c>
      <c r="O12" s="42">
        <v>7863843.4699999997</v>
      </c>
      <c r="P12" s="42">
        <v>3244540.42</v>
      </c>
      <c r="Q12" s="42">
        <v>0</v>
      </c>
      <c r="R12" s="42">
        <v>-26351689.07</v>
      </c>
      <c r="U12" s="17"/>
    </row>
    <row r="13" spans="1:21" x14ac:dyDescent="0.25">
      <c r="A13" s="40" t="s">
        <v>887</v>
      </c>
      <c r="B13" s="40">
        <v>2007</v>
      </c>
      <c r="C13" s="73" t="s">
        <v>888</v>
      </c>
      <c r="D13" s="42">
        <v>0</v>
      </c>
      <c r="E13" s="42">
        <v>0</v>
      </c>
      <c r="F13" s="43">
        <v>0</v>
      </c>
      <c r="G13" s="42">
        <v>167581953.5</v>
      </c>
      <c r="H13" s="42">
        <v>0</v>
      </c>
      <c r="I13" s="42">
        <v>417454652.75</v>
      </c>
      <c r="J13" s="42">
        <v>866441585.85000002</v>
      </c>
      <c r="K13" s="42">
        <v>0</v>
      </c>
      <c r="L13" s="42">
        <v>2439167177.9699998</v>
      </c>
      <c r="M13" s="42">
        <v>0</v>
      </c>
      <c r="N13" s="42">
        <v>625805859.45000005</v>
      </c>
      <c r="O13" s="42">
        <v>287677270.38</v>
      </c>
      <c r="P13" s="42">
        <v>243202204.06999999</v>
      </c>
      <c r="Q13" s="42">
        <v>0</v>
      </c>
      <c r="R13" s="42">
        <v>373445360.30000001</v>
      </c>
      <c r="U13" s="17"/>
    </row>
    <row r="14" spans="1:21" x14ac:dyDescent="0.25">
      <c r="A14" s="40" t="s">
        <v>841</v>
      </c>
      <c r="B14" s="40">
        <v>2007</v>
      </c>
      <c r="C14" s="73" t="s">
        <v>842</v>
      </c>
      <c r="D14" s="42">
        <v>0</v>
      </c>
      <c r="E14" s="42">
        <v>0</v>
      </c>
      <c r="F14" s="43">
        <v>0</v>
      </c>
      <c r="G14" s="42">
        <v>429961328.99000001</v>
      </c>
      <c r="H14" s="42">
        <v>-233768411.87</v>
      </c>
      <c r="I14" s="42">
        <v>-2478924503.21</v>
      </c>
      <c r="J14" s="42">
        <v>13885029619.51</v>
      </c>
      <c r="K14" s="42">
        <v>-260063779.44</v>
      </c>
      <c r="L14" s="42">
        <v>576911811.63999999</v>
      </c>
      <c r="M14" s="42">
        <v>-489397048.29000002</v>
      </c>
      <c r="N14" s="42">
        <v>675343284.00999999</v>
      </c>
      <c r="O14" s="42">
        <v>-556267340.12</v>
      </c>
      <c r="P14" s="42">
        <v>-248607532.97</v>
      </c>
      <c r="Q14" s="42">
        <v>-47672123.770000003</v>
      </c>
      <c r="R14" s="42">
        <v>15790660861.639999</v>
      </c>
      <c r="U14" s="17"/>
    </row>
    <row r="15" spans="1:21" x14ac:dyDescent="0.25">
      <c r="A15" s="40" t="s">
        <v>889</v>
      </c>
      <c r="B15" s="40">
        <v>2007</v>
      </c>
      <c r="C15" s="73" t="s">
        <v>890</v>
      </c>
      <c r="D15" s="42">
        <v>0</v>
      </c>
      <c r="E15" s="42">
        <v>0</v>
      </c>
      <c r="F15" s="43">
        <v>0</v>
      </c>
      <c r="G15" s="42">
        <v>254336408.09</v>
      </c>
      <c r="H15" s="42">
        <v>0</v>
      </c>
      <c r="I15" s="42">
        <v>-230044801.63999999</v>
      </c>
      <c r="J15" s="42">
        <v>-24291606.449999999</v>
      </c>
      <c r="K15" s="42">
        <v>0</v>
      </c>
      <c r="L15" s="42">
        <v>530295367.74000001</v>
      </c>
      <c r="M15" s="42">
        <v>0</v>
      </c>
      <c r="N15" s="42">
        <v>30792850.420000002</v>
      </c>
      <c r="O15" s="42">
        <v>60536132.490000002</v>
      </c>
      <c r="P15" s="42">
        <v>79792962.170000002</v>
      </c>
      <c r="Q15" s="42">
        <v>0</v>
      </c>
      <c r="R15" s="42">
        <v>-336923726.91000003</v>
      </c>
      <c r="U15" s="17"/>
    </row>
    <row r="16" spans="1:21" x14ac:dyDescent="0.25">
      <c r="A16" s="40" t="s">
        <v>891</v>
      </c>
      <c r="B16" s="40">
        <v>2007</v>
      </c>
      <c r="C16" s="73" t="s">
        <v>892</v>
      </c>
      <c r="D16" s="42">
        <v>0</v>
      </c>
      <c r="E16" s="42">
        <v>0</v>
      </c>
      <c r="F16" s="43">
        <v>0</v>
      </c>
      <c r="G16" s="42">
        <v>238788880.03999999</v>
      </c>
      <c r="H16" s="42">
        <v>0</v>
      </c>
      <c r="I16" s="42">
        <v>1059525250.8099999</v>
      </c>
      <c r="J16" s="42">
        <v>7259869793.4899998</v>
      </c>
      <c r="K16" s="42">
        <v>0</v>
      </c>
      <c r="L16" s="42">
        <v>-5565832107.1199999</v>
      </c>
      <c r="M16" s="42">
        <v>0</v>
      </c>
      <c r="N16" s="42">
        <v>525321144.79000002</v>
      </c>
      <c r="O16" s="42">
        <v>790851604.13999999</v>
      </c>
      <c r="P16" s="42">
        <v>824605242.97000003</v>
      </c>
      <c r="Q16" s="42">
        <v>0</v>
      </c>
      <c r="R16" s="42">
        <v>227273861.02000001</v>
      </c>
      <c r="U16" s="17"/>
    </row>
    <row r="17" spans="1:21" x14ac:dyDescent="0.25">
      <c r="A17" s="40" t="s">
        <v>893</v>
      </c>
      <c r="B17" s="40">
        <v>2007</v>
      </c>
      <c r="C17" s="73" t="s">
        <v>894</v>
      </c>
      <c r="D17" s="42">
        <v>0</v>
      </c>
      <c r="E17" s="42">
        <v>0</v>
      </c>
      <c r="F17" s="43">
        <v>0</v>
      </c>
      <c r="G17" s="42">
        <v>4677089.38</v>
      </c>
      <c r="H17" s="42">
        <v>0</v>
      </c>
      <c r="I17" s="42">
        <v>24984526.920000002</v>
      </c>
      <c r="J17" s="42">
        <v>19886755.140000001</v>
      </c>
      <c r="K17" s="42">
        <v>0</v>
      </c>
      <c r="L17" s="42">
        <v>39687178.030000001</v>
      </c>
      <c r="M17" s="42">
        <v>0</v>
      </c>
      <c r="N17" s="42">
        <v>89101978.140000001</v>
      </c>
      <c r="O17" s="42">
        <v>81770950.019999996</v>
      </c>
      <c r="P17" s="42">
        <v>2074001.39</v>
      </c>
      <c r="Q17" s="42">
        <v>0</v>
      </c>
      <c r="R17" s="42">
        <v>-146077046.30000001</v>
      </c>
      <c r="U17" s="17"/>
    </row>
    <row r="18" spans="1:21" x14ac:dyDescent="0.25">
      <c r="A18" s="40" t="s">
        <v>895</v>
      </c>
      <c r="B18" s="40">
        <v>2007</v>
      </c>
      <c r="C18" s="73" t="s">
        <v>896</v>
      </c>
      <c r="D18" s="42">
        <v>0</v>
      </c>
      <c r="E18" s="42">
        <v>0</v>
      </c>
      <c r="F18" s="43">
        <v>0</v>
      </c>
      <c r="G18" s="42">
        <v>385788008.32999998</v>
      </c>
      <c r="H18" s="42">
        <v>0</v>
      </c>
      <c r="I18" s="42">
        <v>1102258940.3199999</v>
      </c>
      <c r="J18" s="42">
        <v>3208315192.6900001</v>
      </c>
      <c r="K18" s="42">
        <v>1657616947.96</v>
      </c>
      <c r="L18" s="42">
        <v>2550914820.9499998</v>
      </c>
      <c r="M18" s="42">
        <v>0</v>
      </c>
      <c r="N18" s="42">
        <v>1957514548.0599999</v>
      </c>
      <c r="O18" s="42">
        <v>1366900713.8299999</v>
      </c>
      <c r="P18" s="42">
        <v>2410770977.7399998</v>
      </c>
      <c r="Q18" s="42">
        <v>0</v>
      </c>
      <c r="R18" s="42">
        <v>-5314263579</v>
      </c>
      <c r="U18" s="17"/>
    </row>
    <row r="19" spans="1:21" x14ac:dyDescent="0.25">
      <c r="A19" s="40" t="s">
        <v>897</v>
      </c>
      <c r="B19" s="40">
        <v>2007</v>
      </c>
      <c r="C19" s="73" t="s">
        <v>898</v>
      </c>
      <c r="D19" s="42">
        <v>0</v>
      </c>
      <c r="E19" s="42">
        <v>0</v>
      </c>
      <c r="F19" s="43">
        <v>0</v>
      </c>
      <c r="G19" s="42">
        <v>259440657.96000001</v>
      </c>
      <c r="H19" s="42">
        <v>0</v>
      </c>
      <c r="I19" s="42">
        <v>580075316.01999998</v>
      </c>
      <c r="J19" s="42">
        <v>1977457735.1500001</v>
      </c>
      <c r="K19" s="42">
        <v>0</v>
      </c>
      <c r="L19" s="42">
        <v>613526772.15999997</v>
      </c>
      <c r="M19" s="42">
        <v>0</v>
      </c>
      <c r="N19" s="42">
        <v>229601504.44</v>
      </c>
      <c r="O19" s="42">
        <v>401714361.36000001</v>
      </c>
      <c r="P19" s="42">
        <v>145003414.00999999</v>
      </c>
      <c r="Q19" s="42">
        <v>0</v>
      </c>
      <c r="R19" s="42">
        <v>7425826447.8999996</v>
      </c>
      <c r="U19" s="17"/>
    </row>
    <row r="20" spans="1:21" x14ac:dyDescent="0.25">
      <c r="A20" s="40" t="s">
        <v>338</v>
      </c>
      <c r="B20" s="40">
        <v>2007</v>
      </c>
      <c r="C20" s="73" t="s">
        <v>337</v>
      </c>
      <c r="D20" s="42">
        <v>0</v>
      </c>
      <c r="E20" s="42">
        <v>0</v>
      </c>
      <c r="F20" s="43">
        <v>0</v>
      </c>
      <c r="G20" s="42">
        <v>1037147500</v>
      </c>
      <c r="H20" s="42">
        <v>-452537529</v>
      </c>
      <c r="I20" s="42">
        <v>0</v>
      </c>
      <c r="J20" s="42">
        <v>0</v>
      </c>
      <c r="K20" s="42">
        <v>0</v>
      </c>
      <c r="L20" s="42">
        <v>0</v>
      </c>
      <c r="M20" s="42">
        <v>405531</v>
      </c>
      <c r="N20" s="42">
        <v>0</v>
      </c>
      <c r="O20" s="42">
        <v>0</v>
      </c>
      <c r="P20" s="42">
        <v>100000</v>
      </c>
      <c r="Q20" s="42">
        <v>0</v>
      </c>
      <c r="R20" s="42">
        <v>4629541.5</v>
      </c>
      <c r="U20" s="17"/>
    </row>
    <row r="21" spans="1:21" x14ac:dyDescent="0.25">
      <c r="A21" s="40" t="s">
        <v>899</v>
      </c>
      <c r="B21" s="40">
        <v>2007</v>
      </c>
      <c r="C21" s="73" t="s">
        <v>900</v>
      </c>
      <c r="D21" s="42">
        <v>0</v>
      </c>
      <c r="E21" s="42">
        <v>0</v>
      </c>
      <c r="F21" s="43">
        <v>0</v>
      </c>
      <c r="G21" s="42">
        <v>5980389421.5</v>
      </c>
      <c r="H21" s="42">
        <v>2300109455.1500001</v>
      </c>
      <c r="I21" s="42">
        <v>708566271.00999999</v>
      </c>
      <c r="J21" s="42">
        <v>883342003.60000002</v>
      </c>
      <c r="K21" s="42">
        <v>439965280.20999998</v>
      </c>
      <c r="L21" s="42">
        <v>543759660.20000005</v>
      </c>
      <c r="M21" s="42">
        <v>437830965</v>
      </c>
      <c r="N21" s="42">
        <v>361843102.37</v>
      </c>
      <c r="O21" s="42">
        <v>365168577.5</v>
      </c>
      <c r="P21" s="42">
        <v>280361117.72000003</v>
      </c>
      <c r="Q21" s="42">
        <v>263217589.50999999</v>
      </c>
      <c r="R21" s="42">
        <v>13687882755.049999</v>
      </c>
      <c r="U21" s="17"/>
    </row>
    <row r="22" spans="1:21" x14ac:dyDescent="0.25">
      <c r="A22" s="40" t="s">
        <v>901</v>
      </c>
      <c r="B22" s="40">
        <v>2007</v>
      </c>
      <c r="C22" s="73" t="s">
        <v>902</v>
      </c>
      <c r="D22" s="42">
        <v>0</v>
      </c>
      <c r="E22" s="42">
        <v>0</v>
      </c>
      <c r="F22" s="43">
        <v>0</v>
      </c>
      <c r="G22" s="42">
        <v>5980389421.5</v>
      </c>
      <c r="H22" s="42">
        <v>2300109455.1500001</v>
      </c>
      <c r="I22" s="42">
        <v>708566270.98000002</v>
      </c>
      <c r="J22" s="42">
        <v>883342003.60000002</v>
      </c>
      <c r="K22" s="42">
        <v>439965280.19</v>
      </c>
      <c r="L22" s="42">
        <v>543759660.17999995</v>
      </c>
      <c r="M22" s="42">
        <v>437792210</v>
      </c>
      <c r="N22" s="42">
        <v>361843102.36000001</v>
      </c>
      <c r="O22" s="42">
        <v>365168577.5</v>
      </c>
      <c r="P22" s="42">
        <v>280361117.70999998</v>
      </c>
      <c r="Q22" s="42">
        <v>263217589.5</v>
      </c>
      <c r="R22" s="42">
        <v>13694048246.549999</v>
      </c>
      <c r="U22" s="17"/>
    </row>
    <row r="23" spans="1:21" x14ac:dyDescent="0.25">
      <c r="A23" s="40" t="s">
        <v>329</v>
      </c>
      <c r="B23" s="40">
        <v>2007</v>
      </c>
      <c r="C23" s="73" t="s">
        <v>328</v>
      </c>
      <c r="D23" s="42">
        <v>0</v>
      </c>
      <c r="E23" s="42">
        <v>0</v>
      </c>
      <c r="F23" s="43">
        <v>0</v>
      </c>
      <c r="G23" s="42">
        <v>12282851</v>
      </c>
      <c r="H23" s="42">
        <v>2363843</v>
      </c>
      <c r="I23" s="42">
        <v>804463</v>
      </c>
      <c r="J23" s="42">
        <v>743360</v>
      </c>
      <c r="K23" s="42">
        <v>519191</v>
      </c>
      <c r="L23" s="42">
        <v>651938</v>
      </c>
      <c r="M23" s="42">
        <v>603811</v>
      </c>
      <c r="N23" s="42">
        <v>808434</v>
      </c>
      <c r="O23" s="42">
        <v>1474052</v>
      </c>
      <c r="P23" s="42">
        <v>1224244</v>
      </c>
      <c r="Q23" s="42">
        <v>1344637</v>
      </c>
      <c r="R23" s="42">
        <v>11865918</v>
      </c>
      <c r="U23" s="17"/>
    </row>
    <row r="24" spans="1:21" x14ac:dyDescent="0.25">
      <c r="A24" s="40" t="s">
        <v>325</v>
      </c>
      <c r="B24" s="40">
        <v>2007</v>
      </c>
      <c r="C24" s="73" t="s">
        <v>324</v>
      </c>
      <c r="D24" s="42">
        <v>0</v>
      </c>
      <c r="E24" s="42">
        <v>0</v>
      </c>
      <c r="F24" s="43">
        <v>0</v>
      </c>
      <c r="G24" s="42">
        <v>12805048.26</v>
      </c>
      <c r="H24" s="42">
        <v>6078201.2000000002</v>
      </c>
      <c r="I24" s="42">
        <v>8468521.0800000001</v>
      </c>
      <c r="J24" s="42">
        <v>287850354</v>
      </c>
      <c r="K24" s="42">
        <v>396749288.49000001</v>
      </c>
      <c r="L24" s="42">
        <v>45407707.149999999</v>
      </c>
      <c r="M24" s="42">
        <v>215747406.41</v>
      </c>
      <c r="N24" s="42">
        <v>209426107.72</v>
      </c>
      <c r="O24" s="42">
        <v>169858152.22</v>
      </c>
      <c r="P24" s="42">
        <v>222483690.66</v>
      </c>
      <c r="Q24" s="42">
        <v>29250379.41</v>
      </c>
      <c r="R24" s="42">
        <v>25316633.600000001</v>
      </c>
      <c r="U24" s="17"/>
    </row>
    <row r="25" spans="1:21" x14ac:dyDescent="0.25">
      <c r="A25" s="40" t="s">
        <v>320</v>
      </c>
      <c r="B25" s="40">
        <v>2007</v>
      </c>
      <c r="C25" s="73" t="s">
        <v>319</v>
      </c>
      <c r="D25" s="42">
        <v>0</v>
      </c>
      <c r="E25" s="42">
        <v>0</v>
      </c>
      <c r="F25" s="43">
        <v>0</v>
      </c>
      <c r="G25" s="42">
        <v>942277210</v>
      </c>
      <c r="H25" s="42">
        <v>1272757330.9200001</v>
      </c>
      <c r="I25" s="42">
        <v>1829385836.3299999</v>
      </c>
      <c r="J25" s="42">
        <v>997408489.92999995</v>
      </c>
      <c r="K25" s="42">
        <v>1930542306.23</v>
      </c>
      <c r="L25" s="42">
        <v>1478955623.9400001</v>
      </c>
      <c r="M25" s="42">
        <v>2069108410.97</v>
      </c>
      <c r="N25" s="42">
        <v>1563493641.75</v>
      </c>
      <c r="O25" s="42">
        <v>1713353440.95</v>
      </c>
      <c r="P25" s="42">
        <v>2025975040.8199999</v>
      </c>
      <c r="Q25" s="42">
        <v>1792130890.3</v>
      </c>
      <c r="R25" s="42">
        <v>1750270443.3599999</v>
      </c>
      <c r="U25" s="17"/>
    </row>
    <row r="26" spans="1:21" x14ac:dyDescent="0.25">
      <c r="A26" s="40" t="s">
        <v>317</v>
      </c>
      <c r="B26" s="40">
        <v>2007</v>
      </c>
      <c r="C26" s="73" t="s">
        <v>316</v>
      </c>
      <c r="D26" s="42">
        <v>0</v>
      </c>
      <c r="E26" s="42">
        <v>0</v>
      </c>
      <c r="F26" s="43">
        <v>0</v>
      </c>
      <c r="G26" s="42">
        <v>667983338.75</v>
      </c>
      <c r="H26" s="42">
        <v>804239502.05999994</v>
      </c>
      <c r="I26" s="42">
        <v>903383174.54999995</v>
      </c>
      <c r="J26" s="42">
        <v>632459598.28999996</v>
      </c>
      <c r="K26" s="42">
        <v>934667082.38999999</v>
      </c>
      <c r="L26" s="42">
        <v>823474997.11000001</v>
      </c>
      <c r="M26" s="42">
        <v>847854619.55999994</v>
      </c>
      <c r="N26" s="42">
        <v>901916531.07000005</v>
      </c>
      <c r="O26" s="42">
        <v>831828116.11000001</v>
      </c>
      <c r="P26" s="42">
        <v>939042954.53999996</v>
      </c>
      <c r="Q26" s="42">
        <v>1002206298.2</v>
      </c>
      <c r="R26" s="42">
        <v>648442789.65999997</v>
      </c>
      <c r="U26" s="17"/>
    </row>
    <row r="27" spans="1:21" x14ac:dyDescent="0.25">
      <c r="A27" s="40" t="s">
        <v>843</v>
      </c>
      <c r="B27" s="40">
        <v>2007</v>
      </c>
      <c r="C27" s="73" t="s">
        <v>844</v>
      </c>
      <c r="D27" s="42">
        <v>0</v>
      </c>
      <c r="E27" s="42">
        <v>0</v>
      </c>
      <c r="F27" s="43">
        <v>0</v>
      </c>
      <c r="G27" s="42">
        <v>37376084182.32</v>
      </c>
      <c r="H27" s="42">
        <v>29796522676.34</v>
      </c>
      <c r="I27" s="42">
        <v>28794200635.57</v>
      </c>
      <c r="J27" s="42">
        <v>30835157692.150002</v>
      </c>
      <c r="K27" s="42">
        <v>28423452979.389999</v>
      </c>
      <c r="L27" s="42">
        <v>26569054418.740002</v>
      </c>
      <c r="M27" s="42">
        <v>30476724866.880001</v>
      </c>
      <c r="N27" s="42">
        <v>30178867152.119999</v>
      </c>
      <c r="O27" s="42">
        <v>31384532545.32</v>
      </c>
      <c r="P27" s="42">
        <v>30690116453.799999</v>
      </c>
      <c r="Q27" s="42">
        <v>32418672146.310001</v>
      </c>
      <c r="R27" s="42">
        <v>50104105873.860001</v>
      </c>
      <c r="U27" s="17"/>
    </row>
    <row r="28" spans="1:21" x14ac:dyDescent="0.25">
      <c r="A28" s="40" t="s">
        <v>845</v>
      </c>
      <c r="B28" s="40">
        <v>2007</v>
      </c>
      <c r="C28" s="73" t="s">
        <v>846</v>
      </c>
      <c r="D28" s="42">
        <v>0</v>
      </c>
      <c r="E28" s="42">
        <v>0</v>
      </c>
      <c r="F28" s="43">
        <v>0</v>
      </c>
      <c r="G28" s="42">
        <v>29475461474.619999</v>
      </c>
      <c r="H28" s="42">
        <v>27813362701.860001</v>
      </c>
      <c r="I28" s="42">
        <v>33714045439.310001</v>
      </c>
      <c r="J28" s="42">
        <v>26829356885.529999</v>
      </c>
      <c r="K28" s="42">
        <v>34338745841.529999</v>
      </c>
      <c r="L28" s="42">
        <v>28751665573.200001</v>
      </c>
      <c r="M28" s="42">
        <v>35456333224.089996</v>
      </c>
      <c r="N28" s="42">
        <v>36997001943.68</v>
      </c>
      <c r="O28" s="42">
        <v>34530386965.559998</v>
      </c>
      <c r="P28" s="42">
        <v>40303451549.260002</v>
      </c>
      <c r="Q28" s="42">
        <v>44950622065.160004</v>
      </c>
      <c r="R28" s="42">
        <v>37642422776.650002</v>
      </c>
      <c r="U28" s="17"/>
    </row>
    <row r="29" spans="1:21" x14ac:dyDescent="0.25">
      <c r="A29" s="40" t="s">
        <v>847</v>
      </c>
      <c r="B29" s="40">
        <v>2007</v>
      </c>
      <c r="C29" s="73" t="s">
        <v>848</v>
      </c>
      <c r="D29" s="42">
        <v>0</v>
      </c>
      <c r="E29" s="42">
        <v>0</v>
      </c>
      <c r="F29" s="43">
        <v>0</v>
      </c>
      <c r="G29" s="42">
        <v>2054832360.0999999</v>
      </c>
      <c r="H29" s="42">
        <v>1689782445.9000001</v>
      </c>
      <c r="I29" s="42">
        <v>1138975298.1500001</v>
      </c>
      <c r="J29" s="42">
        <v>1830969934.1199999</v>
      </c>
      <c r="K29" s="42">
        <v>1479746129.24</v>
      </c>
      <c r="L29" s="42">
        <v>1528001327.96</v>
      </c>
      <c r="M29" s="42">
        <v>1512389643</v>
      </c>
      <c r="N29" s="42">
        <v>1667292128</v>
      </c>
      <c r="O29" s="42">
        <v>1848030127.27</v>
      </c>
      <c r="P29" s="42">
        <v>1796851153</v>
      </c>
      <c r="Q29" s="42">
        <v>1879161072.7</v>
      </c>
      <c r="R29" s="42">
        <v>1626156073.77</v>
      </c>
      <c r="U29" s="17"/>
    </row>
    <row r="30" spans="1:21" x14ac:dyDescent="0.25">
      <c r="A30" s="40" t="s">
        <v>849</v>
      </c>
      <c r="B30" s="40">
        <v>2007</v>
      </c>
      <c r="C30" s="73" t="s">
        <v>850</v>
      </c>
      <c r="D30" s="42">
        <v>0</v>
      </c>
      <c r="E30" s="42">
        <v>0</v>
      </c>
      <c r="F30" s="43">
        <v>0</v>
      </c>
      <c r="G30" s="42">
        <v>9609546374.6000004</v>
      </c>
      <c r="H30" s="42">
        <v>9098257668.7999992</v>
      </c>
      <c r="I30" s="42">
        <v>11550313681.18</v>
      </c>
      <c r="J30" s="42">
        <v>8925887123.3199997</v>
      </c>
      <c r="K30" s="42">
        <v>11367292083.549999</v>
      </c>
      <c r="L30" s="42">
        <v>5356521998.3000002</v>
      </c>
      <c r="M30" s="42">
        <v>12057350105.639999</v>
      </c>
      <c r="N30" s="42">
        <v>12150256795.9</v>
      </c>
      <c r="O30" s="42">
        <v>10493154286.9</v>
      </c>
      <c r="P30" s="42">
        <v>12585782668.5</v>
      </c>
      <c r="Q30" s="42">
        <v>14855936613.969999</v>
      </c>
      <c r="R30" s="42">
        <v>15540417255.32</v>
      </c>
      <c r="U30" s="17"/>
    </row>
    <row r="31" spans="1:21" x14ac:dyDescent="0.25">
      <c r="A31" s="40" t="s">
        <v>499</v>
      </c>
      <c r="B31" s="40">
        <v>2007</v>
      </c>
      <c r="C31" s="73" t="s">
        <v>498</v>
      </c>
      <c r="D31" s="42">
        <v>0</v>
      </c>
      <c r="E31" s="42">
        <v>0</v>
      </c>
      <c r="F31" s="43">
        <v>0</v>
      </c>
      <c r="G31" s="42">
        <v>4000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5000</v>
      </c>
      <c r="N31" s="42">
        <v>0</v>
      </c>
      <c r="O31" s="42">
        <v>0</v>
      </c>
      <c r="P31" s="42">
        <v>75</v>
      </c>
      <c r="Q31" s="42">
        <v>0</v>
      </c>
      <c r="R31" s="42">
        <v>0</v>
      </c>
      <c r="U31" s="17"/>
    </row>
    <row r="32" spans="1:21" x14ac:dyDescent="0.25">
      <c r="A32" s="40" t="s">
        <v>298</v>
      </c>
      <c r="B32" s="40">
        <v>2007</v>
      </c>
      <c r="C32" s="73" t="s">
        <v>281</v>
      </c>
      <c r="D32" s="42">
        <v>0</v>
      </c>
      <c r="E32" s="42">
        <v>0</v>
      </c>
      <c r="F32" s="43">
        <v>0</v>
      </c>
      <c r="G32" s="42">
        <v>11312833416</v>
      </c>
      <c r="H32" s="42">
        <v>13134471017</v>
      </c>
      <c r="I32" s="42">
        <v>9744040474</v>
      </c>
      <c r="J32" s="42">
        <v>14009982675</v>
      </c>
      <c r="K32" s="42">
        <v>14212604508</v>
      </c>
      <c r="L32" s="42">
        <v>10825463988</v>
      </c>
      <c r="M32" s="42">
        <v>15950159050</v>
      </c>
      <c r="N32" s="42">
        <v>16332252434.82</v>
      </c>
      <c r="O32" s="42">
        <v>12693218530.41</v>
      </c>
      <c r="P32" s="42">
        <v>12046640534.27</v>
      </c>
      <c r="Q32" s="42">
        <v>14155297155</v>
      </c>
      <c r="R32" s="42">
        <v>10366327559.51</v>
      </c>
      <c r="U32" s="17"/>
    </row>
    <row r="33" spans="1:21" x14ac:dyDescent="0.25">
      <c r="A33" s="40" t="s">
        <v>297</v>
      </c>
      <c r="B33" s="40">
        <v>2007</v>
      </c>
      <c r="C33" s="73" t="s">
        <v>287</v>
      </c>
      <c r="D33" s="42">
        <v>0</v>
      </c>
      <c r="E33" s="42">
        <v>0</v>
      </c>
      <c r="F33" s="43">
        <v>0</v>
      </c>
      <c r="G33" s="42">
        <v>5870437837</v>
      </c>
      <c r="H33" s="42">
        <v>13425125936</v>
      </c>
      <c r="I33" s="42">
        <v>2567612036.5100002</v>
      </c>
      <c r="J33" s="42">
        <v>11556213160</v>
      </c>
      <c r="K33" s="42">
        <v>5765823921</v>
      </c>
      <c r="L33" s="42">
        <v>15235394998.360001</v>
      </c>
      <c r="M33" s="42">
        <v>7333687550</v>
      </c>
      <c r="N33" s="42">
        <v>8968595323</v>
      </c>
      <c r="O33" s="42">
        <v>5663305123</v>
      </c>
      <c r="P33" s="42">
        <v>5041732553</v>
      </c>
      <c r="Q33" s="42">
        <v>5910744500.4300003</v>
      </c>
      <c r="R33" s="42">
        <v>8454788681</v>
      </c>
      <c r="U33" s="17"/>
    </row>
    <row r="34" spans="1:21" x14ac:dyDescent="0.25">
      <c r="A34" s="40" t="s">
        <v>295</v>
      </c>
      <c r="B34" s="40">
        <v>2007</v>
      </c>
      <c r="C34" s="73" t="s">
        <v>281</v>
      </c>
      <c r="D34" s="42">
        <v>0</v>
      </c>
      <c r="E34" s="42">
        <v>0</v>
      </c>
      <c r="F34" s="43">
        <v>0</v>
      </c>
      <c r="G34" s="42">
        <v>1937226416</v>
      </c>
      <c r="H34" s="42">
        <v>1718613163</v>
      </c>
      <c r="I34" s="42">
        <v>1581897231</v>
      </c>
      <c r="J34" s="42">
        <v>2332310917</v>
      </c>
      <c r="K34" s="42">
        <v>1495504116</v>
      </c>
      <c r="L34" s="42">
        <v>186242390</v>
      </c>
      <c r="M34" s="42">
        <v>1516993270</v>
      </c>
      <c r="N34" s="42">
        <v>1640253451</v>
      </c>
      <c r="O34" s="42">
        <v>1694144987</v>
      </c>
      <c r="P34" s="42">
        <v>1601975323</v>
      </c>
      <c r="Q34" s="42">
        <v>1758596853</v>
      </c>
      <c r="R34" s="42">
        <v>2366223785</v>
      </c>
      <c r="U34" s="17"/>
    </row>
    <row r="35" spans="1:21" x14ac:dyDescent="0.25">
      <c r="A35" s="40" t="s">
        <v>294</v>
      </c>
      <c r="B35" s="40">
        <v>2007</v>
      </c>
      <c r="C35" s="73" t="s">
        <v>287</v>
      </c>
      <c r="D35" s="42">
        <v>0</v>
      </c>
      <c r="E35" s="42">
        <v>0</v>
      </c>
      <c r="F35" s="43">
        <v>0</v>
      </c>
      <c r="G35" s="42">
        <v>296303608.83999997</v>
      </c>
      <c r="H35" s="42">
        <v>319053096</v>
      </c>
      <c r="I35" s="42">
        <v>442704170</v>
      </c>
      <c r="J35" s="42">
        <v>210372532</v>
      </c>
      <c r="K35" s="42">
        <v>308316653</v>
      </c>
      <c r="L35" s="42">
        <v>48915469.07</v>
      </c>
      <c r="M35" s="42">
        <v>198919829</v>
      </c>
      <c r="N35" s="42">
        <v>332053756</v>
      </c>
      <c r="O35" s="42">
        <v>218203271</v>
      </c>
      <c r="P35" s="42">
        <v>551943641</v>
      </c>
      <c r="Q35" s="42">
        <v>513032698.37</v>
      </c>
      <c r="R35" s="42">
        <v>532387679.30000001</v>
      </c>
      <c r="U35" s="17"/>
    </row>
    <row r="36" spans="1:21" x14ac:dyDescent="0.25">
      <c r="A36" s="40" t="s">
        <v>292</v>
      </c>
      <c r="B36" s="40">
        <v>2007</v>
      </c>
      <c r="C36" s="73" t="s">
        <v>281</v>
      </c>
      <c r="D36" s="42">
        <v>0</v>
      </c>
      <c r="E36" s="42">
        <v>0</v>
      </c>
      <c r="F36" s="43">
        <v>0</v>
      </c>
      <c r="G36" s="42">
        <v>1727554632</v>
      </c>
      <c r="H36" s="42">
        <v>1300868749</v>
      </c>
      <c r="I36" s="42">
        <v>1435538531</v>
      </c>
      <c r="J36" s="42">
        <v>1661523315</v>
      </c>
      <c r="K36" s="42">
        <v>1461892960.7</v>
      </c>
      <c r="L36" s="42">
        <v>1251725538</v>
      </c>
      <c r="M36" s="42">
        <v>1449203980</v>
      </c>
      <c r="N36" s="42">
        <v>1541731169</v>
      </c>
      <c r="O36" s="42">
        <v>1536557477</v>
      </c>
      <c r="P36" s="42">
        <v>1381541388</v>
      </c>
      <c r="Q36" s="42">
        <v>1495816117</v>
      </c>
      <c r="R36" s="42">
        <v>675797472</v>
      </c>
      <c r="U36" s="17"/>
    </row>
    <row r="37" spans="1:21" x14ac:dyDescent="0.25">
      <c r="A37" s="40" t="s">
        <v>291</v>
      </c>
      <c r="B37" s="40">
        <v>2007</v>
      </c>
      <c r="C37" s="73" t="s">
        <v>287</v>
      </c>
      <c r="D37" s="42">
        <v>0</v>
      </c>
      <c r="E37" s="42">
        <v>0</v>
      </c>
      <c r="F37" s="43">
        <v>0</v>
      </c>
      <c r="G37" s="42">
        <v>100664489</v>
      </c>
      <c r="H37" s="42">
        <v>89757181</v>
      </c>
      <c r="I37" s="42">
        <v>172370110</v>
      </c>
      <c r="J37" s="42">
        <v>124652037</v>
      </c>
      <c r="K37" s="42">
        <v>104722404</v>
      </c>
      <c r="L37" s="42">
        <v>119752803.86</v>
      </c>
      <c r="M37" s="42">
        <v>107497865</v>
      </c>
      <c r="N37" s="42">
        <v>100973548</v>
      </c>
      <c r="O37" s="42">
        <v>89447616</v>
      </c>
      <c r="P37" s="42">
        <v>108484905</v>
      </c>
      <c r="Q37" s="42">
        <v>100296065</v>
      </c>
      <c r="R37" s="42">
        <v>124793225.72</v>
      </c>
      <c r="U37" s="17"/>
    </row>
    <row r="38" spans="1:21" x14ac:dyDescent="0.25">
      <c r="A38" s="40" t="s">
        <v>851</v>
      </c>
      <c r="B38" s="40">
        <v>2007</v>
      </c>
      <c r="C38" s="73" t="s">
        <v>852</v>
      </c>
      <c r="D38" s="42">
        <v>0</v>
      </c>
      <c r="E38" s="42">
        <v>0</v>
      </c>
      <c r="F38" s="43">
        <v>0</v>
      </c>
      <c r="G38" s="42">
        <v>73067066</v>
      </c>
      <c r="H38" s="42">
        <v>66087208</v>
      </c>
      <c r="I38" s="42">
        <v>67105715.740000002</v>
      </c>
      <c r="J38" s="42">
        <v>60344830</v>
      </c>
      <c r="K38" s="42">
        <v>88049977</v>
      </c>
      <c r="L38" s="42">
        <v>77779995.549999997</v>
      </c>
      <c r="M38" s="42">
        <v>89859596</v>
      </c>
      <c r="N38" s="42">
        <v>75764197</v>
      </c>
      <c r="O38" s="42">
        <v>68031276</v>
      </c>
      <c r="P38" s="42">
        <v>74462604</v>
      </c>
      <c r="Q38" s="42">
        <v>67939269</v>
      </c>
      <c r="R38" s="42">
        <v>74719348</v>
      </c>
      <c r="U38" s="17"/>
    </row>
    <row r="39" spans="1:21" x14ac:dyDescent="0.25">
      <c r="A39" s="40" t="s">
        <v>276</v>
      </c>
      <c r="B39" s="40">
        <v>2007</v>
      </c>
      <c r="C39" s="73" t="s">
        <v>275</v>
      </c>
      <c r="D39" s="42">
        <v>0</v>
      </c>
      <c r="E39" s="42">
        <v>0</v>
      </c>
      <c r="F39" s="43">
        <v>0</v>
      </c>
      <c r="G39" s="42">
        <v>49450688.119999997</v>
      </c>
      <c r="H39" s="42">
        <v>27742326.739999998</v>
      </c>
      <c r="I39" s="42">
        <v>37386722</v>
      </c>
      <c r="J39" s="42">
        <v>42657441</v>
      </c>
      <c r="K39" s="42">
        <v>27327084</v>
      </c>
      <c r="L39" s="42">
        <v>33112063</v>
      </c>
      <c r="M39" s="42">
        <v>27975747</v>
      </c>
      <c r="N39" s="42">
        <v>39003381</v>
      </c>
      <c r="O39" s="42">
        <v>34383729</v>
      </c>
      <c r="P39" s="42">
        <v>26439330.670000002</v>
      </c>
      <c r="Q39" s="42">
        <v>73772701.799999997</v>
      </c>
      <c r="R39" s="42">
        <v>23025388.690000001</v>
      </c>
      <c r="U39" s="17"/>
    </row>
    <row r="40" spans="1:21" x14ac:dyDescent="0.25">
      <c r="A40" s="40" t="s">
        <v>903</v>
      </c>
      <c r="B40" s="40">
        <v>2007</v>
      </c>
      <c r="C40" s="73" t="s">
        <v>904</v>
      </c>
      <c r="D40" s="42">
        <v>0</v>
      </c>
      <c r="E40" s="42">
        <v>0</v>
      </c>
      <c r="F40" s="43">
        <v>0</v>
      </c>
      <c r="G40" s="42">
        <v>0</v>
      </c>
      <c r="H40" s="42">
        <v>0</v>
      </c>
      <c r="I40" s="42">
        <v>304169.59999999998</v>
      </c>
      <c r="J40" s="42">
        <v>0</v>
      </c>
      <c r="K40" s="42">
        <v>0</v>
      </c>
      <c r="L40" s="42">
        <v>-70761.86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254136367.49000001</v>
      </c>
      <c r="U40" s="17"/>
    </row>
    <row r="41" spans="1:21" x14ac:dyDescent="0.25">
      <c r="A41" s="40" t="s">
        <v>905</v>
      </c>
      <c r="B41" s="40">
        <v>2007</v>
      </c>
      <c r="C41" s="73" t="s">
        <v>904</v>
      </c>
      <c r="D41" s="42">
        <v>0</v>
      </c>
      <c r="E41" s="42">
        <v>0</v>
      </c>
      <c r="F41" s="43">
        <v>0</v>
      </c>
      <c r="G41" s="42">
        <v>7676233322.3000002</v>
      </c>
      <c r="H41" s="42">
        <v>7418780629.4300003</v>
      </c>
      <c r="I41" s="42">
        <v>8407506031.4399996</v>
      </c>
      <c r="J41" s="42">
        <v>6367698713.5</v>
      </c>
      <c r="K41" s="42">
        <v>8378000673.9200001</v>
      </c>
      <c r="L41" s="42">
        <v>7414937282.1199999</v>
      </c>
      <c r="M41" s="42">
        <v>8983368175.7700005</v>
      </c>
      <c r="N41" s="42">
        <v>9633715557.3199997</v>
      </c>
      <c r="O41" s="42">
        <v>8811471536.7299995</v>
      </c>
      <c r="P41" s="42">
        <v>11030551897.43</v>
      </c>
      <c r="Q41" s="42">
        <v>12560861833.120001</v>
      </c>
      <c r="R41" s="42">
        <v>10627843197.24</v>
      </c>
      <c r="U41" s="17"/>
    </row>
    <row r="42" spans="1:21" x14ac:dyDescent="0.25">
      <c r="A42" s="40" t="s">
        <v>264</v>
      </c>
      <c r="B42" s="40">
        <v>2007</v>
      </c>
      <c r="C42" s="73" t="s">
        <v>263</v>
      </c>
      <c r="D42" s="42">
        <v>0</v>
      </c>
      <c r="E42" s="42">
        <v>0</v>
      </c>
      <c r="F42" s="43">
        <v>0</v>
      </c>
      <c r="G42" s="42">
        <v>1905852009.1900001</v>
      </c>
      <c r="H42" s="42">
        <v>1999273627.6199999</v>
      </c>
      <c r="I42" s="42">
        <v>2271002299.9299998</v>
      </c>
      <c r="J42" s="42">
        <v>1787825543.4100001</v>
      </c>
      <c r="K42" s="42">
        <v>2189008032.9400001</v>
      </c>
      <c r="L42" s="42">
        <v>2141901944</v>
      </c>
      <c r="M42" s="42">
        <v>2350207894.5900002</v>
      </c>
      <c r="N42" s="42">
        <v>2320482736.9699998</v>
      </c>
      <c r="O42" s="42">
        <v>2278065641.1999998</v>
      </c>
      <c r="P42" s="42">
        <v>2573172587.8200002</v>
      </c>
      <c r="Q42" s="42">
        <v>2887751029.1799998</v>
      </c>
      <c r="R42" s="42">
        <v>2306120734.3800001</v>
      </c>
      <c r="U42" s="17"/>
    </row>
    <row r="43" spans="1:21" x14ac:dyDescent="0.25">
      <c r="A43" s="40" t="s">
        <v>260</v>
      </c>
      <c r="B43" s="40">
        <v>2007</v>
      </c>
      <c r="C43" s="73" t="s">
        <v>259</v>
      </c>
      <c r="D43" s="42">
        <v>0</v>
      </c>
      <c r="E43" s="42">
        <v>0</v>
      </c>
      <c r="F43" s="43">
        <v>0</v>
      </c>
      <c r="G43" s="42">
        <v>64030485</v>
      </c>
      <c r="H43" s="42">
        <v>69725139</v>
      </c>
      <c r="I43" s="42">
        <v>6713512</v>
      </c>
      <c r="J43" s="42">
        <v>1549243</v>
      </c>
      <c r="K43" s="42">
        <v>4175216</v>
      </c>
      <c r="L43" s="42">
        <v>60538674</v>
      </c>
      <c r="M43" s="42">
        <v>55349636</v>
      </c>
      <c r="N43" s="42">
        <v>64437</v>
      </c>
      <c r="O43" s="42">
        <v>448072354</v>
      </c>
      <c r="P43" s="42">
        <v>551912389</v>
      </c>
      <c r="Q43" s="42">
        <v>195385580</v>
      </c>
      <c r="R43" s="42">
        <v>802411215</v>
      </c>
      <c r="U43" s="17"/>
    </row>
    <row r="44" spans="1:21" x14ac:dyDescent="0.25">
      <c r="A44" s="40" t="s">
        <v>258</v>
      </c>
      <c r="B44" s="40">
        <v>2007</v>
      </c>
      <c r="C44" s="73" t="s">
        <v>257</v>
      </c>
      <c r="D44" s="42">
        <v>0</v>
      </c>
      <c r="E44" s="42">
        <v>0</v>
      </c>
      <c r="F44" s="43">
        <v>0</v>
      </c>
      <c r="G44" s="42">
        <v>16196620.91</v>
      </c>
      <c r="H44" s="42">
        <v>13763038.42</v>
      </c>
      <c r="I44" s="42">
        <v>13056677.83</v>
      </c>
      <c r="J44" s="42">
        <v>13972496.640000001</v>
      </c>
      <c r="K44" s="42">
        <v>16118960.220000001</v>
      </c>
      <c r="L44" s="42">
        <v>15935954.01</v>
      </c>
      <c r="M44" s="42">
        <v>13911541.630000001</v>
      </c>
      <c r="N44" s="42">
        <v>12308909.33</v>
      </c>
      <c r="O44" s="42">
        <v>14776412.83</v>
      </c>
      <c r="P44" s="42">
        <v>14440755.039999999</v>
      </c>
      <c r="Q44" s="42">
        <v>15364116.720000001</v>
      </c>
      <c r="R44" s="42">
        <v>12321677.41</v>
      </c>
      <c r="U44" s="17"/>
    </row>
    <row r="45" spans="1:21" x14ac:dyDescent="0.25">
      <c r="A45" s="40" t="s">
        <v>519</v>
      </c>
      <c r="B45" s="40">
        <v>2007</v>
      </c>
      <c r="C45" s="73" t="s">
        <v>518</v>
      </c>
      <c r="D45" s="42">
        <v>0</v>
      </c>
      <c r="E45" s="42">
        <v>0</v>
      </c>
      <c r="F45" s="43">
        <v>0</v>
      </c>
      <c r="G45" s="42">
        <v>228</v>
      </c>
      <c r="H45" s="42">
        <v>131</v>
      </c>
      <c r="I45" s="42">
        <v>2418</v>
      </c>
      <c r="J45" s="42">
        <v>2233</v>
      </c>
      <c r="K45" s="42">
        <v>23807428</v>
      </c>
      <c r="L45" s="42">
        <v>-23806298.079999998</v>
      </c>
      <c r="M45" s="42">
        <v>14</v>
      </c>
      <c r="N45" s="42">
        <v>5.6</v>
      </c>
      <c r="O45" s="42">
        <v>39.049999999999997</v>
      </c>
      <c r="P45" s="42">
        <v>63</v>
      </c>
      <c r="Q45" s="42">
        <v>0</v>
      </c>
      <c r="R45" s="42">
        <v>-961.7</v>
      </c>
      <c r="U45" s="17"/>
    </row>
    <row r="46" spans="1:21" x14ac:dyDescent="0.25">
      <c r="A46" s="40" t="s">
        <v>253</v>
      </c>
      <c r="B46" s="40">
        <v>2007</v>
      </c>
      <c r="C46" s="73" t="s">
        <v>252</v>
      </c>
      <c r="D46" s="42">
        <v>0</v>
      </c>
      <c r="E46" s="42">
        <v>0</v>
      </c>
      <c r="F46" s="43">
        <v>0</v>
      </c>
      <c r="G46" s="42">
        <v>2341949145.6399999</v>
      </c>
      <c r="H46" s="42">
        <v>1876910133.28</v>
      </c>
      <c r="I46" s="42">
        <v>2211019774.0799999</v>
      </c>
      <c r="J46" s="42">
        <v>1967194791.1199999</v>
      </c>
      <c r="K46" s="42">
        <v>1684578677.8599999</v>
      </c>
      <c r="L46" s="42">
        <v>1807273896.22</v>
      </c>
      <c r="M46" s="42">
        <v>1915896194.47</v>
      </c>
      <c r="N46" s="42">
        <v>2444084647.1599998</v>
      </c>
      <c r="O46" s="42">
        <v>1422828333.9400001</v>
      </c>
      <c r="P46" s="42">
        <v>1526690129.9000001</v>
      </c>
      <c r="Q46" s="42">
        <v>1833227674.1400001</v>
      </c>
      <c r="R46" s="42">
        <v>1767786628.3099999</v>
      </c>
      <c r="U46" s="17"/>
    </row>
    <row r="47" spans="1:21" x14ac:dyDescent="0.25">
      <c r="A47" s="40" t="s">
        <v>249</v>
      </c>
      <c r="B47" s="40">
        <v>2007</v>
      </c>
      <c r="C47" s="73" t="s">
        <v>248</v>
      </c>
      <c r="D47" s="42">
        <v>0</v>
      </c>
      <c r="E47" s="42">
        <v>0</v>
      </c>
      <c r="F47" s="43">
        <v>0</v>
      </c>
      <c r="G47" s="42">
        <v>475039070.06</v>
      </c>
      <c r="H47" s="42">
        <v>353917401.63999999</v>
      </c>
      <c r="I47" s="42">
        <v>336695715.86000001</v>
      </c>
      <c r="J47" s="42">
        <v>354742664.04000002</v>
      </c>
      <c r="K47" s="42">
        <v>295626049.37</v>
      </c>
      <c r="L47" s="42">
        <v>224407338.44999999</v>
      </c>
      <c r="M47" s="42">
        <v>90000824.120000005</v>
      </c>
      <c r="N47" s="42">
        <v>467662552.22000003</v>
      </c>
      <c r="O47" s="42">
        <v>238622132.75</v>
      </c>
      <c r="P47" s="42">
        <v>287183061.57999998</v>
      </c>
      <c r="Q47" s="42">
        <v>214346865.78</v>
      </c>
      <c r="R47" s="42">
        <v>368387252.02999997</v>
      </c>
      <c r="U47" s="17"/>
    </row>
    <row r="48" spans="1:21" x14ac:dyDescent="0.25">
      <c r="A48" s="40" t="s">
        <v>497</v>
      </c>
      <c r="B48" s="40">
        <v>2007</v>
      </c>
      <c r="C48" s="73" t="s">
        <v>496</v>
      </c>
      <c r="D48" s="42">
        <v>0</v>
      </c>
      <c r="E48" s="42">
        <v>0</v>
      </c>
      <c r="F48" s="43">
        <v>0</v>
      </c>
      <c r="G48" s="42">
        <v>0</v>
      </c>
      <c r="H48" s="42">
        <v>0</v>
      </c>
      <c r="I48" s="42">
        <v>529623991.67000002</v>
      </c>
      <c r="J48" s="42">
        <v>0</v>
      </c>
      <c r="K48" s="42">
        <v>292304137.76999998</v>
      </c>
      <c r="L48" s="42">
        <v>186298400.27000001</v>
      </c>
      <c r="M48" s="42">
        <v>126050245.93000001</v>
      </c>
      <c r="N48" s="42">
        <v>-1059252.97</v>
      </c>
      <c r="O48" s="42">
        <v>298484453.49000001</v>
      </c>
      <c r="P48" s="42">
        <v>87853197.040000007</v>
      </c>
      <c r="Q48" s="42">
        <v>124098182.73999999</v>
      </c>
      <c r="R48" s="42">
        <v>231809758.53</v>
      </c>
      <c r="U48" s="17"/>
    </row>
    <row r="49" spans="1:21" x14ac:dyDescent="0.25">
      <c r="A49" s="40" t="s">
        <v>236</v>
      </c>
      <c r="B49" s="40">
        <v>2007</v>
      </c>
      <c r="C49" s="73" t="s">
        <v>235</v>
      </c>
      <c r="D49" s="42">
        <v>0</v>
      </c>
      <c r="E49" s="42">
        <v>0</v>
      </c>
      <c r="F49" s="43">
        <v>0</v>
      </c>
      <c r="G49" s="42">
        <v>165642931.09</v>
      </c>
      <c r="H49" s="42">
        <v>148160039.28</v>
      </c>
      <c r="I49" s="42">
        <v>172492375.47999999</v>
      </c>
      <c r="J49" s="42">
        <v>202530457.37</v>
      </c>
      <c r="K49" s="42">
        <v>253480004.19</v>
      </c>
      <c r="L49" s="42">
        <v>167603403.24000001</v>
      </c>
      <c r="M49" s="42">
        <v>244274398.86000001</v>
      </c>
      <c r="N49" s="42">
        <v>325733956.85000002</v>
      </c>
      <c r="O49" s="42">
        <v>429713227.47000003</v>
      </c>
      <c r="P49" s="42">
        <v>232133402.62</v>
      </c>
      <c r="Q49" s="42">
        <v>290316171.76999998</v>
      </c>
      <c r="R49" s="42">
        <v>393115235.05000001</v>
      </c>
      <c r="U49" s="17"/>
    </row>
    <row r="50" spans="1:21" x14ac:dyDescent="0.25">
      <c r="A50" s="40" t="s">
        <v>906</v>
      </c>
      <c r="B50" s="40">
        <v>2007</v>
      </c>
      <c r="C50" s="73" t="s">
        <v>907</v>
      </c>
      <c r="D50" s="42">
        <v>0</v>
      </c>
      <c r="E50" s="42">
        <v>0</v>
      </c>
      <c r="F50" s="43">
        <v>0</v>
      </c>
      <c r="G50" s="42">
        <v>2146114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5131366</v>
      </c>
      <c r="O50" s="42">
        <v>4923438</v>
      </c>
      <c r="P50" s="42">
        <v>2844158</v>
      </c>
      <c r="Q50" s="42">
        <v>9141406</v>
      </c>
      <c r="R50" s="42">
        <v>8836940</v>
      </c>
      <c r="U50" s="17"/>
    </row>
    <row r="51" spans="1:21" x14ac:dyDescent="0.25">
      <c r="A51" s="40" t="s">
        <v>908</v>
      </c>
      <c r="B51" s="40">
        <v>2007</v>
      </c>
      <c r="C51" s="73" t="s">
        <v>909</v>
      </c>
      <c r="D51" s="42">
        <v>0</v>
      </c>
      <c r="E51" s="42">
        <v>0</v>
      </c>
      <c r="F51" s="43">
        <v>0</v>
      </c>
      <c r="G51" s="42">
        <v>235118.07999999999</v>
      </c>
      <c r="H51" s="42">
        <v>1875</v>
      </c>
      <c r="I51" s="42">
        <v>6075</v>
      </c>
      <c r="J51" s="42">
        <v>310598.74</v>
      </c>
      <c r="K51" s="42">
        <v>1250</v>
      </c>
      <c r="L51" s="42">
        <v>6308.71</v>
      </c>
      <c r="M51" s="42">
        <v>0</v>
      </c>
      <c r="N51" s="42">
        <v>375060</v>
      </c>
      <c r="O51" s="42">
        <v>238656.6</v>
      </c>
      <c r="P51" s="42">
        <v>148938</v>
      </c>
      <c r="Q51" s="42">
        <v>403607.4</v>
      </c>
      <c r="R51" s="42">
        <v>437792.7</v>
      </c>
      <c r="U51" s="17"/>
    </row>
    <row r="52" spans="1:21" x14ac:dyDescent="0.25">
      <c r="A52" s="40" t="s">
        <v>910</v>
      </c>
      <c r="B52" s="40">
        <v>2007</v>
      </c>
      <c r="C52" s="73" t="s">
        <v>907</v>
      </c>
      <c r="D52" s="42">
        <v>0</v>
      </c>
      <c r="E52" s="42">
        <v>0</v>
      </c>
      <c r="F52" s="43">
        <v>0</v>
      </c>
      <c r="G52" s="42">
        <v>100016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137921.5</v>
      </c>
      <c r="O52" s="42">
        <v>168401</v>
      </c>
      <c r="P52" s="42">
        <v>81921</v>
      </c>
      <c r="Q52" s="42">
        <v>235070.5</v>
      </c>
      <c r="R52" s="42">
        <v>174464</v>
      </c>
      <c r="U52" s="17"/>
    </row>
    <row r="53" spans="1:21" x14ac:dyDescent="0.25">
      <c r="A53" s="40" t="s">
        <v>517</v>
      </c>
      <c r="B53" s="40">
        <v>2007</v>
      </c>
      <c r="C53" s="73" t="s">
        <v>516</v>
      </c>
      <c r="D53" s="42">
        <v>0</v>
      </c>
      <c r="E53" s="42">
        <v>0</v>
      </c>
      <c r="F53" s="43">
        <v>0</v>
      </c>
      <c r="G53" s="42">
        <v>5372322244.9700003</v>
      </c>
      <c r="H53" s="42">
        <v>-8089573131.2399998</v>
      </c>
      <c r="I53" s="42">
        <v>3920640465.0599999</v>
      </c>
      <c r="J53" s="42">
        <v>-772526054.89999998</v>
      </c>
      <c r="K53" s="42">
        <v>6532585817.4899998</v>
      </c>
      <c r="L53" s="42">
        <v>-2701920140.6900001</v>
      </c>
      <c r="M53" s="42">
        <v>-233202596.68000001</v>
      </c>
      <c r="N53" s="42">
        <v>-2583473883.7199998</v>
      </c>
      <c r="O53" s="42">
        <v>2482831688.0100002</v>
      </c>
      <c r="P53" s="42">
        <v>-41312082.460000001</v>
      </c>
      <c r="Q53" s="42">
        <v>-537277566.19000006</v>
      </c>
      <c r="R53" s="42">
        <v>-3349094759.6500001</v>
      </c>
      <c r="U53" s="17"/>
    </row>
    <row r="54" spans="1:21" x14ac:dyDescent="0.25">
      <c r="A54" s="40" t="s">
        <v>515</v>
      </c>
      <c r="B54" s="40">
        <v>2007</v>
      </c>
      <c r="C54" s="73" t="s">
        <v>514</v>
      </c>
      <c r="D54" s="42">
        <v>0</v>
      </c>
      <c r="E54" s="42">
        <v>0</v>
      </c>
      <c r="F54" s="43">
        <v>0</v>
      </c>
      <c r="G54" s="42">
        <v>1199599367.3199999</v>
      </c>
      <c r="H54" s="42">
        <v>109000496.56999999</v>
      </c>
      <c r="I54" s="42">
        <v>163703182.56999999</v>
      </c>
      <c r="J54" s="42">
        <v>179647835.56999999</v>
      </c>
      <c r="K54" s="42">
        <v>184996580.72999999</v>
      </c>
      <c r="L54" s="42">
        <v>172531603.80000001</v>
      </c>
      <c r="M54" s="42">
        <v>126174974.89</v>
      </c>
      <c r="N54" s="42">
        <v>181769183.06</v>
      </c>
      <c r="O54" s="42">
        <v>-247801263.03999999</v>
      </c>
      <c r="P54" s="42">
        <v>-390718121.55000001</v>
      </c>
      <c r="Q54" s="42">
        <v>39678246.219999999</v>
      </c>
      <c r="R54" s="42">
        <v>-1718582086.1400001</v>
      </c>
      <c r="U54" s="17"/>
    </row>
    <row r="55" spans="1:21" x14ac:dyDescent="0.25">
      <c r="A55" s="40" t="s">
        <v>230</v>
      </c>
      <c r="B55" s="40">
        <v>2007</v>
      </c>
      <c r="C55" s="73" t="s">
        <v>229</v>
      </c>
      <c r="D55" s="42">
        <v>0</v>
      </c>
      <c r="E55" s="42">
        <v>0</v>
      </c>
      <c r="F55" s="43">
        <v>0</v>
      </c>
      <c r="G55" s="42">
        <v>1362792833.97</v>
      </c>
      <c r="H55" s="42">
        <v>556033208.32000005</v>
      </c>
      <c r="I55" s="42">
        <v>851466398.83000004</v>
      </c>
      <c r="J55" s="42">
        <v>858542440.38999999</v>
      </c>
      <c r="K55" s="42">
        <v>791275455.13999999</v>
      </c>
      <c r="L55" s="42">
        <v>466659677.11000001</v>
      </c>
      <c r="M55" s="42">
        <v>1029565917.09</v>
      </c>
      <c r="N55" s="42">
        <v>737710255.27999997</v>
      </c>
      <c r="O55" s="42">
        <v>796549483</v>
      </c>
      <c r="P55" s="42">
        <v>763152720.38</v>
      </c>
      <c r="Q55" s="42">
        <v>767738792.42999995</v>
      </c>
      <c r="R55" s="42">
        <v>1014037095.65</v>
      </c>
      <c r="U55" s="17"/>
    </row>
    <row r="56" spans="1:21" x14ac:dyDescent="0.25">
      <c r="A56" s="40" t="s">
        <v>228</v>
      </c>
      <c r="B56" s="40">
        <v>2007</v>
      </c>
      <c r="C56" s="73" t="s">
        <v>227</v>
      </c>
      <c r="D56" s="42">
        <v>0</v>
      </c>
      <c r="E56" s="42">
        <v>0</v>
      </c>
      <c r="F56" s="43">
        <v>0</v>
      </c>
      <c r="G56" s="42">
        <v>1575397046</v>
      </c>
      <c r="H56" s="42">
        <v>1626717618.8</v>
      </c>
      <c r="I56" s="42">
        <v>0</v>
      </c>
      <c r="J56" s="42">
        <v>0</v>
      </c>
      <c r="K56" s="42">
        <v>5329448818.6599998</v>
      </c>
      <c r="L56" s="42">
        <v>1724758663.7</v>
      </c>
      <c r="M56" s="42">
        <v>1748528410.5999999</v>
      </c>
      <c r="N56" s="42">
        <v>1754017823.4000001</v>
      </c>
      <c r="O56" s="42">
        <v>2052579822.4000001</v>
      </c>
      <c r="P56" s="42">
        <v>2007700395.5</v>
      </c>
      <c r="Q56" s="42">
        <v>1404288971.5999999</v>
      </c>
      <c r="R56" s="42">
        <v>1763727407.2</v>
      </c>
      <c r="U56" s="17"/>
    </row>
    <row r="57" spans="1:21" x14ac:dyDescent="0.25">
      <c r="A57" s="40" t="s">
        <v>226</v>
      </c>
      <c r="B57" s="40">
        <v>2007</v>
      </c>
      <c r="C57" s="73" t="s">
        <v>225</v>
      </c>
      <c r="D57" s="42">
        <v>0</v>
      </c>
      <c r="E57" s="42">
        <v>0</v>
      </c>
      <c r="F57" s="43">
        <v>0</v>
      </c>
      <c r="G57" s="42">
        <v>596500862.77999997</v>
      </c>
      <c r="H57" s="42">
        <v>519320754.22000003</v>
      </c>
      <c r="I57" s="42">
        <v>16644529.99</v>
      </c>
      <c r="J57" s="42">
        <v>19524078.239999998</v>
      </c>
      <c r="K57" s="42">
        <v>1619886567.9100001</v>
      </c>
      <c r="L57" s="42">
        <v>555667048.58000004</v>
      </c>
      <c r="M57" s="42">
        <v>688786060.90999997</v>
      </c>
      <c r="N57" s="42">
        <v>556351933.86000001</v>
      </c>
      <c r="O57" s="42">
        <v>622720303.57000005</v>
      </c>
      <c r="P57" s="42">
        <v>578361740.38</v>
      </c>
      <c r="Q57" s="42">
        <v>588837931.24000001</v>
      </c>
      <c r="R57" s="42">
        <v>600943520.73000002</v>
      </c>
      <c r="U57" s="17"/>
    </row>
    <row r="58" spans="1:21" x14ac:dyDescent="0.25">
      <c r="A58" s="40" t="s">
        <v>449</v>
      </c>
      <c r="B58" s="40">
        <v>2007</v>
      </c>
      <c r="C58" s="73" t="s">
        <v>448</v>
      </c>
      <c r="D58" s="42">
        <v>0</v>
      </c>
      <c r="E58" s="42">
        <v>0</v>
      </c>
      <c r="F58" s="43">
        <v>0</v>
      </c>
      <c r="G58" s="42">
        <v>0</v>
      </c>
      <c r="H58" s="42">
        <v>0</v>
      </c>
      <c r="I58" s="42">
        <v>0</v>
      </c>
      <c r="J58" s="42">
        <v>0</v>
      </c>
      <c r="K58" s="42">
        <v>9242386.4600000009</v>
      </c>
      <c r="L58" s="42">
        <v>3950512.26</v>
      </c>
      <c r="M58" s="42">
        <v>1370869.26</v>
      </c>
      <c r="N58" s="42">
        <v>352000</v>
      </c>
      <c r="O58" s="42">
        <v>4249249.2699999996</v>
      </c>
      <c r="P58" s="42">
        <v>0</v>
      </c>
      <c r="Q58" s="42">
        <v>561789.37</v>
      </c>
      <c r="R58" s="42">
        <v>0</v>
      </c>
      <c r="U58" s="17"/>
    </row>
    <row r="59" spans="1:21" x14ac:dyDescent="0.25">
      <c r="A59" s="40" t="s">
        <v>911</v>
      </c>
      <c r="B59" s="40">
        <v>2007</v>
      </c>
      <c r="C59" s="73" t="s">
        <v>912</v>
      </c>
      <c r="D59" s="42">
        <v>0</v>
      </c>
      <c r="E59" s="42">
        <v>0</v>
      </c>
      <c r="F59" s="43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36459921.75</v>
      </c>
      <c r="P59" s="42">
        <v>0</v>
      </c>
      <c r="Q59" s="42">
        <v>0</v>
      </c>
      <c r="R59" s="42">
        <v>0</v>
      </c>
      <c r="U59" s="17"/>
    </row>
    <row r="60" spans="1:21" x14ac:dyDescent="0.25">
      <c r="A60" s="40" t="s">
        <v>215</v>
      </c>
      <c r="B60" s="40">
        <v>2007</v>
      </c>
      <c r="C60" s="73" t="s">
        <v>214</v>
      </c>
      <c r="D60" s="42">
        <v>0</v>
      </c>
      <c r="E60" s="42">
        <v>0</v>
      </c>
      <c r="F60" s="43">
        <v>0</v>
      </c>
      <c r="G60" s="42">
        <v>654906.85</v>
      </c>
      <c r="H60" s="42">
        <v>490000</v>
      </c>
      <c r="I60" s="42">
        <v>897624.55</v>
      </c>
      <c r="J60" s="42">
        <v>542415</v>
      </c>
      <c r="K60" s="42">
        <v>2552500</v>
      </c>
      <c r="L60" s="42">
        <v>730341.52</v>
      </c>
      <c r="M60" s="42">
        <v>380000</v>
      </c>
      <c r="N60" s="42">
        <v>852194.36</v>
      </c>
      <c r="O60" s="42">
        <v>341332.25</v>
      </c>
      <c r="P60" s="42">
        <v>692579.2</v>
      </c>
      <c r="Q60" s="42">
        <v>840000</v>
      </c>
      <c r="R60" s="42">
        <v>560000</v>
      </c>
      <c r="U60" s="17"/>
    </row>
    <row r="61" spans="1:21" x14ac:dyDescent="0.25">
      <c r="A61" s="40" t="s">
        <v>213</v>
      </c>
      <c r="B61" s="40">
        <v>2007</v>
      </c>
      <c r="C61" s="73" t="s">
        <v>212</v>
      </c>
      <c r="D61" s="42">
        <v>0</v>
      </c>
      <c r="E61" s="42">
        <v>0</v>
      </c>
      <c r="F61" s="43">
        <v>0</v>
      </c>
      <c r="G61" s="42">
        <v>3273154.1</v>
      </c>
      <c r="H61" s="42">
        <v>3809729.74</v>
      </c>
      <c r="I61" s="42">
        <v>56508037.560000002</v>
      </c>
      <c r="J61" s="42">
        <v>3899039</v>
      </c>
      <c r="K61" s="42">
        <v>5421996.9500000002</v>
      </c>
      <c r="L61" s="42">
        <v>3918265.82</v>
      </c>
      <c r="M61" s="42">
        <v>6299113.9800000004</v>
      </c>
      <c r="N61" s="42">
        <v>4944505.6500000004</v>
      </c>
      <c r="O61" s="42">
        <v>6442134.2999999998</v>
      </c>
      <c r="P61" s="42">
        <v>8128335.5499999998</v>
      </c>
      <c r="Q61" s="42">
        <v>6973369.6299999999</v>
      </c>
      <c r="R61" s="42">
        <v>5412326.4299999997</v>
      </c>
      <c r="U61" s="17"/>
    </row>
    <row r="62" spans="1:21" x14ac:dyDescent="0.25">
      <c r="A62" s="40" t="s">
        <v>433</v>
      </c>
      <c r="B62" s="40">
        <v>2007</v>
      </c>
      <c r="C62" s="73" t="s">
        <v>432</v>
      </c>
      <c r="D62" s="42">
        <v>0</v>
      </c>
      <c r="E62" s="42">
        <v>0</v>
      </c>
      <c r="F62" s="43">
        <v>0</v>
      </c>
      <c r="G62" s="42">
        <v>237912181.74000001</v>
      </c>
      <c r="H62" s="42">
        <v>424929851.62</v>
      </c>
      <c r="I62" s="42">
        <v>-187290309.22</v>
      </c>
      <c r="J62" s="42">
        <v>-1777291.78</v>
      </c>
      <c r="K62" s="42">
        <v>374478274.38999999</v>
      </c>
      <c r="L62" s="42">
        <v>170344338.36000001</v>
      </c>
      <c r="M62" s="42">
        <v>228718799.24000001</v>
      </c>
      <c r="N62" s="42">
        <v>261821348.11000001</v>
      </c>
      <c r="O62" s="42">
        <v>371238235.02999997</v>
      </c>
      <c r="P62" s="42">
        <v>338707205.70999998</v>
      </c>
      <c r="Q62" s="42">
        <v>405255273.26999998</v>
      </c>
      <c r="R62" s="42">
        <v>496359152.31999999</v>
      </c>
      <c r="U62" s="17"/>
    </row>
    <row r="63" spans="1:21" x14ac:dyDescent="0.25">
      <c r="A63" s="40" t="s">
        <v>407</v>
      </c>
      <c r="B63" s="40">
        <v>2007</v>
      </c>
      <c r="C63" s="73" t="s">
        <v>406</v>
      </c>
      <c r="D63" s="42">
        <v>0</v>
      </c>
      <c r="E63" s="42">
        <v>0</v>
      </c>
      <c r="F63" s="43">
        <v>0</v>
      </c>
      <c r="G63" s="42">
        <v>0</v>
      </c>
      <c r="H63" s="42">
        <v>0</v>
      </c>
      <c r="I63" s="42">
        <v>4274</v>
      </c>
      <c r="J63" s="42">
        <v>29247</v>
      </c>
      <c r="K63" s="42">
        <v>15797311.98</v>
      </c>
      <c r="L63" s="42">
        <v>2726297.33</v>
      </c>
      <c r="M63" s="42">
        <v>0</v>
      </c>
      <c r="N63" s="42">
        <v>0</v>
      </c>
      <c r="O63" s="42">
        <v>3006137.04</v>
      </c>
      <c r="P63" s="42">
        <v>0</v>
      </c>
      <c r="Q63" s="42">
        <v>0</v>
      </c>
      <c r="R63" s="42">
        <v>0</v>
      </c>
      <c r="U63" s="17"/>
    </row>
    <row r="64" spans="1:21" x14ac:dyDescent="0.25">
      <c r="A64" s="40" t="s">
        <v>374</v>
      </c>
      <c r="B64" s="40">
        <v>2007</v>
      </c>
      <c r="C64" s="73" t="s">
        <v>405</v>
      </c>
      <c r="D64" s="42">
        <v>0</v>
      </c>
      <c r="E64" s="42">
        <v>0</v>
      </c>
      <c r="F64" s="43">
        <v>0</v>
      </c>
      <c r="G64" s="42">
        <v>46362620</v>
      </c>
      <c r="H64" s="42">
        <v>33006000</v>
      </c>
      <c r="I64" s="42">
        <v>26802850</v>
      </c>
      <c r="J64" s="42">
        <v>22013625</v>
      </c>
      <c r="K64" s="42">
        <v>24733600</v>
      </c>
      <c r="L64" s="42">
        <v>15738200</v>
      </c>
      <c r="M64" s="42">
        <v>18029320</v>
      </c>
      <c r="N64" s="42">
        <v>13828100</v>
      </c>
      <c r="O64" s="42">
        <v>558560</v>
      </c>
      <c r="P64" s="42">
        <v>92200</v>
      </c>
      <c r="Q64" s="42">
        <v>121500</v>
      </c>
      <c r="R64" s="42">
        <v>170357208.69999999</v>
      </c>
      <c r="U64" s="17"/>
    </row>
    <row r="65" spans="1:21" x14ac:dyDescent="0.25">
      <c r="A65" s="40" t="s">
        <v>203</v>
      </c>
      <c r="B65" s="40">
        <v>2007</v>
      </c>
      <c r="C65" s="73" t="s">
        <v>202</v>
      </c>
      <c r="D65" s="42">
        <v>0</v>
      </c>
      <c r="E65" s="42">
        <v>0</v>
      </c>
      <c r="F65" s="43">
        <v>0</v>
      </c>
      <c r="G65" s="42">
        <v>1207445385.03</v>
      </c>
      <c r="H65" s="42">
        <v>157950469.53999999</v>
      </c>
      <c r="I65" s="42">
        <v>47376921.759999998</v>
      </c>
      <c r="J65" s="42">
        <v>31784426.43</v>
      </c>
      <c r="K65" s="42">
        <v>45194732.009999998</v>
      </c>
      <c r="L65" s="42">
        <v>20650453.440000001</v>
      </c>
      <c r="M65" s="42">
        <v>16584990.98</v>
      </c>
      <c r="N65" s="42">
        <v>14501633.07</v>
      </c>
      <c r="O65" s="42">
        <v>9717162.5</v>
      </c>
      <c r="P65" s="42">
        <v>9208321.3699999992</v>
      </c>
      <c r="Q65" s="42">
        <v>10221985.9</v>
      </c>
      <c r="R65" s="42">
        <v>553245933.20000005</v>
      </c>
      <c r="U65" s="17"/>
    </row>
    <row r="66" spans="1:21" x14ac:dyDescent="0.25">
      <c r="A66" s="40" t="s">
        <v>200</v>
      </c>
      <c r="B66" s="40">
        <v>2007</v>
      </c>
      <c r="C66" s="73" t="s">
        <v>199</v>
      </c>
      <c r="D66" s="42">
        <v>0</v>
      </c>
      <c r="E66" s="42">
        <v>0</v>
      </c>
      <c r="F66" s="43">
        <v>0</v>
      </c>
      <c r="G66" s="42">
        <v>3170884.94</v>
      </c>
      <c r="H66" s="42">
        <v>4105635.46</v>
      </c>
      <c r="I66" s="42">
        <v>3281728.44</v>
      </c>
      <c r="J66" s="42">
        <v>3881975.41</v>
      </c>
      <c r="K66" s="42">
        <v>5043683.54</v>
      </c>
      <c r="L66" s="42">
        <v>2867299.46</v>
      </c>
      <c r="M66" s="42">
        <v>3656927.68</v>
      </c>
      <c r="N66" s="42">
        <v>4148750.02</v>
      </c>
      <c r="O66" s="42">
        <v>3962044.04</v>
      </c>
      <c r="P66" s="42">
        <v>4869298.7</v>
      </c>
      <c r="Q66" s="42">
        <v>3387369.11</v>
      </c>
      <c r="R66" s="42">
        <v>2991793.54</v>
      </c>
      <c r="U66" s="17"/>
    </row>
    <row r="67" spans="1:21" x14ac:dyDescent="0.25">
      <c r="A67" s="40" t="s">
        <v>198</v>
      </c>
      <c r="B67" s="40">
        <v>2007</v>
      </c>
      <c r="C67" s="73" t="s">
        <v>197</v>
      </c>
      <c r="D67" s="42">
        <v>0</v>
      </c>
      <c r="E67" s="42">
        <v>0</v>
      </c>
      <c r="F67" s="43">
        <v>0</v>
      </c>
      <c r="G67" s="42">
        <v>139340</v>
      </c>
      <c r="H67" s="42">
        <v>85150</v>
      </c>
      <c r="I67" s="42">
        <v>69320</v>
      </c>
      <c r="J67" s="42">
        <v>253710</v>
      </c>
      <c r="K67" s="42">
        <v>111550</v>
      </c>
      <c r="L67" s="42">
        <v>135400</v>
      </c>
      <c r="M67" s="42">
        <v>155160</v>
      </c>
      <c r="N67" s="42">
        <v>141680</v>
      </c>
      <c r="O67" s="42">
        <v>126310</v>
      </c>
      <c r="P67" s="42">
        <v>151120</v>
      </c>
      <c r="Q67" s="42">
        <v>175110</v>
      </c>
      <c r="R67" s="42">
        <v>97590</v>
      </c>
      <c r="U67" s="17"/>
    </row>
    <row r="68" spans="1:21" x14ac:dyDescent="0.25">
      <c r="A68" s="40" t="s">
        <v>196</v>
      </c>
      <c r="B68" s="40">
        <v>2007</v>
      </c>
      <c r="C68" s="73" t="s">
        <v>195</v>
      </c>
      <c r="D68" s="42">
        <v>0</v>
      </c>
      <c r="E68" s="42">
        <v>0</v>
      </c>
      <c r="F68" s="43">
        <v>0</v>
      </c>
      <c r="G68" s="42">
        <v>9026797.4800000004</v>
      </c>
      <c r="H68" s="42">
        <v>8513049.9000000004</v>
      </c>
      <c r="I68" s="42">
        <v>10608577.15</v>
      </c>
      <c r="J68" s="42">
        <v>9666177.25</v>
      </c>
      <c r="K68" s="42">
        <v>9879805.7400000002</v>
      </c>
      <c r="L68" s="42">
        <v>6587528.2999999998</v>
      </c>
      <c r="M68" s="42">
        <v>8535250.8800000008</v>
      </c>
      <c r="N68" s="42">
        <v>9486957.0500000007</v>
      </c>
      <c r="O68" s="42">
        <v>6867579.5</v>
      </c>
      <c r="P68" s="42">
        <v>8615200</v>
      </c>
      <c r="Q68" s="42">
        <v>8263904</v>
      </c>
      <c r="R68" s="42">
        <v>8549036.6600000001</v>
      </c>
      <c r="U68" s="17"/>
    </row>
    <row r="69" spans="1:21" x14ac:dyDescent="0.25">
      <c r="A69" s="40" t="s">
        <v>194</v>
      </c>
      <c r="B69" s="40">
        <v>2007</v>
      </c>
      <c r="C69" s="73" t="s">
        <v>193</v>
      </c>
      <c r="D69" s="42">
        <v>0</v>
      </c>
      <c r="E69" s="42">
        <v>0</v>
      </c>
      <c r="F69" s="43">
        <v>0</v>
      </c>
      <c r="G69" s="42">
        <v>2131470</v>
      </c>
      <c r="H69" s="42">
        <v>1501617</v>
      </c>
      <c r="I69" s="42">
        <v>2295590.15</v>
      </c>
      <c r="J69" s="42">
        <v>1445438</v>
      </c>
      <c r="K69" s="42">
        <v>839518</v>
      </c>
      <c r="L69" s="42">
        <v>1663330.4</v>
      </c>
      <c r="M69" s="42">
        <v>2132002</v>
      </c>
      <c r="N69" s="42">
        <v>2727673.5</v>
      </c>
      <c r="O69" s="42">
        <v>598663</v>
      </c>
      <c r="P69" s="42">
        <v>681884</v>
      </c>
      <c r="Q69" s="42">
        <v>1579842</v>
      </c>
      <c r="R69" s="42">
        <v>3763422</v>
      </c>
      <c r="U69" s="17"/>
    </row>
    <row r="70" spans="1:21" x14ac:dyDescent="0.25">
      <c r="A70" s="40" t="s">
        <v>913</v>
      </c>
      <c r="B70" s="40">
        <v>2007</v>
      </c>
      <c r="C70" s="73" t="s">
        <v>914</v>
      </c>
      <c r="D70" s="42">
        <v>0</v>
      </c>
      <c r="E70" s="42">
        <v>0</v>
      </c>
      <c r="F70" s="43">
        <v>0</v>
      </c>
      <c r="G70" s="42">
        <v>1277790</v>
      </c>
      <c r="H70" s="42">
        <v>1969370.5</v>
      </c>
      <c r="I70" s="42">
        <v>1140168</v>
      </c>
      <c r="J70" s="42">
        <v>589754.92000000004</v>
      </c>
      <c r="K70" s="42">
        <v>1442852.5</v>
      </c>
      <c r="L70" s="42">
        <v>-106630</v>
      </c>
      <c r="M70" s="42">
        <v>2000</v>
      </c>
      <c r="N70" s="42">
        <v>2000</v>
      </c>
      <c r="O70" s="42">
        <v>2000</v>
      </c>
      <c r="P70" s="42">
        <v>1500</v>
      </c>
      <c r="Q70" s="42">
        <v>0</v>
      </c>
      <c r="R70" s="42">
        <v>1500</v>
      </c>
      <c r="U70" s="17"/>
    </row>
    <row r="71" spans="1:21" x14ac:dyDescent="0.25">
      <c r="A71" s="40" t="s">
        <v>853</v>
      </c>
      <c r="B71" s="40">
        <v>2007</v>
      </c>
      <c r="C71" s="73" t="s">
        <v>854</v>
      </c>
      <c r="D71" s="42">
        <v>0</v>
      </c>
      <c r="E71" s="42">
        <v>0</v>
      </c>
      <c r="F71" s="43">
        <v>0</v>
      </c>
      <c r="G71" s="42">
        <v>0</v>
      </c>
      <c r="H71" s="42">
        <v>0</v>
      </c>
      <c r="I71" s="42">
        <v>0</v>
      </c>
      <c r="J71" s="42">
        <v>0</v>
      </c>
      <c r="K71" s="42">
        <v>0</v>
      </c>
      <c r="L71" s="42">
        <v>0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288769734.58999997</v>
      </c>
      <c r="U71" s="17"/>
    </row>
    <row r="72" spans="1:21" x14ac:dyDescent="0.25">
      <c r="A72" s="40" t="s">
        <v>487</v>
      </c>
      <c r="B72" s="40">
        <v>2007</v>
      </c>
      <c r="C72" s="73" t="s">
        <v>486</v>
      </c>
      <c r="D72" s="42">
        <v>0</v>
      </c>
      <c r="E72" s="42">
        <v>0</v>
      </c>
      <c r="F72" s="43">
        <v>0</v>
      </c>
      <c r="G72" s="42">
        <v>0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>
        <v>0</v>
      </c>
      <c r="O72" s="42">
        <v>0</v>
      </c>
      <c r="P72" s="42">
        <v>0</v>
      </c>
      <c r="Q72" s="42">
        <v>0</v>
      </c>
      <c r="R72" s="42">
        <v>54752844</v>
      </c>
      <c r="U72" s="17"/>
    </row>
    <row r="73" spans="1:21" x14ac:dyDescent="0.25">
      <c r="A73" s="40" t="s">
        <v>855</v>
      </c>
      <c r="B73" s="40">
        <v>2007</v>
      </c>
      <c r="C73" s="73" t="s">
        <v>512</v>
      </c>
      <c r="D73" s="42">
        <v>0</v>
      </c>
      <c r="E73" s="42">
        <v>0</v>
      </c>
      <c r="F73" s="43">
        <v>0</v>
      </c>
      <c r="G73" s="42">
        <v>0</v>
      </c>
      <c r="H73" s="42">
        <v>0</v>
      </c>
      <c r="I73" s="42">
        <v>0</v>
      </c>
      <c r="J73" s="42">
        <v>0</v>
      </c>
      <c r="K73" s="42">
        <v>0</v>
      </c>
      <c r="L73" s="42">
        <v>0</v>
      </c>
      <c r="M73" s="42">
        <v>10238800</v>
      </c>
      <c r="N73" s="42">
        <v>0</v>
      </c>
      <c r="O73" s="42">
        <v>0</v>
      </c>
      <c r="P73" s="42">
        <v>0</v>
      </c>
      <c r="Q73" s="42">
        <v>0</v>
      </c>
      <c r="R73" s="42">
        <v>0</v>
      </c>
      <c r="U73" s="17"/>
    </row>
    <row r="74" spans="1:21" x14ac:dyDescent="0.25">
      <c r="A74" s="40" t="s">
        <v>511</v>
      </c>
      <c r="B74" s="40">
        <v>2007</v>
      </c>
      <c r="C74" s="73" t="s">
        <v>832</v>
      </c>
      <c r="D74" s="42">
        <v>0</v>
      </c>
      <c r="E74" s="42">
        <v>0</v>
      </c>
      <c r="F74" s="43">
        <v>0</v>
      </c>
      <c r="G74" s="42">
        <v>0</v>
      </c>
      <c r="H74" s="42">
        <v>0</v>
      </c>
      <c r="I74" s="42">
        <v>0</v>
      </c>
      <c r="J74" s="42">
        <v>2250000</v>
      </c>
      <c r="K74" s="42">
        <v>0</v>
      </c>
      <c r="L74" s="42">
        <v>0</v>
      </c>
      <c r="M74" s="42">
        <v>2250000</v>
      </c>
      <c r="N74" s="42">
        <v>0</v>
      </c>
      <c r="O74" s="42">
        <v>0</v>
      </c>
      <c r="P74" s="42">
        <v>0</v>
      </c>
      <c r="Q74" s="42">
        <v>0</v>
      </c>
      <c r="R74" s="42">
        <v>4500000</v>
      </c>
      <c r="U74" s="17"/>
    </row>
    <row r="75" spans="1:21" x14ac:dyDescent="0.25">
      <c r="A75" s="40" t="s">
        <v>856</v>
      </c>
      <c r="B75" s="40">
        <v>2007</v>
      </c>
      <c r="C75" s="73" t="s">
        <v>857</v>
      </c>
      <c r="D75" s="42">
        <v>0</v>
      </c>
      <c r="E75" s="42">
        <v>0</v>
      </c>
      <c r="F75" s="43">
        <v>0</v>
      </c>
      <c r="G75" s="42">
        <v>31353673.829999998</v>
      </c>
      <c r="H75" s="42">
        <v>0</v>
      </c>
      <c r="I75" s="42">
        <v>0</v>
      </c>
      <c r="J75" s="42">
        <v>4505144.54</v>
      </c>
      <c r="K75" s="42">
        <v>0</v>
      </c>
      <c r="L75" s="42">
        <v>0</v>
      </c>
      <c r="M75" s="42">
        <v>179113754.08000001</v>
      </c>
      <c r="N75" s="42">
        <v>0</v>
      </c>
      <c r="O75" s="42">
        <v>0</v>
      </c>
      <c r="P75" s="42">
        <v>0</v>
      </c>
      <c r="Q75" s="42">
        <v>0</v>
      </c>
      <c r="R75" s="42">
        <v>156264236.31999999</v>
      </c>
      <c r="U75" s="17"/>
    </row>
    <row r="76" spans="1:21" x14ac:dyDescent="0.25">
      <c r="A76" s="40" t="s">
        <v>167</v>
      </c>
      <c r="B76" s="40">
        <v>2007</v>
      </c>
      <c r="C76" s="73" t="s">
        <v>166</v>
      </c>
      <c r="D76" s="42">
        <v>0</v>
      </c>
      <c r="E76" s="42">
        <v>0</v>
      </c>
      <c r="F76" s="43">
        <v>0</v>
      </c>
      <c r="G76" s="42">
        <v>125345909.8</v>
      </c>
      <c r="H76" s="42">
        <v>167719595.88</v>
      </c>
      <c r="I76" s="42">
        <v>195536731.38999999</v>
      </c>
      <c r="J76" s="42">
        <v>136804887.24000001</v>
      </c>
      <c r="K76" s="42">
        <v>339053533.25999999</v>
      </c>
      <c r="L76" s="42">
        <v>172143768.69999999</v>
      </c>
      <c r="M76" s="42">
        <v>358455727.54000002</v>
      </c>
      <c r="N76" s="42">
        <v>163986936.24000001</v>
      </c>
      <c r="O76" s="42">
        <v>206024037.68000001</v>
      </c>
      <c r="P76" s="42">
        <v>549997753.07000005</v>
      </c>
      <c r="Q76" s="42">
        <v>634732837.88999999</v>
      </c>
      <c r="R76" s="42">
        <v>285826010.05000001</v>
      </c>
      <c r="U76" s="17"/>
    </row>
    <row r="77" spans="1:21" x14ac:dyDescent="0.25">
      <c r="A77" s="40" t="s">
        <v>915</v>
      </c>
      <c r="B77" s="40">
        <v>2007</v>
      </c>
      <c r="C77" s="73" t="s">
        <v>916</v>
      </c>
      <c r="D77" s="42">
        <v>0</v>
      </c>
      <c r="E77" s="42">
        <v>0</v>
      </c>
      <c r="F77" s="43">
        <v>0</v>
      </c>
      <c r="G77" s="42">
        <v>1275975.27</v>
      </c>
      <c r="H77" s="42">
        <v>20600665.260000002</v>
      </c>
      <c r="I77" s="42">
        <v>2015392.19</v>
      </c>
      <c r="J77" s="42">
        <v>54192480</v>
      </c>
      <c r="K77" s="42">
        <v>58186251.960000001</v>
      </c>
      <c r="L77" s="42">
        <v>5452161867.0500002</v>
      </c>
      <c r="M77" s="42">
        <v>11889451.48</v>
      </c>
      <c r="N77" s="42">
        <v>780104.79</v>
      </c>
      <c r="O77" s="42">
        <v>3784358.14</v>
      </c>
      <c r="P77" s="42">
        <v>2129794.9500000002</v>
      </c>
      <c r="Q77" s="42">
        <v>1251967.2</v>
      </c>
      <c r="R77" s="42">
        <v>8997847.1400000006</v>
      </c>
      <c r="U77" s="17"/>
    </row>
    <row r="78" spans="1:21" x14ac:dyDescent="0.25">
      <c r="A78" s="40" t="s">
        <v>917</v>
      </c>
      <c r="B78" s="40">
        <v>2007</v>
      </c>
      <c r="C78" s="73" t="s">
        <v>160</v>
      </c>
      <c r="D78" s="42">
        <v>0</v>
      </c>
      <c r="E78" s="42">
        <v>0</v>
      </c>
      <c r="F78" s="43">
        <v>0</v>
      </c>
      <c r="G78" s="42">
        <v>0</v>
      </c>
      <c r="H78" s="42">
        <v>0</v>
      </c>
      <c r="I78" s="42">
        <v>0</v>
      </c>
      <c r="J78" s="42">
        <v>0</v>
      </c>
      <c r="K78" s="42">
        <v>0</v>
      </c>
      <c r="L78" s="42">
        <v>4767663.47</v>
      </c>
      <c r="M78" s="42">
        <v>1633650.22</v>
      </c>
      <c r="N78" s="42">
        <v>0</v>
      </c>
      <c r="O78" s="42">
        <v>0</v>
      </c>
      <c r="P78" s="42">
        <v>0</v>
      </c>
      <c r="Q78" s="42">
        <v>0</v>
      </c>
      <c r="R78" s="42">
        <v>0</v>
      </c>
      <c r="U78" s="17"/>
    </row>
    <row r="79" spans="1:21" x14ac:dyDescent="0.25">
      <c r="A79" s="40" t="s">
        <v>918</v>
      </c>
      <c r="B79" s="40">
        <v>2007</v>
      </c>
      <c r="C79" s="73" t="s">
        <v>919</v>
      </c>
      <c r="D79" s="42">
        <v>0</v>
      </c>
      <c r="E79" s="42">
        <v>0</v>
      </c>
      <c r="F79" s="43">
        <v>0</v>
      </c>
      <c r="G79" s="42">
        <v>10225918.529999999</v>
      </c>
      <c r="H79" s="42">
        <v>4953031.5</v>
      </c>
      <c r="I79" s="42">
        <v>35841130.450000003</v>
      </c>
      <c r="J79" s="42">
        <v>8204230.7999999998</v>
      </c>
      <c r="K79" s="42">
        <v>19335220.609999999</v>
      </c>
      <c r="L79" s="42">
        <v>-58354563.990000002</v>
      </c>
      <c r="M79" s="42">
        <v>9385892.0899999999</v>
      </c>
      <c r="N79" s="42">
        <v>11405306.77</v>
      </c>
      <c r="O79" s="42">
        <v>5345515.7699999996</v>
      </c>
      <c r="P79" s="42">
        <v>5319201.32</v>
      </c>
      <c r="Q79" s="42">
        <v>9490348.1600000001</v>
      </c>
      <c r="R79" s="42">
        <v>167044018.53999999</v>
      </c>
      <c r="U79" s="17"/>
    </row>
    <row r="80" spans="1:21" x14ac:dyDescent="0.25">
      <c r="A80" s="40" t="s">
        <v>920</v>
      </c>
      <c r="B80" s="40">
        <v>2007</v>
      </c>
      <c r="C80" s="73" t="s">
        <v>921</v>
      </c>
      <c r="D80" s="42">
        <v>0</v>
      </c>
      <c r="E80" s="42">
        <v>0</v>
      </c>
      <c r="F80" s="43">
        <v>0</v>
      </c>
      <c r="G80" s="42">
        <v>1152500</v>
      </c>
      <c r="H80" s="42">
        <v>3281500</v>
      </c>
      <c r="I80" s="42">
        <v>207628840</v>
      </c>
      <c r="J80" s="42">
        <v>1333000</v>
      </c>
      <c r="K80" s="42">
        <v>1140500</v>
      </c>
      <c r="L80" s="42">
        <v>100000</v>
      </c>
      <c r="M80" s="42">
        <v>2391165</v>
      </c>
      <c r="N80" s="42">
        <v>889500</v>
      </c>
      <c r="O80" s="42">
        <v>9519680</v>
      </c>
      <c r="P80" s="42">
        <v>2983500</v>
      </c>
      <c r="Q80" s="42">
        <v>4974500</v>
      </c>
      <c r="R80" s="42">
        <v>67656030</v>
      </c>
      <c r="U80" s="17"/>
    </row>
    <row r="81" spans="1:21" x14ac:dyDescent="0.25">
      <c r="A81" s="40" t="s">
        <v>922</v>
      </c>
      <c r="B81" s="40">
        <v>2007</v>
      </c>
      <c r="C81" s="73" t="s">
        <v>923</v>
      </c>
      <c r="D81" s="42">
        <v>0</v>
      </c>
      <c r="E81" s="42">
        <v>0</v>
      </c>
      <c r="F81" s="43">
        <v>0</v>
      </c>
      <c r="G81" s="42">
        <v>0</v>
      </c>
      <c r="H81" s="42">
        <v>0</v>
      </c>
      <c r="I81" s="42">
        <v>0</v>
      </c>
      <c r="J81" s="42">
        <v>0</v>
      </c>
      <c r="K81" s="42">
        <v>27320000</v>
      </c>
      <c r="L81" s="42">
        <v>0</v>
      </c>
      <c r="M81" s="42">
        <v>0</v>
      </c>
      <c r="N81" s="42">
        <v>26826000</v>
      </c>
      <c r="O81" s="42">
        <v>22050000</v>
      </c>
      <c r="P81" s="42">
        <v>1000000</v>
      </c>
      <c r="Q81" s="42">
        <v>1000000</v>
      </c>
      <c r="R81" s="42">
        <v>7560000</v>
      </c>
      <c r="U81" s="17"/>
    </row>
    <row r="82" spans="1:21" x14ac:dyDescent="0.25">
      <c r="A82" s="40" t="s">
        <v>150</v>
      </c>
      <c r="B82" s="40">
        <v>2007</v>
      </c>
      <c r="C82" s="73" t="s">
        <v>149</v>
      </c>
      <c r="D82" s="42">
        <v>0</v>
      </c>
      <c r="E82" s="42">
        <v>0</v>
      </c>
      <c r="F82" s="43">
        <v>0</v>
      </c>
      <c r="G82" s="42">
        <v>34246050.890000001</v>
      </c>
      <c r="H82" s="42">
        <v>-5100</v>
      </c>
      <c r="I82" s="42">
        <v>21643500.559999999</v>
      </c>
      <c r="J82" s="42">
        <v>148903.82</v>
      </c>
      <c r="K82" s="42">
        <v>0</v>
      </c>
      <c r="L82" s="42">
        <v>17049332.559999999</v>
      </c>
      <c r="M82" s="42">
        <v>61356.62</v>
      </c>
      <c r="N82" s="42">
        <v>4800259.71</v>
      </c>
      <c r="O82" s="42">
        <v>500000</v>
      </c>
      <c r="P82" s="42">
        <v>14774493.18</v>
      </c>
      <c r="Q82" s="42">
        <v>9015686.5299999993</v>
      </c>
      <c r="R82" s="42">
        <v>23852932.66</v>
      </c>
      <c r="U82" s="17"/>
    </row>
    <row r="83" spans="1:21" x14ac:dyDescent="0.25">
      <c r="A83" s="40" t="s">
        <v>858</v>
      </c>
      <c r="B83" s="40">
        <v>2007</v>
      </c>
      <c r="C83" s="73" t="s">
        <v>859</v>
      </c>
      <c r="D83" s="42">
        <v>0</v>
      </c>
      <c r="E83" s="42">
        <v>0</v>
      </c>
      <c r="F83" s="43">
        <v>0</v>
      </c>
      <c r="G83" s="42">
        <v>240613590.56999999</v>
      </c>
      <c r="H83" s="42">
        <v>17319846.52</v>
      </c>
      <c r="I83" s="42">
        <v>113532717.16</v>
      </c>
      <c r="J83" s="42">
        <v>16528498.779999999</v>
      </c>
      <c r="K83" s="42">
        <v>58760484.630000003</v>
      </c>
      <c r="L83" s="42">
        <v>28725727.899999999</v>
      </c>
      <c r="M83" s="42">
        <v>33224143.100000001</v>
      </c>
      <c r="N83" s="42">
        <v>23723036.640000001</v>
      </c>
      <c r="O83" s="42">
        <v>57624429.950000003</v>
      </c>
      <c r="P83" s="42">
        <v>41190893.710000001</v>
      </c>
      <c r="Q83" s="42">
        <v>29425580.77</v>
      </c>
      <c r="R83" s="42">
        <v>1151137467.4300001</v>
      </c>
      <c r="U83" s="17"/>
    </row>
    <row r="84" spans="1:21" x14ac:dyDescent="0.25">
      <c r="A84" s="40" t="s">
        <v>924</v>
      </c>
      <c r="B84" s="40">
        <v>2007</v>
      </c>
      <c r="C84" s="73" t="s">
        <v>925</v>
      </c>
      <c r="D84" s="42">
        <v>0</v>
      </c>
      <c r="E84" s="42">
        <v>0</v>
      </c>
      <c r="F84" s="43">
        <v>0</v>
      </c>
      <c r="G84" s="42">
        <v>25435313.449999999</v>
      </c>
      <c r="H84" s="42">
        <v>-6067713.8499999996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2">
        <v>0</v>
      </c>
      <c r="Q84" s="42">
        <v>0</v>
      </c>
      <c r="R84" s="42">
        <v>0</v>
      </c>
      <c r="U84" s="17"/>
    </row>
    <row r="85" spans="1:21" x14ac:dyDescent="0.25">
      <c r="A85" s="40" t="s">
        <v>926</v>
      </c>
      <c r="B85" s="40">
        <v>2007</v>
      </c>
      <c r="C85" s="73" t="s">
        <v>927</v>
      </c>
      <c r="D85" s="42">
        <v>0</v>
      </c>
      <c r="E85" s="42">
        <v>0</v>
      </c>
      <c r="F85" s="43">
        <v>0</v>
      </c>
      <c r="G85" s="42">
        <v>5665714.0099999998</v>
      </c>
      <c r="H85" s="42">
        <v>43194012.039999999</v>
      </c>
      <c r="I85" s="42">
        <v>63445088.909999996</v>
      </c>
      <c r="J85" s="42">
        <v>75089758.129999995</v>
      </c>
      <c r="K85" s="42">
        <v>14527254.050000001</v>
      </c>
      <c r="L85" s="42">
        <v>54275297.899999999</v>
      </c>
      <c r="M85" s="42">
        <v>50597587.299999997</v>
      </c>
      <c r="N85" s="42">
        <v>11133761.68</v>
      </c>
      <c r="O85" s="42">
        <v>39218102.920000002</v>
      </c>
      <c r="P85" s="42">
        <v>22986981.739999998</v>
      </c>
      <c r="Q85" s="42">
        <v>31892841.030000001</v>
      </c>
      <c r="R85" s="42">
        <v>-7290098.9900000002</v>
      </c>
      <c r="U85" s="17"/>
    </row>
    <row r="86" spans="1:21" x14ac:dyDescent="0.25">
      <c r="A86" s="40" t="s">
        <v>928</v>
      </c>
      <c r="B86" s="40">
        <v>2007</v>
      </c>
      <c r="C86" s="73" t="s">
        <v>927</v>
      </c>
      <c r="D86" s="42">
        <v>0</v>
      </c>
      <c r="E86" s="42">
        <v>0</v>
      </c>
      <c r="F86" s="43">
        <v>0</v>
      </c>
      <c r="G86" s="42">
        <v>16549725.57</v>
      </c>
      <c r="H86" s="42">
        <v>6542735.7199999997</v>
      </c>
      <c r="I86" s="42">
        <v>5530505.4400000004</v>
      </c>
      <c r="J86" s="42">
        <v>9213520.6400000006</v>
      </c>
      <c r="K86" s="42">
        <v>37870340.100000001</v>
      </c>
      <c r="L86" s="42">
        <v>11460517.720000001</v>
      </c>
      <c r="M86" s="42">
        <v>664326.49</v>
      </c>
      <c r="N86" s="42">
        <v>18494096.530000001</v>
      </c>
      <c r="O86" s="42">
        <v>5284171.93</v>
      </c>
      <c r="P86" s="42">
        <v>27931973.379999999</v>
      </c>
      <c r="Q86" s="42">
        <v>81489906.609999999</v>
      </c>
      <c r="R86" s="42">
        <v>36501926.240000002</v>
      </c>
      <c r="U86" s="17"/>
    </row>
    <row r="87" spans="1:21" x14ac:dyDescent="0.25">
      <c r="A87" s="40" t="s">
        <v>929</v>
      </c>
      <c r="B87" s="40">
        <v>2007</v>
      </c>
      <c r="C87" s="73" t="s">
        <v>927</v>
      </c>
      <c r="D87" s="42">
        <v>0</v>
      </c>
      <c r="E87" s="42">
        <v>0</v>
      </c>
      <c r="F87" s="43">
        <v>0</v>
      </c>
      <c r="G87" s="42">
        <v>7833080.9000000004</v>
      </c>
      <c r="H87" s="42">
        <v>13789668.310000001</v>
      </c>
      <c r="I87" s="42">
        <v>1200</v>
      </c>
      <c r="J87" s="42">
        <v>56877.35</v>
      </c>
      <c r="K87" s="42">
        <v>6343782.4800000004</v>
      </c>
      <c r="L87" s="42">
        <v>37119429.200000003</v>
      </c>
      <c r="M87" s="42">
        <v>1765104.91</v>
      </c>
      <c r="N87" s="42">
        <v>6500729.9400000004</v>
      </c>
      <c r="O87" s="42">
        <v>2001598.17</v>
      </c>
      <c r="P87" s="42">
        <v>475543.85</v>
      </c>
      <c r="Q87" s="42">
        <v>118517</v>
      </c>
      <c r="R87" s="42">
        <v>206042.9</v>
      </c>
      <c r="U87" s="17"/>
    </row>
    <row r="88" spans="1:21" x14ac:dyDescent="0.25">
      <c r="A88" s="40" t="s">
        <v>930</v>
      </c>
      <c r="B88" s="40">
        <v>2007</v>
      </c>
      <c r="C88" s="73" t="s">
        <v>927</v>
      </c>
      <c r="D88" s="42">
        <v>0</v>
      </c>
      <c r="E88" s="42">
        <v>0</v>
      </c>
      <c r="F88" s="43">
        <v>0</v>
      </c>
      <c r="G88" s="42">
        <v>121425</v>
      </c>
      <c r="H88" s="42">
        <v>20020</v>
      </c>
      <c r="I88" s="42">
        <v>83177</v>
      </c>
      <c r="J88" s="42">
        <v>184825.75</v>
      </c>
      <c r="K88" s="42">
        <v>17551525.219999999</v>
      </c>
      <c r="L88" s="42">
        <v>0</v>
      </c>
      <c r="M88" s="42">
        <v>20000</v>
      </c>
      <c r="N88" s="42">
        <v>1680102.24</v>
      </c>
      <c r="O88" s="42">
        <v>184600</v>
      </c>
      <c r="P88" s="42">
        <v>285570.5</v>
      </c>
      <c r="Q88" s="42">
        <v>399904.5</v>
      </c>
      <c r="R88" s="42">
        <v>113880</v>
      </c>
      <c r="U88" s="17"/>
    </row>
    <row r="89" spans="1:21" x14ac:dyDescent="0.25">
      <c r="A89" s="40" t="s">
        <v>931</v>
      </c>
      <c r="B89" s="40">
        <v>2007</v>
      </c>
      <c r="C89" s="73" t="s">
        <v>927</v>
      </c>
      <c r="D89" s="42">
        <v>0</v>
      </c>
      <c r="E89" s="42">
        <v>0</v>
      </c>
      <c r="F89" s="43">
        <v>0</v>
      </c>
      <c r="G89" s="42">
        <v>0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668.15</v>
      </c>
      <c r="O89" s="42">
        <v>0</v>
      </c>
      <c r="P89" s="42">
        <v>16.100000000000001</v>
      </c>
      <c r="Q89" s="42">
        <v>5.64</v>
      </c>
      <c r="R89" s="42">
        <v>0</v>
      </c>
      <c r="U89" s="17"/>
    </row>
    <row r="90" spans="1:21" x14ac:dyDescent="0.25">
      <c r="A90" s="40" t="s">
        <v>932</v>
      </c>
      <c r="B90" s="40">
        <v>2007</v>
      </c>
      <c r="C90" s="73" t="s">
        <v>927</v>
      </c>
      <c r="D90" s="42">
        <v>0</v>
      </c>
      <c r="E90" s="42">
        <v>0</v>
      </c>
      <c r="F90" s="43">
        <v>0</v>
      </c>
      <c r="G90" s="42">
        <v>2316575</v>
      </c>
      <c r="H90" s="42">
        <v>2217000</v>
      </c>
      <c r="I90" s="42">
        <v>3189000</v>
      </c>
      <c r="J90" s="42">
        <v>2213000</v>
      </c>
      <c r="K90" s="42">
        <v>2615000</v>
      </c>
      <c r="L90" s="42">
        <v>2870000</v>
      </c>
      <c r="M90" s="42">
        <v>2271000</v>
      </c>
      <c r="N90" s="42">
        <v>3277000</v>
      </c>
      <c r="O90" s="42">
        <v>3179000</v>
      </c>
      <c r="P90" s="42">
        <v>3442875.35</v>
      </c>
      <c r="Q90" s="42">
        <v>4417000</v>
      </c>
      <c r="R90" s="42">
        <v>3436000</v>
      </c>
      <c r="U90" s="17"/>
    </row>
    <row r="91" spans="1:21" x14ac:dyDescent="0.25">
      <c r="A91" s="40" t="s">
        <v>933</v>
      </c>
      <c r="B91" s="40">
        <v>2007</v>
      </c>
      <c r="C91" s="73" t="s">
        <v>927</v>
      </c>
      <c r="D91" s="42">
        <v>0</v>
      </c>
      <c r="E91" s="42">
        <v>0</v>
      </c>
      <c r="F91" s="43">
        <v>0</v>
      </c>
      <c r="G91" s="42">
        <v>8039150</v>
      </c>
      <c r="H91" s="42">
        <v>2564913.1</v>
      </c>
      <c r="I91" s="42">
        <v>13001712.5</v>
      </c>
      <c r="J91" s="42">
        <v>13111325</v>
      </c>
      <c r="K91" s="42">
        <v>827400</v>
      </c>
      <c r="L91" s="42">
        <v>808625</v>
      </c>
      <c r="M91" s="42">
        <v>212550</v>
      </c>
      <c r="N91" s="42">
        <v>10911312.5</v>
      </c>
      <c r="O91" s="42">
        <v>5469900</v>
      </c>
      <c r="P91" s="42">
        <v>5326300</v>
      </c>
      <c r="Q91" s="42">
        <v>2273575</v>
      </c>
      <c r="R91" s="42">
        <v>13214625.5</v>
      </c>
      <c r="U91" s="17"/>
    </row>
    <row r="92" spans="1:21" x14ac:dyDescent="0.25">
      <c r="A92" s="40" t="s">
        <v>934</v>
      </c>
      <c r="B92" s="40">
        <v>2007</v>
      </c>
      <c r="C92" s="73" t="s">
        <v>927</v>
      </c>
      <c r="D92" s="42">
        <v>0</v>
      </c>
      <c r="E92" s="42">
        <v>0</v>
      </c>
      <c r="F92" s="43">
        <v>0</v>
      </c>
      <c r="G92" s="42">
        <v>16757796.26</v>
      </c>
      <c r="H92" s="42">
        <v>14421500.25</v>
      </c>
      <c r="I92" s="42">
        <v>17738692.640000001</v>
      </c>
      <c r="J92" s="42">
        <v>17206298.16</v>
      </c>
      <c r="K92" s="42">
        <v>20308740</v>
      </c>
      <c r="L92" s="42">
        <v>16570338.119999999</v>
      </c>
      <c r="M92" s="42">
        <v>20350487.82</v>
      </c>
      <c r="N92" s="42">
        <v>20136271.02</v>
      </c>
      <c r="O92" s="42">
        <v>20610223.890000001</v>
      </c>
      <c r="P92" s="42">
        <v>20578521.289999999</v>
      </c>
      <c r="Q92" s="42">
        <v>19338027.620000001</v>
      </c>
      <c r="R92" s="42">
        <v>43365819.840000004</v>
      </c>
      <c r="U92" s="17"/>
    </row>
    <row r="93" spans="1:21" x14ac:dyDescent="0.25">
      <c r="A93" s="40" t="s">
        <v>935</v>
      </c>
      <c r="B93" s="40">
        <v>2007</v>
      </c>
      <c r="C93" s="73" t="s">
        <v>936</v>
      </c>
      <c r="D93" s="42">
        <v>0</v>
      </c>
      <c r="E93" s="42">
        <v>0</v>
      </c>
      <c r="F93" s="43">
        <v>0</v>
      </c>
      <c r="G93" s="42">
        <v>0</v>
      </c>
      <c r="H93" s="42">
        <v>0</v>
      </c>
      <c r="I93" s="42">
        <v>1608573775</v>
      </c>
      <c r="J93" s="42">
        <v>2455163517</v>
      </c>
      <c r="K93" s="42">
        <v>1905122081.1400001</v>
      </c>
      <c r="L93" s="42">
        <v>1897689417.48</v>
      </c>
      <c r="M93" s="42">
        <v>1273998102.52</v>
      </c>
      <c r="N93" s="42">
        <v>2767881209</v>
      </c>
      <c r="O93" s="42">
        <v>664044976</v>
      </c>
      <c r="P93" s="42">
        <v>163119743</v>
      </c>
      <c r="Q93" s="42">
        <v>196992582.77000001</v>
      </c>
      <c r="R93" s="42">
        <v>-270004108</v>
      </c>
      <c r="U93" s="17"/>
    </row>
    <row r="94" spans="1:21" x14ac:dyDescent="0.25">
      <c r="A94" s="40" t="s">
        <v>122</v>
      </c>
      <c r="B94" s="40">
        <v>2007</v>
      </c>
      <c r="C94" s="73" t="s">
        <v>121</v>
      </c>
      <c r="D94" s="42">
        <v>0</v>
      </c>
      <c r="E94" s="42">
        <v>0</v>
      </c>
      <c r="F94" s="43">
        <v>0</v>
      </c>
      <c r="G94" s="42">
        <v>0</v>
      </c>
      <c r="H94" s="42">
        <v>0</v>
      </c>
      <c r="I94" s="42">
        <v>0</v>
      </c>
      <c r="J94" s="42">
        <v>0</v>
      </c>
      <c r="K94" s="42">
        <v>413785293.51999998</v>
      </c>
      <c r="L94" s="42">
        <v>136972834.74000001</v>
      </c>
      <c r="M94" s="42">
        <v>147274075.31</v>
      </c>
      <c r="N94" s="42">
        <v>271730813.75999999</v>
      </c>
      <c r="O94" s="42">
        <v>0</v>
      </c>
      <c r="P94" s="42">
        <v>0</v>
      </c>
      <c r="Q94" s="42">
        <v>600741832.47000003</v>
      </c>
      <c r="R94" s="42">
        <v>415435634.67000002</v>
      </c>
      <c r="U94" s="17"/>
    </row>
    <row r="95" spans="1:21" x14ac:dyDescent="0.25">
      <c r="A95" s="40" t="s">
        <v>443</v>
      </c>
      <c r="B95" s="40">
        <v>2007</v>
      </c>
      <c r="C95" s="73" t="s">
        <v>442</v>
      </c>
      <c r="D95" s="42">
        <v>0</v>
      </c>
      <c r="E95" s="42">
        <v>0</v>
      </c>
      <c r="F95" s="43">
        <v>0</v>
      </c>
      <c r="G95" s="42">
        <v>0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105308751</v>
      </c>
      <c r="Q95" s="42">
        <v>63800000</v>
      </c>
      <c r="R95" s="42">
        <v>163569678.16999999</v>
      </c>
      <c r="U95" s="17"/>
    </row>
    <row r="96" spans="1:21" x14ac:dyDescent="0.25">
      <c r="A96" s="40" t="s">
        <v>115</v>
      </c>
      <c r="B96" s="40">
        <v>2007</v>
      </c>
      <c r="C96" s="73" t="s">
        <v>114</v>
      </c>
      <c r="D96" s="42">
        <v>0</v>
      </c>
      <c r="E96" s="42">
        <v>0</v>
      </c>
      <c r="F96" s="43">
        <v>0</v>
      </c>
      <c r="G96" s="42">
        <v>0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42">
        <v>0</v>
      </c>
      <c r="Q96" s="42">
        <v>4659398.43</v>
      </c>
      <c r="R96" s="42">
        <v>0</v>
      </c>
      <c r="U96" s="17"/>
    </row>
    <row r="97" spans="1:21" x14ac:dyDescent="0.25">
      <c r="A97" s="40" t="s">
        <v>111</v>
      </c>
      <c r="B97" s="40">
        <v>2007</v>
      </c>
      <c r="C97" s="73" t="s">
        <v>110</v>
      </c>
      <c r="D97" s="42">
        <v>0</v>
      </c>
      <c r="E97" s="42">
        <v>0</v>
      </c>
      <c r="F97" s="43">
        <v>0</v>
      </c>
      <c r="G97" s="42">
        <v>0</v>
      </c>
      <c r="H97" s="42">
        <v>8122412.9800000004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U97" s="17"/>
    </row>
    <row r="98" spans="1:21" x14ac:dyDescent="0.25">
      <c r="A98" s="40" t="s">
        <v>109</v>
      </c>
      <c r="B98" s="40">
        <v>2007</v>
      </c>
      <c r="C98" s="73" t="s">
        <v>108</v>
      </c>
      <c r="D98" s="42">
        <v>0</v>
      </c>
      <c r="E98" s="42">
        <v>0</v>
      </c>
      <c r="F98" s="43">
        <v>0</v>
      </c>
      <c r="G98" s="42">
        <v>0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v>27160993.890000001</v>
      </c>
      <c r="R98" s="42">
        <v>0</v>
      </c>
      <c r="U98" s="17"/>
    </row>
    <row r="99" spans="1:21" x14ac:dyDescent="0.25">
      <c r="A99" s="40" t="s">
        <v>107</v>
      </c>
      <c r="B99" s="40">
        <v>2007</v>
      </c>
      <c r="C99" s="73" t="s">
        <v>106</v>
      </c>
      <c r="D99" s="42">
        <v>0</v>
      </c>
      <c r="E99" s="42">
        <v>0</v>
      </c>
      <c r="F99" s="43">
        <v>0</v>
      </c>
      <c r="G99" s="42">
        <v>0</v>
      </c>
      <c r="H99" s="42">
        <v>0</v>
      </c>
      <c r="I99" s="42">
        <v>0</v>
      </c>
      <c r="J99" s="42">
        <v>0</v>
      </c>
      <c r="K99" s="42">
        <v>710473.92</v>
      </c>
      <c r="L99" s="42">
        <v>473649.28</v>
      </c>
      <c r="M99" s="42">
        <v>236824.64</v>
      </c>
      <c r="N99" s="42">
        <v>236824.64</v>
      </c>
      <c r="O99" s="42">
        <v>0</v>
      </c>
      <c r="P99" s="42">
        <v>0</v>
      </c>
      <c r="Q99" s="42">
        <v>710473.92</v>
      </c>
      <c r="R99" s="42">
        <v>0</v>
      </c>
      <c r="U99" s="17"/>
    </row>
    <row r="100" spans="1:21" x14ac:dyDescent="0.25">
      <c r="A100" s="40" t="s">
        <v>469</v>
      </c>
      <c r="B100" s="40">
        <v>2007</v>
      </c>
      <c r="C100" s="73" t="s">
        <v>468</v>
      </c>
      <c r="D100" s="42">
        <v>0</v>
      </c>
      <c r="E100" s="42">
        <v>0</v>
      </c>
      <c r="F100" s="43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2006216.63</v>
      </c>
      <c r="N100" s="42">
        <v>0</v>
      </c>
      <c r="O100" s="42">
        <v>0</v>
      </c>
      <c r="P100" s="42">
        <v>0</v>
      </c>
      <c r="Q100" s="42">
        <v>0</v>
      </c>
      <c r="R100" s="42">
        <v>0</v>
      </c>
      <c r="U100" s="17"/>
    </row>
    <row r="101" spans="1:21" x14ac:dyDescent="0.25">
      <c r="A101" s="40" t="s">
        <v>99</v>
      </c>
      <c r="B101" s="40">
        <v>2007</v>
      </c>
      <c r="C101" s="73" t="s">
        <v>98</v>
      </c>
      <c r="D101" s="42">
        <v>0</v>
      </c>
      <c r="E101" s="42">
        <v>0</v>
      </c>
      <c r="F101" s="43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180104.07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U101" s="17"/>
    </row>
    <row r="102" spans="1:21" x14ac:dyDescent="0.25">
      <c r="A102" s="40" t="s">
        <v>97</v>
      </c>
      <c r="B102" s="40">
        <v>2007</v>
      </c>
      <c r="C102" s="73" t="s">
        <v>96</v>
      </c>
      <c r="D102" s="42">
        <v>0</v>
      </c>
      <c r="E102" s="42">
        <v>0</v>
      </c>
      <c r="F102" s="43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15638763.84</v>
      </c>
      <c r="P102" s="42">
        <v>0</v>
      </c>
      <c r="Q102" s="42">
        <v>0</v>
      </c>
      <c r="R102" s="42">
        <v>0</v>
      </c>
      <c r="U102" s="17"/>
    </row>
    <row r="103" spans="1:21" x14ac:dyDescent="0.25">
      <c r="A103" s="40" t="s">
        <v>95</v>
      </c>
      <c r="B103" s="40">
        <v>2007</v>
      </c>
      <c r="C103" s="73" t="s">
        <v>94</v>
      </c>
      <c r="D103" s="42">
        <v>0</v>
      </c>
      <c r="E103" s="42">
        <v>0</v>
      </c>
      <c r="F103" s="43">
        <v>0</v>
      </c>
      <c r="G103" s="42">
        <v>0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7502121.7800000003</v>
      </c>
      <c r="U103" s="17"/>
    </row>
    <row r="104" spans="1:21" x14ac:dyDescent="0.25">
      <c r="A104" s="40" t="s">
        <v>93</v>
      </c>
      <c r="B104" s="40">
        <v>2007</v>
      </c>
      <c r="C104" s="73" t="s">
        <v>92</v>
      </c>
      <c r="D104" s="42">
        <v>0</v>
      </c>
      <c r="E104" s="42">
        <v>0</v>
      </c>
      <c r="F104" s="43">
        <v>0</v>
      </c>
      <c r="G104" s="42">
        <v>0</v>
      </c>
      <c r="H104" s="42">
        <v>3715888.91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v>0</v>
      </c>
      <c r="R104" s="42">
        <v>0</v>
      </c>
      <c r="U104" s="17"/>
    </row>
    <row r="105" spans="1:21" x14ac:dyDescent="0.25">
      <c r="A105" s="40" t="s">
        <v>937</v>
      </c>
      <c r="B105" s="40">
        <v>2007</v>
      </c>
      <c r="C105" s="73" t="s">
        <v>938</v>
      </c>
      <c r="D105" s="42">
        <v>0</v>
      </c>
      <c r="E105" s="42">
        <v>0</v>
      </c>
      <c r="F105" s="43">
        <v>0</v>
      </c>
      <c r="G105" s="42">
        <v>0</v>
      </c>
      <c r="H105" s="42">
        <v>0</v>
      </c>
      <c r="I105" s="42">
        <v>0</v>
      </c>
      <c r="J105" s="42">
        <v>0</v>
      </c>
      <c r="K105" s="42">
        <v>0</v>
      </c>
      <c r="L105" s="42">
        <v>6701219</v>
      </c>
      <c r="M105" s="42">
        <v>0</v>
      </c>
      <c r="N105" s="42">
        <v>0</v>
      </c>
      <c r="O105" s="42">
        <v>0</v>
      </c>
      <c r="P105" s="42">
        <v>0</v>
      </c>
      <c r="Q105" s="42">
        <v>0</v>
      </c>
      <c r="R105" s="42">
        <v>0</v>
      </c>
      <c r="U105" s="17"/>
    </row>
    <row r="106" spans="1:21" x14ac:dyDescent="0.25">
      <c r="A106" s="40" t="s">
        <v>939</v>
      </c>
      <c r="B106" s="40">
        <v>2007</v>
      </c>
      <c r="C106" s="73" t="s">
        <v>940</v>
      </c>
      <c r="D106" s="42">
        <v>0</v>
      </c>
      <c r="E106" s="42">
        <v>0</v>
      </c>
      <c r="F106" s="43">
        <v>0</v>
      </c>
      <c r="G106" s="42">
        <v>0</v>
      </c>
      <c r="H106" s="42">
        <v>0</v>
      </c>
      <c r="I106" s="42">
        <v>0</v>
      </c>
      <c r="J106" s="42">
        <v>0</v>
      </c>
      <c r="K106" s="42">
        <v>348634.84</v>
      </c>
      <c r="L106" s="42">
        <v>0</v>
      </c>
      <c r="M106" s="42">
        <v>0</v>
      </c>
      <c r="N106" s="42">
        <v>0</v>
      </c>
      <c r="O106" s="42">
        <v>0</v>
      </c>
      <c r="P106" s="42">
        <v>0</v>
      </c>
      <c r="Q106" s="42">
        <v>0</v>
      </c>
      <c r="R106" s="42">
        <v>0</v>
      </c>
      <c r="U106" s="17"/>
    </row>
    <row r="107" spans="1:21" x14ac:dyDescent="0.25">
      <c r="A107" s="40" t="s">
        <v>91</v>
      </c>
      <c r="B107" s="40">
        <v>2007</v>
      </c>
      <c r="C107" s="73" t="s">
        <v>90</v>
      </c>
      <c r="D107" s="42">
        <v>0</v>
      </c>
      <c r="E107" s="42">
        <v>0</v>
      </c>
      <c r="F107" s="43">
        <v>0</v>
      </c>
      <c r="G107" s="42">
        <v>0</v>
      </c>
      <c r="H107" s="42">
        <v>0</v>
      </c>
      <c r="I107" s="42">
        <v>0</v>
      </c>
      <c r="J107" s="42">
        <v>0</v>
      </c>
      <c r="K107" s="42">
        <v>0</v>
      </c>
      <c r="L107" s="42">
        <v>1989260096.54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U107" s="17"/>
    </row>
    <row r="108" spans="1:21" x14ac:dyDescent="0.25">
      <c r="A108" s="40" t="s">
        <v>83</v>
      </c>
      <c r="B108" s="40">
        <v>2007</v>
      </c>
      <c r="C108" s="73" t="s">
        <v>82</v>
      </c>
      <c r="D108" s="42">
        <v>0</v>
      </c>
      <c r="E108" s="42">
        <v>0</v>
      </c>
      <c r="F108" s="43">
        <v>0</v>
      </c>
      <c r="G108" s="42">
        <v>37404855.68</v>
      </c>
      <c r="H108" s="42">
        <v>5414694.1699999999</v>
      </c>
      <c r="I108" s="42">
        <v>5303450.5599999996</v>
      </c>
      <c r="J108" s="42">
        <v>12394037.17</v>
      </c>
      <c r="K108" s="42">
        <v>23264164.870000001</v>
      </c>
      <c r="L108" s="42">
        <v>2549212.2599999998</v>
      </c>
      <c r="M108" s="42">
        <v>12342858.4</v>
      </c>
      <c r="N108" s="42">
        <v>8599157.3900000006</v>
      </c>
      <c r="O108" s="42">
        <v>8927727.2400000002</v>
      </c>
      <c r="P108" s="42">
        <v>13805371.039999999</v>
      </c>
      <c r="Q108" s="42">
        <v>35284774.18</v>
      </c>
      <c r="R108" s="42">
        <v>11830655.460000001</v>
      </c>
      <c r="U108" s="17"/>
    </row>
    <row r="109" spans="1:21" x14ac:dyDescent="0.25">
      <c r="A109" s="40" t="s">
        <v>80</v>
      </c>
      <c r="B109" s="40">
        <v>2007</v>
      </c>
      <c r="C109" s="73" t="s">
        <v>79</v>
      </c>
      <c r="D109" s="42">
        <v>0</v>
      </c>
      <c r="E109" s="42">
        <v>0</v>
      </c>
      <c r="F109" s="43">
        <v>0</v>
      </c>
      <c r="G109" s="42">
        <v>0</v>
      </c>
      <c r="H109" s="42">
        <v>0</v>
      </c>
      <c r="I109" s="42">
        <v>74783662.590000004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U109" s="17"/>
    </row>
    <row r="110" spans="1:21" x14ac:dyDescent="0.25">
      <c r="A110" s="40" t="s">
        <v>78</v>
      </c>
      <c r="B110" s="40">
        <v>2007</v>
      </c>
      <c r="C110" s="73" t="s">
        <v>77</v>
      </c>
      <c r="D110" s="42">
        <v>0</v>
      </c>
      <c r="E110" s="42">
        <v>0</v>
      </c>
      <c r="F110" s="43">
        <v>0</v>
      </c>
      <c r="G110" s="42">
        <v>0</v>
      </c>
      <c r="H110" s="42">
        <v>22381000</v>
      </c>
      <c r="I110" s="42">
        <v>0</v>
      </c>
      <c r="J110" s="42">
        <v>0</v>
      </c>
      <c r="K110" s="42">
        <v>0</v>
      </c>
      <c r="L110" s="42">
        <v>0</v>
      </c>
      <c r="M110" s="42">
        <v>4983980.41</v>
      </c>
      <c r="N110" s="42">
        <v>0</v>
      </c>
      <c r="O110" s="42">
        <v>0</v>
      </c>
      <c r="P110" s="42">
        <v>0</v>
      </c>
      <c r="Q110" s="42">
        <v>0</v>
      </c>
      <c r="R110" s="42">
        <v>0</v>
      </c>
      <c r="U110" s="17"/>
    </row>
    <row r="111" spans="1:21" x14ac:dyDescent="0.25">
      <c r="A111" s="40" t="s">
        <v>76</v>
      </c>
      <c r="B111" s="40">
        <v>2007</v>
      </c>
      <c r="C111" s="73" t="s">
        <v>75</v>
      </c>
      <c r="D111" s="42">
        <v>0</v>
      </c>
      <c r="E111" s="42">
        <v>0</v>
      </c>
      <c r="F111" s="43">
        <v>0</v>
      </c>
      <c r="G111" s="42">
        <v>0</v>
      </c>
      <c r="H111" s="42">
        <v>17000000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U111" s="17"/>
    </row>
    <row r="112" spans="1:21" x14ac:dyDescent="0.25">
      <c r="A112" s="40" t="s">
        <v>74</v>
      </c>
      <c r="B112" s="40">
        <v>2007</v>
      </c>
      <c r="C112" s="73" t="s">
        <v>73</v>
      </c>
      <c r="D112" s="42">
        <v>0</v>
      </c>
      <c r="E112" s="42">
        <v>0</v>
      </c>
      <c r="F112" s="43">
        <v>0</v>
      </c>
      <c r="G112" s="42">
        <v>0</v>
      </c>
      <c r="H112" s="42">
        <v>0</v>
      </c>
      <c r="I112" s="42">
        <v>0</v>
      </c>
      <c r="J112" s="42">
        <v>0</v>
      </c>
      <c r="K112" s="42">
        <v>21000000</v>
      </c>
      <c r="L112" s="42">
        <v>0</v>
      </c>
      <c r="M112" s="42">
        <v>0</v>
      </c>
      <c r="N112" s="42">
        <v>0</v>
      </c>
      <c r="O112" s="42">
        <v>0</v>
      </c>
      <c r="P112" s="42">
        <v>0</v>
      </c>
      <c r="Q112" s="42">
        <v>0</v>
      </c>
      <c r="R112" s="42">
        <v>0</v>
      </c>
      <c r="U112" s="17"/>
    </row>
    <row r="113" spans="1:21" x14ac:dyDescent="0.25">
      <c r="A113" s="40" t="s">
        <v>72</v>
      </c>
      <c r="B113" s="40">
        <v>2007</v>
      </c>
      <c r="C113" s="73" t="s">
        <v>71</v>
      </c>
      <c r="D113" s="42">
        <v>0</v>
      </c>
      <c r="E113" s="42">
        <v>0</v>
      </c>
      <c r="F113" s="43">
        <v>0</v>
      </c>
      <c r="G113" s="42">
        <v>0</v>
      </c>
      <c r="H113" s="42">
        <v>2321333.86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U113" s="17"/>
    </row>
    <row r="114" spans="1:21" x14ac:dyDescent="0.25">
      <c r="A114" s="40" t="s">
        <v>941</v>
      </c>
      <c r="B114" s="40">
        <v>2007</v>
      </c>
      <c r="C114" s="73" t="s">
        <v>942</v>
      </c>
      <c r="D114" s="42">
        <v>0</v>
      </c>
      <c r="E114" s="42">
        <v>0</v>
      </c>
      <c r="F114" s="43">
        <v>0</v>
      </c>
      <c r="G114" s="42">
        <v>5744142.2800000003</v>
      </c>
      <c r="H114" s="42">
        <v>8302895.5599999996</v>
      </c>
      <c r="I114" s="42">
        <v>8302895.5599999996</v>
      </c>
      <c r="J114" s="42">
        <v>8302895.5599999996</v>
      </c>
      <c r="K114" s="42">
        <v>6703674.7699999996</v>
      </c>
      <c r="L114" s="42">
        <v>6703674.7699999996</v>
      </c>
      <c r="M114" s="42">
        <v>6703674.7699999996</v>
      </c>
      <c r="N114" s="42">
        <v>6703674.7699999996</v>
      </c>
      <c r="O114" s="42">
        <v>6703674.7699999996</v>
      </c>
      <c r="P114" s="42">
        <v>6703674.7699999996</v>
      </c>
      <c r="Q114" s="42">
        <v>6703674.7699999996</v>
      </c>
      <c r="R114" s="42">
        <v>6703674.7699999996</v>
      </c>
      <c r="U114" s="17"/>
    </row>
    <row r="115" spans="1:21" x14ac:dyDescent="0.25">
      <c r="A115" s="40" t="s">
        <v>943</v>
      </c>
      <c r="B115" s="40">
        <v>2007</v>
      </c>
      <c r="C115" s="73" t="s">
        <v>942</v>
      </c>
      <c r="D115" s="42">
        <v>0</v>
      </c>
      <c r="E115" s="42">
        <v>0</v>
      </c>
      <c r="F115" s="43">
        <v>0</v>
      </c>
      <c r="G115" s="42">
        <v>0</v>
      </c>
      <c r="H115" s="42">
        <v>0</v>
      </c>
      <c r="I115" s="42">
        <v>123328451.47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42">
        <v>0</v>
      </c>
      <c r="Q115" s="42">
        <v>0</v>
      </c>
      <c r="R115" s="42">
        <v>0</v>
      </c>
      <c r="U115" s="17"/>
    </row>
    <row r="116" spans="1:21" x14ac:dyDescent="0.25">
      <c r="A116" s="40" t="s">
        <v>944</v>
      </c>
      <c r="B116" s="40">
        <v>2007</v>
      </c>
      <c r="C116" s="73" t="s">
        <v>942</v>
      </c>
      <c r="D116" s="42">
        <v>0</v>
      </c>
      <c r="E116" s="42">
        <v>0</v>
      </c>
      <c r="F116" s="43">
        <v>0</v>
      </c>
      <c r="G116" s="42">
        <v>0</v>
      </c>
      <c r="H116" s="42">
        <v>0</v>
      </c>
      <c r="I116" s="42">
        <v>0</v>
      </c>
      <c r="J116" s="42">
        <v>0</v>
      </c>
      <c r="K116" s="42">
        <v>86397890.319999993</v>
      </c>
      <c r="L116" s="42">
        <v>35151849.420000002</v>
      </c>
      <c r="M116" s="42">
        <v>0</v>
      </c>
      <c r="N116" s="42">
        <v>0</v>
      </c>
      <c r="O116" s="42">
        <v>0</v>
      </c>
      <c r="P116" s="42">
        <v>0</v>
      </c>
      <c r="Q116" s="42">
        <v>0</v>
      </c>
      <c r="R116" s="42">
        <v>0</v>
      </c>
      <c r="U116" s="17"/>
    </row>
    <row r="117" spans="1:21" x14ac:dyDescent="0.25">
      <c r="A117" s="40" t="s">
        <v>945</v>
      </c>
      <c r="B117" s="40">
        <v>2007</v>
      </c>
      <c r="C117" s="73" t="s">
        <v>942</v>
      </c>
      <c r="D117" s="42">
        <v>0</v>
      </c>
      <c r="E117" s="42">
        <v>0</v>
      </c>
      <c r="F117" s="43">
        <v>0</v>
      </c>
      <c r="G117" s="42">
        <v>0</v>
      </c>
      <c r="H117" s="42">
        <v>8932453.5600000005</v>
      </c>
      <c r="I117" s="42">
        <v>0</v>
      </c>
      <c r="J117" s="42">
        <v>8367146.7199999997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2250000</v>
      </c>
      <c r="Q117" s="42">
        <v>0</v>
      </c>
      <c r="R117" s="42">
        <v>-2250000</v>
      </c>
      <c r="U117" s="17"/>
    </row>
    <row r="118" spans="1:21" x14ac:dyDescent="0.25">
      <c r="A118" s="40" t="s">
        <v>946</v>
      </c>
      <c r="B118" s="40">
        <v>2007</v>
      </c>
      <c r="C118" s="73" t="s">
        <v>942</v>
      </c>
      <c r="D118" s="42">
        <v>0</v>
      </c>
      <c r="E118" s="42">
        <v>0</v>
      </c>
      <c r="F118" s="43">
        <v>0</v>
      </c>
      <c r="G118" s="42">
        <v>0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v>0</v>
      </c>
      <c r="R118" s="42">
        <v>0</v>
      </c>
      <c r="U118" s="17"/>
    </row>
    <row r="119" spans="1:21" x14ac:dyDescent="0.25">
      <c r="A119" s="40" t="s">
        <v>947</v>
      </c>
      <c r="B119" s="40">
        <v>2007</v>
      </c>
      <c r="C119" s="73" t="s">
        <v>942</v>
      </c>
      <c r="D119" s="42">
        <v>0</v>
      </c>
      <c r="E119" s="42">
        <v>0</v>
      </c>
      <c r="F119" s="43">
        <v>0</v>
      </c>
      <c r="G119" s="42">
        <v>0</v>
      </c>
      <c r="H119" s="42">
        <v>87000000</v>
      </c>
      <c r="I119" s="42">
        <v>0</v>
      </c>
      <c r="J119" s="42">
        <v>0</v>
      </c>
      <c r="K119" s="42">
        <v>15599971.75</v>
      </c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U119" s="17"/>
    </row>
    <row r="120" spans="1:21" x14ac:dyDescent="0.25">
      <c r="A120" s="40" t="s">
        <v>505</v>
      </c>
      <c r="B120" s="40">
        <v>2007</v>
      </c>
      <c r="C120" s="73" t="s">
        <v>504</v>
      </c>
      <c r="D120" s="42">
        <v>0</v>
      </c>
      <c r="E120" s="42">
        <v>0</v>
      </c>
      <c r="F120" s="43">
        <v>0</v>
      </c>
      <c r="G120" s="42">
        <v>3000</v>
      </c>
      <c r="H120" s="42">
        <v>29549431.620000001</v>
      </c>
      <c r="I120" s="42">
        <v>28999015.870000001</v>
      </c>
      <c r="J120" s="42">
        <v>31159079.550000001</v>
      </c>
      <c r="K120" s="42">
        <v>22814220.16</v>
      </c>
      <c r="L120" s="42">
        <v>35687433.899999999</v>
      </c>
      <c r="M120" s="42">
        <v>31933963.809999999</v>
      </c>
      <c r="N120" s="42">
        <v>33912333.229999997</v>
      </c>
      <c r="O120" s="42">
        <v>37803857.340000004</v>
      </c>
      <c r="P120" s="42">
        <v>30707948.879999999</v>
      </c>
      <c r="Q120" s="42">
        <v>40936510</v>
      </c>
      <c r="R120" s="42">
        <v>38870756.729999997</v>
      </c>
      <c r="U120" s="17"/>
    </row>
    <row r="121" spans="1:21" x14ac:dyDescent="0.25">
      <c r="A121" s="40" t="s">
        <v>948</v>
      </c>
      <c r="B121" s="40">
        <v>2007</v>
      </c>
      <c r="C121" s="73" t="s">
        <v>949</v>
      </c>
      <c r="D121" s="42">
        <v>0</v>
      </c>
      <c r="E121" s="42">
        <v>0</v>
      </c>
      <c r="F121" s="43">
        <v>0</v>
      </c>
      <c r="G121" s="42">
        <v>0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21686610.789999999</v>
      </c>
      <c r="P121" s="42">
        <v>0</v>
      </c>
      <c r="Q121" s="42">
        <v>0</v>
      </c>
      <c r="R121" s="42">
        <v>-18028688.920000002</v>
      </c>
      <c r="U121" s="17"/>
    </row>
    <row r="122" spans="1:21" x14ac:dyDescent="0.25">
      <c r="A122" s="40" t="s">
        <v>950</v>
      </c>
      <c r="B122" s="40">
        <v>2007</v>
      </c>
      <c r="C122" s="73" t="s">
        <v>951</v>
      </c>
      <c r="D122" s="42">
        <v>0</v>
      </c>
      <c r="E122" s="42">
        <v>0</v>
      </c>
      <c r="F122" s="43">
        <v>0</v>
      </c>
      <c r="G122" s="42">
        <v>0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1053499.25</v>
      </c>
      <c r="U122" s="17"/>
    </row>
    <row r="123" spans="1:21" x14ac:dyDescent="0.25">
      <c r="A123" s="40" t="s">
        <v>461</v>
      </c>
      <c r="B123" s="40">
        <v>2007</v>
      </c>
      <c r="C123" s="73" t="s">
        <v>460</v>
      </c>
      <c r="D123" s="42">
        <v>0</v>
      </c>
      <c r="E123" s="42">
        <v>0</v>
      </c>
      <c r="F123" s="43">
        <v>0</v>
      </c>
      <c r="G123" s="42">
        <v>0</v>
      </c>
      <c r="H123" s="42">
        <v>0</v>
      </c>
      <c r="I123" s="42">
        <v>40000000</v>
      </c>
      <c r="J123" s="42">
        <v>15000000</v>
      </c>
      <c r="K123" s="42">
        <v>0</v>
      </c>
      <c r="L123" s="42">
        <v>40000000</v>
      </c>
      <c r="M123" s="42">
        <v>59232038</v>
      </c>
      <c r="N123" s="42">
        <v>0</v>
      </c>
      <c r="O123" s="42">
        <v>0</v>
      </c>
      <c r="P123" s="42">
        <v>0</v>
      </c>
      <c r="Q123" s="42">
        <v>50000000</v>
      </c>
      <c r="R123" s="42">
        <v>40956496.82</v>
      </c>
      <c r="U123" s="17"/>
    </row>
    <row r="124" spans="1:21" x14ac:dyDescent="0.25">
      <c r="A124" s="40" t="s">
        <v>952</v>
      </c>
      <c r="B124" s="40">
        <v>2007</v>
      </c>
      <c r="C124" s="73" t="s">
        <v>953</v>
      </c>
      <c r="D124" s="42">
        <v>0</v>
      </c>
      <c r="E124" s="42">
        <v>0</v>
      </c>
      <c r="F124" s="43">
        <v>0</v>
      </c>
      <c r="G124" s="42">
        <v>0</v>
      </c>
      <c r="H124" s="42">
        <v>31729699794.720001</v>
      </c>
      <c r="I124" s="42">
        <v>134486882711.06</v>
      </c>
      <c r="J124" s="42">
        <v>21578420387.02</v>
      </c>
      <c r="K124" s="42">
        <v>10740843064.84</v>
      </c>
      <c r="L124" s="42">
        <v>515825030.44999999</v>
      </c>
      <c r="M124" s="42">
        <v>48224095144.720001</v>
      </c>
      <c r="N124" s="42">
        <v>64328458795.230003</v>
      </c>
      <c r="O124" s="42">
        <v>98707209200.580002</v>
      </c>
      <c r="P124" s="42">
        <v>62395251304.169998</v>
      </c>
      <c r="Q124" s="42">
        <v>83144156818.25</v>
      </c>
      <c r="R124" s="42">
        <v>50710719779.089996</v>
      </c>
      <c r="U124" s="17"/>
    </row>
    <row r="125" spans="1:21" x14ac:dyDescent="0.25">
      <c r="A125" s="40" t="s">
        <v>457</v>
      </c>
      <c r="B125" s="40">
        <v>2007</v>
      </c>
      <c r="C125" s="73" t="s">
        <v>456</v>
      </c>
      <c r="D125" s="42">
        <v>0</v>
      </c>
      <c r="E125" s="42">
        <v>0</v>
      </c>
      <c r="F125" s="43">
        <v>0</v>
      </c>
      <c r="G125" s="42">
        <v>3152267.2</v>
      </c>
      <c r="H125" s="42">
        <v>0</v>
      </c>
      <c r="I125" s="42">
        <v>512138838.98000002</v>
      </c>
      <c r="J125" s="42">
        <v>130186909.75</v>
      </c>
      <c r="K125" s="42">
        <v>527733759.38</v>
      </c>
      <c r="L125" s="42">
        <v>209067558.27000001</v>
      </c>
      <c r="M125" s="42">
        <v>164544436.47</v>
      </c>
      <c r="N125" s="42">
        <v>0</v>
      </c>
      <c r="O125" s="42">
        <v>860153654.97000003</v>
      </c>
      <c r="P125" s="42">
        <v>367392047.06</v>
      </c>
      <c r="Q125" s="42">
        <v>333330452.85000002</v>
      </c>
      <c r="R125" s="42">
        <v>1469901819.28</v>
      </c>
      <c r="U125" s="17"/>
    </row>
    <row r="126" spans="1:21" x14ac:dyDescent="0.25">
      <c r="A126" s="40" t="s">
        <v>419</v>
      </c>
      <c r="B126" s="40">
        <v>2007</v>
      </c>
      <c r="C126" s="73" t="s">
        <v>418</v>
      </c>
      <c r="D126" s="42">
        <v>0</v>
      </c>
      <c r="E126" s="42">
        <v>0</v>
      </c>
      <c r="F126" s="43">
        <v>0</v>
      </c>
      <c r="G126" s="42">
        <v>1038405192</v>
      </c>
      <c r="H126" s="42">
        <v>0</v>
      </c>
      <c r="I126" s="42">
        <v>0</v>
      </c>
      <c r="J126" s="42">
        <v>87003282.530000001</v>
      </c>
      <c r="K126" s="42">
        <v>187034400</v>
      </c>
      <c r="L126" s="42">
        <v>492626756.62</v>
      </c>
      <c r="M126" s="42">
        <v>619005418.61000001</v>
      </c>
      <c r="N126" s="42">
        <v>0</v>
      </c>
      <c r="O126" s="42">
        <v>91152970.390000001</v>
      </c>
      <c r="P126" s="42">
        <v>412215508.69</v>
      </c>
      <c r="Q126" s="42">
        <v>-11687175</v>
      </c>
      <c r="R126" s="42">
        <v>539156803.45000005</v>
      </c>
      <c r="U126" s="17"/>
    </row>
    <row r="127" spans="1:21" x14ac:dyDescent="0.25">
      <c r="A127" s="40" t="s">
        <v>455</v>
      </c>
      <c r="B127" s="40">
        <v>2007</v>
      </c>
      <c r="C127" s="73" t="s">
        <v>454</v>
      </c>
      <c r="D127" s="42">
        <v>0</v>
      </c>
      <c r="E127" s="42">
        <v>0</v>
      </c>
      <c r="F127" s="43">
        <v>0</v>
      </c>
      <c r="G127" s="42">
        <v>0</v>
      </c>
      <c r="H127" s="42">
        <v>0</v>
      </c>
      <c r="I127" s="42">
        <v>390056164.81</v>
      </c>
      <c r="J127" s="42">
        <v>166537223.06</v>
      </c>
      <c r="K127" s="42">
        <v>428288965.58999997</v>
      </c>
      <c r="L127" s="42">
        <v>319977044.39999998</v>
      </c>
      <c r="M127" s="42">
        <v>0</v>
      </c>
      <c r="N127" s="42">
        <v>0</v>
      </c>
      <c r="O127" s="42">
        <v>480088078.74000001</v>
      </c>
      <c r="P127" s="42">
        <v>0</v>
      </c>
      <c r="Q127" s="42">
        <v>91537150.609999999</v>
      </c>
      <c r="R127" s="42">
        <v>638372769.23000002</v>
      </c>
      <c r="U127" s="17"/>
    </row>
    <row r="128" spans="1:21" x14ac:dyDescent="0.25">
      <c r="A128" s="40" t="s">
        <v>480</v>
      </c>
      <c r="B128" s="40">
        <v>2007</v>
      </c>
      <c r="C128" s="73" t="s">
        <v>479</v>
      </c>
      <c r="D128" s="42">
        <v>0</v>
      </c>
      <c r="E128" s="42">
        <v>0</v>
      </c>
      <c r="F128" s="43">
        <v>0</v>
      </c>
      <c r="G128" s="42">
        <v>17190904.800000001</v>
      </c>
      <c r="H128" s="42">
        <v>0</v>
      </c>
      <c r="I128" s="42">
        <v>19519635.920000002</v>
      </c>
      <c r="J128" s="42">
        <v>31486094.59</v>
      </c>
      <c r="K128" s="42">
        <v>38533954.899999999</v>
      </c>
      <c r="L128" s="42">
        <v>159116650.19</v>
      </c>
      <c r="M128" s="42">
        <v>65871761.859999999</v>
      </c>
      <c r="N128" s="42">
        <v>0</v>
      </c>
      <c r="O128" s="42">
        <v>93350900.379999995</v>
      </c>
      <c r="P128" s="42">
        <v>91577839.049999997</v>
      </c>
      <c r="Q128" s="42">
        <v>25732097.219999999</v>
      </c>
      <c r="R128" s="42">
        <v>175695274.06</v>
      </c>
      <c r="U128" s="17"/>
    </row>
    <row r="129" spans="1:21" x14ac:dyDescent="0.25">
      <c r="A129" s="40" t="s">
        <v>478</v>
      </c>
      <c r="B129" s="40">
        <v>2007</v>
      </c>
      <c r="C129" s="73" t="s">
        <v>477</v>
      </c>
      <c r="D129" s="42">
        <v>0</v>
      </c>
      <c r="E129" s="42">
        <v>0</v>
      </c>
      <c r="F129" s="43">
        <v>0</v>
      </c>
      <c r="G129" s="42">
        <v>0</v>
      </c>
      <c r="H129" s="42">
        <v>0</v>
      </c>
      <c r="I129" s="42">
        <v>25981500</v>
      </c>
      <c r="J129" s="42">
        <v>29814193.940000001</v>
      </c>
      <c r="K129" s="42">
        <v>0</v>
      </c>
      <c r="L129" s="42">
        <v>0</v>
      </c>
      <c r="M129" s="42">
        <v>0</v>
      </c>
      <c r="N129" s="42">
        <v>0</v>
      </c>
      <c r="O129" s="42">
        <v>5048662.03</v>
      </c>
      <c r="P129" s="42">
        <v>91133000</v>
      </c>
      <c r="Q129" s="42">
        <v>90994750</v>
      </c>
      <c r="R129" s="42">
        <v>124490000</v>
      </c>
      <c r="U129" s="17"/>
    </row>
    <row r="130" spans="1:21" x14ac:dyDescent="0.25">
      <c r="A130" s="40" t="s">
        <v>476</v>
      </c>
      <c r="B130" s="40">
        <v>2007</v>
      </c>
      <c r="C130" s="73" t="s">
        <v>475</v>
      </c>
      <c r="D130" s="42">
        <v>0</v>
      </c>
      <c r="E130" s="42">
        <v>0</v>
      </c>
      <c r="F130" s="43">
        <v>0</v>
      </c>
      <c r="G130" s="42">
        <v>0</v>
      </c>
      <c r="H130" s="42">
        <v>0</v>
      </c>
      <c r="I130" s="42">
        <v>0</v>
      </c>
      <c r="J130" s="42">
        <v>0</v>
      </c>
      <c r="K130" s="42">
        <v>165106914.55000001</v>
      </c>
      <c r="L130" s="42">
        <v>0</v>
      </c>
      <c r="M130" s="42">
        <v>0</v>
      </c>
      <c r="N130" s="42">
        <v>0</v>
      </c>
      <c r="O130" s="42">
        <v>0</v>
      </c>
      <c r="P130" s="42">
        <v>0</v>
      </c>
      <c r="Q130" s="42">
        <v>275229350.77999997</v>
      </c>
      <c r="R130" s="42">
        <v>156742376.22</v>
      </c>
      <c r="U130" s="17"/>
    </row>
    <row r="131" spans="1:21" x14ac:dyDescent="0.25">
      <c r="A131" s="40" t="s">
        <v>474</v>
      </c>
      <c r="B131" s="40">
        <v>2007</v>
      </c>
      <c r="C131" s="73" t="s">
        <v>473</v>
      </c>
      <c r="D131" s="42">
        <v>0</v>
      </c>
      <c r="E131" s="42">
        <v>0</v>
      </c>
      <c r="F131" s="43">
        <v>0</v>
      </c>
      <c r="G131" s="42">
        <v>0</v>
      </c>
      <c r="H131" s="42">
        <v>0</v>
      </c>
      <c r="I131" s="42">
        <v>0</v>
      </c>
      <c r="J131" s="42">
        <v>0</v>
      </c>
      <c r="K131" s="42">
        <v>0</v>
      </c>
      <c r="L131" s="42">
        <v>0</v>
      </c>
      <c r="M131" s="42">
        <v>0</v>
      </c>
      <c r="N131" s="42">
        <v>0</v>
      </c>
      <c r="O131" s="42">
        <v>0</v>
      </c>
      <c r="P131" s="42">
        <v>0</v>
      </c>
      <c r="Q131" s="42">
        <v>0</v>
      </c>
      <c r="R131" s="42">
        <v>8500000</v>
      </c>
      <c r="U131" s="17"/>
    </row>
    <row r="132" spans="1:21" x14ac:dyDescent="0.25">
      <c r="A132" s="40" t="s">
        <v>453</v>
      </c>
      <c r="B132" s="40">
        <v>2007</v>
      </c>
      <c r="C132" s="73" t="s">
        <v>452</v>
      </c>
      <c r="D132" s="42">
        <v>0</v>
      </c>
      <c r="E132" s="42">
        <v>0</v>
      </c>
      <c r="F132" s="43">
        <v>0</v>
      </c>
      <c r="G132" s="42">
        <v>95621742.620000005</v>
      </c>
      <c r="H132" s="42">
        <v>0</v>
      </c>
      <c r="I132" s="42">
        <v>128890339.34</v>
      </c>
      <c r="J132" s="42">
        <v>38332872.039999999</v>
      </c>
      <c r="K132" s="42">
        <v>286963829.04000002</v>
      </c>
      <c r="L132" s="42">
        <v>99466359.159999996</v>
      </c>
      <c r="M132" s="42">
        <v>407912267.22000003</v>
      </c>
      <c r="N132" s="42">
        <v>0</v>
      </c>
      <c r="O132" s="42">
        <v>99108021.370000005</v>
      </c>
      <c r="P132" s="42">
        <v>95108105.329999998</v>
      </c>
      <c r="Q132" s="42">
        <v>130861301.59999999</v>
      </c>
      <c r="R132" s="42">
        <v>544038562.88</v>
      </c>
      <c r="U132" s="17"/>
    </row>
    <row r="133" spans="1:21" x14ac:dyDescent="0.25">
      <c r="A133" s="40" t="s">
        <v>550</v>
      </c>
      <c r="B133" s="40">
        <v>2007</v>
      </c>
      <c r="C133" s="73" t="s">
        <v>549</v>
      </c>
      <c r="D133" s="42">
        <v>0</v>
      </c>
      <c r="E133" s="42">
        <v>0</v>
      </c>
      <c r="F133" s="43">
        <v>0</v>
      </c>
      <c r="G133" s="42">
        <v>0</v>
      </c>
      <c r="H133" s="42">
        <v>0</v>
      </c>
      <c r="I133" s="42">
        <v>0</v>
      </c>
      <c r="J133" s="42">
        <v>0</v>
      </c>
      <c r="K133" s="42">
        <v>1781792.88</v>
      </c>
      <c r="L133" s="42">
        <v>436706.26</v>
      </c>
      <c r="M133" s="42">
        <v>0</v>
      </c>
      <c r="N133" s="42">
        <v>0</v>
      </c>
      <c r="O133" s="42">
        <v>512930.72</v>
      </c>
      <c r="P133" s="42">
        <v>0</v>
      </c>
      <c r="Q133" s="42">
        <v>1661651.3</v>
      </c>
      <c r="R133" s="42">
        <v>10820155.92</v>
      </c>
      <c r="U133" s="17"/>
    </row>
    <row r="134" spans="1:21" x14ac:dyDescent="0.25">
      <c r="A134" s="40" t="s">
        <v>548</v>
      </c>
      <c r="B134" s="40">
        <v>2007</v>
      </c>
      <c r="C134" s="73" t="s">
        <v>547</v>
      </c>
      <c r="D134" s="42"/>
      <c r="E134" s="42"/>
      <c r="F134" s="43"/>
      <c r="G134" s="42">
        <v>0</v>
      </c>
      <c r="H134" s="42">
        <v>0</v>
      </c>
      <c r="I134" s="42">
        <v>0</v>
      </c>
      <c r="J134" s="42">
        <v>0</v>
      </c>
      <c r="K134" s="42">
        <v>752196486.84000003</v>
      </c>
      <c r="L134" s="42">
        <v>584169625.82000005</v>
      </c>
      <c r="M134" s="42">
        <v>0</v>
      </c>
      <c r="N134" s="42">
        <v>0</v>
      </c>
      <c r="O134" s="42">
        <v>1163942987.3499999</v>
      </c>
      <c r="P134" s="42">
        <v>0</v>
      </c>
      <c r="Q134" s="42">
        <v>1056676157.2</v>
      </c>
      <c r="R134" s="42">
        <v>1723314698.3599999</v>
      </c>
      <c r="U134" s="17"/>
    </row>
    <row r="135" spans="1:21" x14ac:dyDescent="0.25">
      <c r="A135" s="40" t="s">
        <v>360</v>
      </c>
      <c r="B135" s="40">
        <v>2008</v>
      </c>
      <c r="C135" s="73" t="s">
        <v>359</v>
      </c>
      <c r="D135" s="42">
        <v>0</v>
      </c>
      <c r="E135" s="42">
        <v>0</v>
      </c>
      <c r="F135" s="42">
        <v>0</v>
      </c>
      <c r="G135" s="42">
        <v>2639219142.02</v>
      </c>
      <c r="H135" s="42">
        <v>1509236860.4200001</v>
      </c>
      <c r="I135" s="42">
        <v>11679326020.379999</v>
      </c>
      <c r="J135" s="42">
        <v>2264807598.0700002</v>
      </c>
      <c r="K135" s="42">
        <v>3450938207.3800001</v>
      </c>
      <c r="L135" s="42">
        <v>3374709298.3400002</v>
      </c>
      <c r="M135" s="42">
        <v>4647342810.6700001</v>
      </c>
      <c r="N135" s="42">
        <v>2611557158.5799999</v>
      </c>
      <c r="O135" s="42">
        <v>1773828865.05</v>
      </c>
      <c r="P135" s="42">
        <v>5238863363.4399996</v>
      </c>
      <c r="Q135" s="42">
        <v>3127173799.96</v>
      </c>
      <c r="R135" s="42">
        <v>4442899417.7600002</v>
      </c>
    </row>
    <row r="136" spans="1:21" x14ac:dyDescent="0.25">
      <c r="A136" s="40" t="s">
        <v>358</v>
      </c>
      <c r="B136" s="40">
        <v>2008</v>
      </c>
      <c r="C136" s="73" t="s">
        <v>357</v>
      </c>
      <c r="D136" s="42">
        <v>0</v>
      </c>
      <c r="E136" s="42">
        <v>0</v>
      </c>
      <c r="F136" s="42">
        <v>0</v>
      </c>
      <c r="G136" s="42">
        <v>0</v>
      </c>
      <c r="H136" s="42">
        <v>0</v>
      </c>
      <c r="I136" s="42">
        <v>7420737982.5200005</v>
      </c>
      <c r="J136" s="42">
        <v>2454167508.96</v>
      </c>
      <c r="K136" s="42">
        <v>2877041282.4299998</v>
      </c>
      <c r="L136" s="42">
        <v>3030857572.3699999</v>
      </c>
      <c r="M136" s="42">
        <v>4599094879.4499998</v>
      </c>
      <c r="N136" s="42">
        <v>791127013.60000002</v>
      </c>
      <c r="O136" s="42">
        <v>0</v>
      </c>
      <c r="P136" s="42">
        <v>5828414004.9899998</v>
      </c>
      <c r="Q136" s="42">
        <v>1447068797.8499999</v>
      </c>
      <c r="R136" s="42">
        <v>2576928850.75</v>
      </c>
    </row>
    <row r="137" spans="1:21" x14ac:dyDescent="0.25">
      <c r="A137" s="40" t="s">
        <v>356</v>
      </c>
      <c r="B137" s="40">
        <v>2008</v>
      </c>
      <c r="C137" s="73" t="s">
        <v>355</v>
      </c>
      <c r="D137" s="42">
        <v>0</v>
      </c>
      <c r="E137" s="42">
        <v>0</v>
      </c>
      <c r="F137" s="42">
        <v>0</v>
      </c>
      <c r="G137" s="42">
        <v>0</v>
      </c>
      <c r="H137" s="42">
        <v>0</v>
      </c>
      <c r="I137" s="42">
        <v>1453183707.8</v>
      </c>
      <c r="J137" s="42">
        <v>706888564.67999995</v>
      </c>
      <c r="K137" s="42">
        <v>2413207626.4499998</v>
      </c>
      <c r="L137" s="42">
        <v>233645288.25</v>
      </c>
      <c r="M137" s="42">
        <v>1275829241.3199999</v>
      </c>
      <c r="N137" s="42">
        <v>957462474.75999999</v>
      </c>
      <c r="O137" s="42">
        <v>0</v>
      </c>
      <c r="P137" s="42">
        <v>2210836018.2199998</v>
      </c>
      <c r="Q137" s="42">
        <v>10598333013.68</v>
      </c>
      <c r="R137" s="42">
        <v>6901382157.4899998</v>
      </c>
    </row>
    <row r="138" spans="1:21" x14ac:dyDescent="0.25">
      <c r="A138" s="40" t="s">
        <v>835</v>
      </c>
      <c r="B138" s="40">
        <v>2008</v>
      </c>
      <c r="C138" s="73" t="s">
        <v>836</v>
      </c>
      <c r="D138" s="42">
        <v>0</v>
      </c>
      <c r="E138" s="42">
        <v>0</v>
      </c>
      <c r="F138" s="42">
        <v>0</v>
      </c>
      <c r="G138" s="42">
        <v>25065666</v>
      </c>
      <c r="H138" s="42">
        <v>210345083</v>
      </c>
      <c r="I138" s="42">
        <v>2653785037.48</v>
      </c>
      <c r="J138" s="42">
        <v>382665116.13999999</v>
      </c>
      <c r="K138" s="42">
        <v>720446916.50999999</v>
      </c>
      <c r="L138" s="42">
        <v>3494462848.4299998</v>
      </c>
      <c r="M138" s="42">
        <v>1310256743.05</v>
      </c>
      <c r="N138" s="42">
        <v>63982247036.949997</v>
      </c>
      <c r="O138" s="42">
        <v>216504211.94</v>
      </c>
      <c r="P138" s="42">
        <v>4271303170.1500001</v>
      </c>
      <c r="Q138" s="42">
        <v>686625973.74000001</v>
      </c>
      <c r="R138" s="42">
        <v>5301685546.9799995</v>
      </c>
    </row>
    <row r="139" spans="1:21" x14ac:dyDescent="0.25">
      <c r="A139" s="40" t="s">
        <v>351</v>
      </c>
      <c r="B139" s="40">
        <v>2008</v>
      </c>
      <c r="C139" s="73" t="s">
        <v>350</v>
      </c>
      <c r="D139" s="42">
        <v>0</v>
      </c>
      <c r="E139" s="42">
        <v>0</v>
      </c>
      <c r="F139" s="42">
        <v>0</v>
      </c>
      <c r="G139" s="42">
        <v>0</v>
      </c>
      <c r="H139" s="42">
        <v>0</v>
      </c>
      <c r="I139" s="42">
        <v>0</v>
      </c>
      <c r="J139" s="42">
        <v>0</v>
      </c>
      <c r="K139" s="42">
        <v>0</v>
      </c>
      <c r="L139" s="42">
        <v>0</v>
      </c>
      <c r="M139" s="42">
        <v>0</v>
      </c>
      <c r="N139" s="42">
        <v>0</v>
      </c>
      <c r="O139" s="42">
        <v>0</v>
      </c>
      <c r="P139" s="42">
        <v>0</v>
      </c>
      <c r="Q139" s="42">
        <v>0</v>
      </c>
      <c r="R139" s="42">
        <v>0</v>
      </c>
    </row>
    <row r="140" spans="1:21" x14ac:dyDescent="0.25">
      <c r="A140" s="40" t="s">
        <v>837</v>
      </c>
      <c r="B140" s="40">
        <v>2008</v>
      </c>
      <c r="C140" s="73" t="s">
        <v>838</v>
      </c>
      <c r="D140" s="42">
        <v>0</v>
      </c>
      <c r="E140" s="42">
        <v>0</v>
      </c>
      <c r="F140" s="42">
        <v>0</v>
      </c>
      <c r="G140" s="42">
        <v>33890348029.200001</v>
      </c>
      <c r="H140" s="42">
        <v>25257466219</v>
      </c>
      <c r="I140" s="42">
        <v>84135380001.580002</v>
      </c>
      <c r="J140" s="42">
        <v>51861617109.550003</v>
      </c>
      <c r="K140" s="42">
        <v>889611172.59000003</v>
      </c>
      <c r="L140" s="42">
        <v>24681237865.200001</v>
      </c>
      <c r="M140" s="42">
        <v>73275080369.059998</v>
      </c>
      <c r="N140" s="42">
        <v>-57652750431.029999</v>
      </c>
      <c r="O140" s="42">
        <v>49381513141.93</v>
      </c>
      <c r="P140" s="42">
        <v>38008740188.050003</v>
      </c>
      <c r="Q140" s="42">
        <v>-10216048147.950001</v>
      </c>
      <c r="R140" s="42">
        <v>84342621185.509995</v>
      </c>
    </row>
    <row r="141" spans="1:21" x14ac:dyDescent="0.25">
      <c r="A141" s="40" t="s">
        <v>347</v>
      </c>
      <c r="B141" s="40">
        <v>2008</v>
      </c>
      <c r="C141" s="73" t="s">
        <v>342</v>
      </c>
      <c r="D141" s="42">
        <v>0</v>
      </c>
      <c r="E141" s="42">
        <v>0</v>
      </c>
      <c r="F141" s="42">
        <v>0</v>
      </c>
      <c r="G141" s="42">
        <v>0</v>
      </c>
      <c r="H141" s="42">
        <v>0</v>
      </c>
      <c r="I141" s="42">
        <v>0</v>
      </c>
      <c r="J141" s="42">
        <v>0</v>
      </c>
      <c r="K141" s="42">
        <v>0</v>
      </c>
      <c r="L141" s="42">
        <v>0</v>
      </c>
      <c r="M141" s="42">
        <v>0</v>
      </c>
      <c r="N141" s="42">
        <v>0</v>
      </c>
      <c r="O141" s="42">
        <v>0</v>
      </c>
      <c r="P141" s="42">
        <v>0</v>
      </c>
      <c r="Q141" s="42">
        <v>0</v>
      </c>
      <c r="R141" s="42">
        <v>0</v>
      </c>
    </row>
    <row r="142" spans="1:21" x14ac:dyDescent="0.25">
      <c r="A142" s="40" t="s">
        <v>839</v>
      </c>
      <c r="B142" s="40">
        <v>2008</v>
      </c>
      <c r="C142" s="73" t="s">
        <v>840</v>
      </c>
      <c r="D142" s="42">
        <v>0</v>
      </c>
      <c r="E142" s="42">
        <v>0</v>
      </c>
      <c r="F142" s="42">
        <v>0</v>
      </c>
      <c r="G142" s="42">
        <v>0</v>
      </c>
      <c r="H142" s="42">
        <v>0</v>
      </c>
      <c r="I142" s="42">
        <v>1618067479.99</v>
      </c>
      <c r="J142" s="42">
        <v>213661645.25999999</v>
      </c>
      <c r="K142" s="42">
        <v>755392831.62</v>
      </c>
      <c r="L142" s="42">
        <v>158875573.99000001</v>
      </c>
      <c r="M142" s="42">
        <v>684929574.57000005</v>
      </c>
      <c r="N142" s="42">
        <v>224584310.66999999</v>
      </c>
      <c r="O142" s="42">
        <v>0</v>
      </c>
      <c r="P142" s="42">
        <v>654663721.83000004</v>
      </c>
      <c r="Q142" s="42">
        <v>727595689.72000003</v>
      </c>
      <c r="R142" s="42">
        <v>528509945.55000001</v>
      </c>
    </row>
    <row r="143" spans="1:21" x14ac:dyDescent="0.25">
      <c r="A143" s="40" t="s">
        <v>841</v>
      </c>
      <c r="B143" s="40">
        <v>2008</v>
      </c>
      <c r="C143" s="73" t="s">
        <v>842</v>
      </c>
      <c r="D143" s="42">
        <v>0</v>
      </c>
      <c r="E143" s="42">
        <v>0</v>
      </c>
      <c r="F143" s="42">
        <v>0</v>
      </c>
      <c r="G143" s="42">
        <v>-111393667.17</v>
      </c>
      <c r="H143" s="42">
        <v>-157203929.03</v>
      </c>
      <c r="I143" s="42">
        <v>2414884149.1700001</v>
      </c>
      <c r="J143" s="42">
        <v>8209538279.46</v>
      </c>
      <c r="K143" s="42">
        <v>9345125953.1499996</v>
      </c>
      <c r="L143" s="42">
        <v>10876298482.76</v>
      </c>
      <c r="M143" s="42">
        <v>1031745546.79</v>
      </c>
      <c r="N143" s="42">
        <v>11143955598.57</v>
      </c>
      <c r="O143" s="42">
        <v>-2930475791.73</v>
      </c>
      <c r="P143" s="42">
        <v>11055415097</v>
      </c>
      <c r="Q143" s="42">
        <v>15462341021.65</v>
      </c>
      <c r="R143" s="42">
        <v>12002595143.120001</v>
      </c>
    </row>
    <row r="144" spans="1:21" x14ac:dyDescent="0.25">
      <c r="A144" s="40" t="s">
        <v>500</v>
      </c>
      <c r="B144" s="40">
        <v>2008</v>
      </c>
      <c r="C144" s="73" t="s">
        <v>339</v>
      </c>
      <c r="D144" s="42">
        <v>0</v>
      </c>
      <c r="E144" s="42">
        <v>0</v>
      </c>
      <c r="F144" s="42">
        <v>0</v>
      </c>
      <c r="G144" s="42">
        <v>0</v>
      </c>
      <c r="H144" s="42">
        <v>0</v>
      </c>
      <c r="I144" s="42">
        <v>5474624875.5699997</v>
      </c>
      <c r="J144" s="42">
        <v>859437174.60000002</v>
      </c>
      <c r="K144" s="42">
        <v>2069534078.5</v>
      </c>
      <c r="L144" s="42">
        <v>655627285.71000004</v>
      </c>
      <c r="M144" s="42">
        <v>2003659558.27</v>
      </c>
      <c r="N144" s="42">
        <v>561271979.46000004</v>
      </c>
      <c r="O144" s="42">
        <v>1219596.8799999999</v>
      </c>
      <c r="P144" s="42">
        <v>3012986549.3899999</v>
      </c>
      <c r="Q144" s="42">
        <v>1259530627.8800001</v>
      </c>
      <c r="R144" s="42">
        <v>3145553218.4000001</v>
      </c>
    </row>
    <row r="145" spans="1:18" x14ac:dyDescent="0.25">
      <c r="A145" s="40" t="s">
        <v>338</v>
      </c>
      <c r="B145" s="40">
        <v>2008</v>
      </c>
      <c r="C145" s="73" t="s">
        <v>337</v>
      </c>
      <c r="D145" s="42">
        <v>0</v>
      </c>
      <c r="E145" s="42">
        <v>0</v>
      </c>
      <c r="F145" s="42">
        <v>0</v>
      </c>
      <c r="G145" s="42">
        <v>623102500</v>
      </c>
      <c r="H145" s="42">
        <v>0</v>
      </c>
      <c r="I145" s="42">
        <v>8507</v>
      </c>
      <c r="J145" s="42">
        <v>0</v>
      </c>
      <c r="K145" s="42">
        <v>0</v>
      </c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42">
        <v>2655925</v>
      </c>
    </row>
    <row r="146" spans="1:18" x14ac:dyDescent="0.25">
      <c r="A146" s="40" t="s">
        <v>332</v>
      </c>
      <c r="B146" s="40">
        <v>2008</v>
      </c>
      <c r="C146" s="73" t="s">
        <v>331</v>
      </c>
      <c r="D146" s="42">
        <v>0</v>
      </c>
      <c r="E146" s="42">
        <v>0</v>
      </c>
      <c r="F146" s="42">
        <v>0</v>
      </c>
      <c r="G146" s="42">
        <v>12797472755.41</v>
      </c>
      <c r="H146" s="42">
        <v>7514082398.8599997</v>
      </c>
      <c r="I146" s="42">
        <v>2308487146.3400002</v>
      </c>
      <c r="J146" s="42">
        <v>1538672617.6300001</v>
      </c>
      <c r="K146" s="42">
        <v>1754003118.9100001</v>
      </c>
      <c r="L146" s="42">
        <v>1405465366.8599999</v>
      </c>
      <c r="M146" s="42">
        <v>1114910277.24</v>
      </c>
      <c r="N146" s="42">
        <v>964341318.32000005</v>
      </c>
      <c r="O146" s="42">
        <v>773697490.27999997</v>
      </c>
      <c r="P146" s="42">
        <v>663887166.53999996</v>
      </c>
      <c r="Q146" s="42">
        <v>560231003.77999997</v>
      </c>
      <c r="R146" s="42">
        <v>36903885017.139999</v>
      </c>
    </row>
    <row r="147" spans="1:18" x14ac:dyDescent="0.25">
      <c r="A147" s="40" t="s">
        <v>329</v>
      </c>
      <c r="B147" s="40">
        <v>2008</v>
      </c>
      <c r="C147" s="73" t="s">
        <v>328</v>
      </c>
      <c r="D147" s="42">
        <v>0</v>
      </c>
      <c r="E147" s="42">
        <v>0</v>
      </c>
      <c r="F147" s="42">
        <v>0</v>
      </c>
      <c r="G147" s="42">
        <v>31490987</v>
      </c>
      <c r="H147" s="42">
        <v>14951654</v>
      </c>
      <c r="I147" s="42">
        <v>3970677</v>
      </c>
      <c r="J147" s="42">
        <v>1518284</v>
      </c>
      <c r="K147" s="42">
        <v>2405107</v>
      </c>
      <c r="L147" s="42">
        <v>2068174</v>
      </c>
      <c r="M147" s="42">
        <v>1749649</v>
      </c>
      <c r="N147" s="42">
        <v>1759304</v>
      </c>
      <c r="O147" s="42">
        <v>1464985</v>
      </c>
      <c r="P147" s="42">
        <v>1397454</v>
      </c>
      <c r="Q147" s="42">
        <v>1366836</v>
      </c>
      <c r="R147" s="42">
        <v>6801608</v>
      </c>
    </row>
    <row r="148" spans="1:18" x14ac:dyDescent="0.25">
      <c r="A148" s="40" t="s">
        <v>325</v>
      </c>
      <c r="B148" s="40">
        <v>2008</v>
      </c>
      <c r="C148" s="73" t="s">
        <v>324</v>
      </c>
      <c r="D148" s="42">
        <v>0</v>
      </c>
      <c r="E148" s="42">
        <v>0</v>
      </c>
      <c r="F148" s="42">
        <v>0</v>
      </c>
      <c r="G148" s="42">
        <v>0</v>
      </c>
      <c r="H148" s="42">
        <v>7912677.8399999999</v>
      </c>
      <c r="I148" s="42">
        <v>18410224.829999998</v>
      </c>
      <c r="J148" s="42">
        <v>549857663.47000003</v>
      </c>
      <c r="K148" s="42">
        <v>391836310.00999999</v>
      </c>
      <c r="L148" s="42">
        <v>21026989.539999999</v>
      </c>
      <c r="M148" s="42">
        <v>10155707.26</v>
      </c>
      <c r="N148" s="42">
        <v>24292904.32</v>
      </c>
      <c r="O148" s="42">
        <v>11248253.83</v>
      </c>
      <c r="P148" s="42">
        <v>8627853.3499999996</v>
      </c>
      <c r="Q148" s="42">
        <v>15339861.970000001</v>
      </c>
      <c r="R148" s="42">
        <v>9261285.3900000006</v>
      </c>
    </row>
    <row r="149" spans="1:18" x14ac:dyDescent="0.25">
      <c r="A149" s="40" t="s">
        <v>320</v>
      </c>
      <c r="B149" s="40">
        <v>2008</v>
      </c>
      <c r="C149" s="73" t="s">
        <v>319</v>
      </c>
      <c r="D149" s="42">
        <v>0</v>
      </c>
      <c r="E149" s="42">
        <v>0</v>
      </c>
      <c r="F149" s="42">
        <v>0</v>
      </c>
      <c r="G149" s="42">
        <v>1196580298.1199999</v>
      </c>
      <c r="H149" s="42">
        <v>1520103643.4100001</v>
      </c>
      <c r="I149" s="42">
        <v>1441712542.75</v>
      </c>
      <c r="J149" s="42">
        <v>1620470916.4100001</v>
      </c>
      <c r="K149" s="42">
        <v>1684003837.8800001</v>
      </c>
      <c r="L149" s="42">
        <v>1829386945.78</v>
      </c>
      <c r="M149" s="42">
        <v>1665224223.5999999</v>
      </c>
      <c r="N149" s="42">
        <v>1283983014.22</v>
      </c>
      <c r="O149" s="42">
        <v>1228711099.1099999</v>
      </c>
      <c r="P149" s="42">
        <v>1417889760.6099999</v>
      </c>
      <c r="Q149" s="42">
        <v>1155404248.49</v>
      </c>
      <c r="R149" s="42">
        <v>1160823030.8199999</v>
      </c>
    </row>
    <row r="150" spans="1:18" x14ac:dyDescent="0.25">
      <c r="A150" s="40" t="s">
        <v>317</v>
      </c>
      <c r="B150" s="40">
        <v>2008</v>
      </c>
      <c r="C150" s="73" t="s">
        <v>316</v>
      </c>
      <c r="D150" s="42">
        <v>0</v>
      </c>
      <c r="E150" s="42">
        <v>0</v>
      </c>
      <c r="F150" s="42">
        <v>0</v>
      </c>
      <c r="G150" s="42">
        <v>793133024.07000005</v>
      </c>
      <c r="H150" s="42">
        <v>987007263.45000005</v>
      </c>
      <c r="I150" s="42">
        <v>834888438.25</v>
      </c>
      <c r="J150" s="42">
        <v>1029414123.49</v>
      </c>
      <c r="K150" s="42">
        <v>1004499567.59</v>
      </c>
      <c r="L150" s="42">
        <v>965182443.35000002</v>
      </c>
      <c r="M150" s="42">
        <v>933345574.33000004</v>
      </c>
      <c r="N150" s="42">
        <v>785273474.45000005</v>
      </c>
      <c r="O150" s="42">
        <v>880465637.95000005</v>
      </c>
      <c r="P150" s="42">
        <v>902102648.25</v>
      </c>
      <c r="Q150" s="42">
        <v>933036461.66999996</v>
      </c>
      <c r="R150" s="42">
        <v>505208521</v>
      </c>
    </row>
    <row r="151" spans="1:18" x14ac:dyDescent="0.25">
      <c r="A151" s="40" t="s">
        <v>313</v>
      </c>
      <c r="B151" s="40">
        <v>2008</v>
      </c>
      <c r="C151" s="73" t="s">
        <v>312</v>
      </c>
      <c r="D151" s="42">
        <v>0</v>
      </c>
      <c r="E151" s="42">
        <v>0</v>
      </c>
      <c r="F151" s="42">
        <v>0</v>
      </c>
      <c r="G151" s="42">
        <v>0</v>
      </c>
      <c r="H151" s="42">
        <v>0</v>
      </c>
      <c r="I151" s="42">
        <v>0</v>
      </c>
      <c r="J151" s="42">
        <v>0</v>
      </c>
      <c r="K151" s="42">
        <v>0</v>
      </c>
      <c r="L151" s="42">
        <v>0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</row>
    <row r="152" spans="1:18" x14ac:dyDescent="0.25">
      <c r="A152" s="40" t="s">
        <v>843</v>
      </c>
      <c r="B152" s="40">
        <v>2008</v>
      </c>
      <c r="C152" s="73" t="s">
        <v>844</v>
      </c>
      <c r="D152" s="42">
        <v>0</v>
      </c>
      <c r="E152" s="42">
        <v>0</v>
      </c>
      <c r="F152" s="42">
        <v>0</v>
      </c>
      <c r="G152" s="42">
        <v>43237883506.290001</v>
      </c>
      <c r="H152" s="42">
        <v>36003082392.059998</v>
      </c>
      <c r="I152" s="42">
        <v>35232102261.169998</v>
      </c>
      <c r="J152" s="42">
        <v>38710770342.610001</v>
      </c>
      <c r="K152" s="42">
        <v>35910984698.599998</v>
      </c>
      <c r="L152" s="42">
        <v>35488220651.470001</v>
      </c>
      <c r="M152" s="42">
        <v>35728545291.449997</v>
      </c>
      <c r="N152" s="42">
        <v>37501443984.540001</v>
      </c>
      <c r="O152" s="42">
        <v>37034960194.510002</v>
      </c>
      <c r="P152" s="42">
        <v>35741578990.029999</v>
      </c>
      <c r="Q152" s="42">
        <v>33902936597.889999</v>
      </c>
      <c r="R152" s="42">
        <v>37735576224.730003</v>
      </c>
    </row>
    <row r="153" spans="1:18" x14ac:dyDescent="0.25">
      <c r="A153" s="40" t="s">
        <v>845</v>
      </c>
      <c r="B153" s="40">
        <v>2008</v>
      </c>
      <c r="C153" s="73" t="s">
        <v>846</v>
      </c>
      <c r="D153" s="42">
        <v>0</v>
      </c>
      <c r="E153" s="42">
        <v>0</v>
      </c>
      <c r="F153" s="42">
        <v>0</v>
      </c>
      <c r="G153" s="42">
        <v>38800467939.260002</v>
      </c>
      <c r="H153" s="42">
        <v>37786000017.480003</v>
      </c>
      <c r="I153" s="42">
        <v>34376163794.279999</v>
      </c>
      <c r="J153" s="42">
        <v>41426548220.790001</v>
      </c>
      <c r="K153" s="42">
        <v>43833571373.849998</v>
      </c>
      <c r="L153" s="42">
        <v>38973734073.040001</v>
      </c>
      <c r="M153" s="42">
        <v>48138902515.779999</v>
      </c>
      <c r="N153" s="42">
        <v>46204317879.169998</v>
      </c>
      <c r="O153" s="42">
        <v>43754107808.260002</v>
      </c>
      <c r="P153" s="42">
        <v>48685412502.559998</v>
      </c>
      <c r="Q153" s="42">
        <v>38459192235.18</v>
      </c>
      <c r="R153" s="42">
        <v>34054433500.299999</v>
      </c>
    </row>
    <row r="154" spans="1:18" x14ac:dyDescent="0.25">
      <c r="A154" s="40" t="s">
        <v>847</v>
      </c>
      <c r="B154" s="40">
        <v>2008</v>
      </c>
      <c r="C154" s="73" t="s">
        <v>848</v>
      </c>
      <c r="D154" s="42">
        <v>0</v>
      </c>
      <c r="E154" s="42">
        <v>0</v>
      </c>
      <c r="F154" s="42">
        <v>0</v>
      </c>
      <c r="G154" s="42">
        <v>2294814081.6199999</v>
      </c>
      <c r="H154" s="42">
        <v>1774757371</v>
      </c>
      <c r="I154" s="42">
        <v>1724138409</v>
      </c>
      <c r="J154" s="42">
        <v>2031467230</v>
      </c>
      <c r="K154" s="42">
        <v>1904960116.5999999</v>
      </c>
      <c r="L154" s="42">
        <v>1975420239</v>
      </c>
      <c r="M154" s="42">
        <v>1618501695</v>
      </c>
      <c r="N154" s="42">
        <v>1918991016.4300001</v>
      </c>
      <c r="O154" s="42">
        <v>1753759915.55</v>
      </c>
      <c r="P154" s="42">
        <v>1944190047</v>
      </c>
      <c r="Q154" s="42">
        <v>2371602212.3299999</v>
      </c>
      <c r="R154" s="42">
        <v>1510161199</v>
      </c>
    </row>
    <row r="155" spans="1:18" x14ac:dyDescent="0.25">
      <c r="A155" s="40" t="s">
        <v>849</v>
      </c>
      <c r="B155" s="40">
        <v>2008</v>
      </c>
      <c r="C155" s="73" t="s">
        <v>850</v>
      </c>
      <c r="D155" s="42">
        <v>0</v>
      </c>
      <c r="E155" s="42">
        <v>0</v>
      </c>
      <c r="F155" s="42">
        <v>0</v>
      </c>
      <c r="G155" s="42">
        <v>12558723245.99</v>
      </c>
      <c r="H155" s="42">
        <v>12873521119.84</v>
      </c>
      <c r="I155" s="42">
        <v>12891968562.809999</v>
      </c>
      <c r="J155" s="42">
        <v>13835454814.16</v>
      </c>
      <c r="K155" s="42">
        <v>12341355652.32</v>
      </c>
      <c r="L155" s="42">
        <v>11755848016.15</v>
      </c>
      <c r="M155" s="42">
        <v>13718612767.07</v>
      </c>
      <c r="N155" s="42">
        <v>11975853583.65</v>
      </c>
      <c r="O155" s="42">
        <v>10272175750.809999</v>
      </c>
      <c r="P155" s="42">
        <v>11179221905.1</v>
      </c>
      <c r="Q155" s="42">
        <v>9085542152.9899998</v>
      </c>
      <c r="R155" s="42">
        <v>8956612396.0599995</v>
      </c>
    </row>
    <row r="156" spans="1:18" x14ac:dyDescent="0.25">
      <c r="A156" s="40" t="s">
        <v>472</v>
      </c>
      <c r="B156" s="40">
        <v>2008</v>
      </c>
      <c r="C156" s="73" t="s">
        <v>471</v>
      </c>
      <c r="D156" s="42">
        <v>0</v>
      </c>
      <c r="E156" s="42">
        <v>0</v>
      </c>
      <c r="F156" s="42">
        <v>0</v>
      </c>
      <c r="G156" s="42">
        <v>0</v>
      </c>
      <c r="H156" s="42">
        <v>4100</v>
      </c>
      <c r="I156" s="42">
        <v>0</v>
      </c>
      <c r="J156" s="42">
        <v>0</v>
      </c>
      <c r="K156" s="42">
        <v>0</v>
      </c>
      <c r="L156" s="42">
        <v>0</v>
      </c>
      <c r="M156" s="42">
        <v>0</v>
      </c>
      <c r="N156" s="42">
        <v>0</v>
      </c>
      <c r="O156" s="42">
        <v>0</v>
      </c>
      <c r="P156" s="42">
        <v>0</v>
      </c>
      <c r="Q156" s="42">
        <v>4200</v>
      </c>
      <c r="R156" s="42">
        <v>0</v>
      </c>
    </row>
    <row r="157" spans="1:18" x14ac:dyDescent="0.25">
      <c r="A157" s="40" t="s">
        <v>499</v>
      </c>
      <c r="B157" s="40">
        <v>2008</v>
      </c>
      <c r="C157" s="73" t="s">
        <v>498</v>
      </c>
      <c r="D157" s="42">
        <v>0</v>
      </c>
      <c r="E157" s="42">
        <v>0</v>
      </c>
      <c r="F157" s="42">
        <v>0</v>
      </c>
      <c r="G157" s="42">
        <v>0</v>
      </c>
      <c r="H157" s="42">
        <v>0</v>
      </c>
      <c r="I157" s="42">
        <v>1500</v>
      </c>
      <c r="J157" s="42">
        <v>0</v>
      </c>
      <c r="K157" s="42">
        <v>0</v>
      </c>
      <c r="L157" s="42">
        <v>0</v>
      </c>
      <c r="M157" s="42">
        <v>0</v>
      </c>
      <c r="N157" s="42">
        <v>0</v>
      </c>
      <c r="O157" s="42">
        <v>0</v>
      </c>
      <c r="P157" s="42">
        <v>0</v>
      </c>
      <c r="Q157" s="42">
        <v>0</v>
      </c>
      <c r="R157" s="42">
        <v>0</v>
      </c>
    </row>
    <row r="158" spans="1:18" x14ac:dyDescent="0.25">
      <c r="A158" s="40" t="s">
        <v>298</v>
      </c>
      <c r="B158" s="40">
        <v>2008</v>
      </c>
      <c r="C158" s="73" t="s">
        <v>281</v>
      </c>
      <c r="D158" s="42">
        <v>0</v>
      </c>
      <c r="E158" s="42">
        <v>0</v>
      </c>
      <c r="F158" s="42">
        <v>0</v>
      </c>
      <c r="G158" s="42">
        <v>15245084524</v>
      </c>
      <c r="H158" s="42">
        <v>12743422473</v>
      </c>
      <c r="I158" s="42">
        <v>17030900909</v>
      </c>
      <c r="J158" s="42">
        <v>13470492448.68</v>
      </c>
      <c r="K158" s="42">
        <v>11933146023</v>
      </c>
      <c r="L158" s="42">
        <v>16403259689.110001</v>
      </c>
      <c r="M158" s="42">
        <v>11303279842</v>
      </c>
      <c r="N158" s="42">
        <v>19560793756</v>
      </c>
      <c r="O158" s="42">
        <v>17222473317</v>
      </c>
      <c r="P158" s="42">
        <v>22217600898</v>
      </c>
      <c r="Q158" s="42">
        <v>24109112552</v>
      </c>
      <c r="R158" s="42">
        <v>9842834440</v>
      </c>
    </row>
    <row r="159" spans="1:18" x14ac:dyDescent="0.25">
      <c r="A159" s="40" t="s">
        <v>297</v>
      </c>
      <c r="B159" s="40">
        <v>2008</v>
      </c>
      <c r="C159" s="73" t="s">
        <v>287</v>
      </c>
      <c r="D159" s="42">
        <v>0</v>
      </c>
      <c r="E159" s="42">
        <v>0</v>
      </c>
      <c r="F159" s="42">
        <v>0</v>
      </c>
      <c r="G159" s="42">
        <v>8231028111</v>
      </c>
      <c r="H159" s="42">
        <v>10504860847</v>
      </c>
      <c r="I159" s="42">
        <v>6134081972</v>
      </c>
      <c r="J159" s="42">
        <v>20243612918</v>
      </c>
      <c r="K159" s="42">
        <v>8150902185</v>
      </c>
      <c r="L159" s="42">
        <v>1991148196</v>
      </c>
      <c r="M159" s="42">
        <v>4815203996.6199999</v>
      </c>
      <c r="N159" s="42">
        <v>1005202407.51</v>
      </c>
      <c r="O159" s="42">
        <v>800462765.33000004</v>
      </c>
      <c r="P159" s="42">
        <v>669789593.86000001</v>
      </c>
      <c r="Q159" s="42">
        <v>1054219673.35</v>
      </c>
      <c r="R159" s="42">
        <v>13387254675.620001</v>
      </c>
    </row>
    <row r="160" spans="1:18" x14ac:dyDescent="0.25">
      <c r="A160" s="40" t="s">
        <v>295</v>
      </c>
      <c r="B160" s="40">
        <v>2008</v>
      </c>
      <c r="C160" s="73" t="s">
        <v>281</v>
      </c>
      <c r="D160" s="42">
        <v>0</v>
      </c>
      <c r="E160" s="42">
        <v>0</v>
      </c>
      <c r="F160" s="42">
        <v>0</v>
      </c>
      <c r="G160" s="42">
        <v>3001167107</v>
      </c>
      <c r="H160" s="42">
        <v>1749645322</v>
      </c>
      <c r="I160" s="42">
        <v>1977548460</v>
      </c>
      <c r="J160" s="42">
        <v>2360277879</v>
      </c>
      <c r="K160" s="42">
        <v>1747103993.45</v>
      </c>
      <c r="L160" s="42">
        <v>2039882601</v>
      </c>
      <c r="M160" s="42">
        <v>1913786296</v>
      </c>
      <c r="N160" s="42">
        <v>1965852359</v>
      </c>
      <c r="O160" s="42">
        <v>1671419475</v>
      </c>
      <c r="P160" s="42">
        <v>2011701393</v>
      </c>
      <c r="Q160" s="42">
        <v>1953727328</v>
      </c>
      <c r="R160" s="42">
        <v>2472827231</v>
      </c>
    </row>
    <row r="161" spans="1:18" x14ac:dyDescent="0.25">
      <c r="A161" s="40" t="s">
        <v>294</v>
      </c>
      <c r="B161" s="40">
        <v>2008</v>
      </c>
      <c r="C161" s="73" t="s">
        <v>287</v>
      </c>
      <c r="D161" s="42">
        <v>0</v>
      </c>
      <c r="E161" s="42">
        <v>0</v>
      </c>
      <c r="F161" s="42">
        <v>0</v>
      </c>
      <c r="G161" s="42">
        <v>243942428</v>
      </c>
      <c r="H161" s="42">
        <v>417013794</v>
      </c>
      <c r="I161" s="42">
        <v>328306431</v>
      </c>
      <c r="J161" s="42">
        <v>340465681</v>
      </c>
      <c r="K161" s="42">
        <v>403220991</v>
      </c>
      <c r="L161" s="42">
        <v>252743228</v>
      </c>
      <c r="M161" s="42">
        <v>331449286</v>
      </c>
      <c r="N161" s="42">
        <v>344480678.01999998</v>
      </c>
      <c r="O161" s="42">
        <v>309510433.22000003</v>
      </c>
      <c r="P161" s="42">
        <v>610280690.99000001</v>
      </c>
      <c r="Q161" s="42">
        <v>476030849.87</v>
      </c>
      <c r="R161" s="42">
        <v>490801348.67000002</v>
      </c>
    </row>
    <row r="162" spans="1:18" x14ac:dyDescent="0.25">
      <c r="A162" s="40" t="s">
        <v>292</v>
      </c>
      <c r="B162" s="40">
        <v>2008</v>
      </c>
      <c r="C162" s="73" t="s">
        <v>281</v>
      </c>
      <c r="D162" s="42">
        <v>0</v>
      </c>
      <c r="E162" s="42">
        <v>0</v>
      </c>
      <c r="F162" s="42">
        <v>0</v>
      </c>
      <c r="G162" s="42">
        <v>1993123255</v>
      </c>
      <c r="H162" s="42">
        <v>1533925589</v>
      </c>
      <c r="I162" s="42">
        <v>1741486249</v>
      </c>
      <c r="J162" s="42">
        <v>1849737298</v>
      </c>
      <c r="K162" s="42">
        <v>1802483543</v>
      </c>
      <c r="L162" s="42">
        <v>1812188100</v>
      </c>
      <c r="M162" s="42">
        <v>1719984508</v>
      </c>
      <c r="N162" s="42">
        <v>1790942313</v>
      </c>
      <c r="O162" s="42">
        <v>1823730327</v>
      </c>
      <c r="P162" s="42">
        <v>1716159851</v>
      </c>
      <c r="Q162" s="42">
        <v>1848483323</v>
      </c>
      <c r="R162" s="42">
        <v>1740534866</v>
      </c>
    </row>
    <row r="163" spans="1:18" x14ac:dyDescent="0.25">
      <c r="A163" s="40" t="s">
        <v>291</v>
      </c>
      <c r="B163" s="40">
        <v>2008</v>
      </c>
      <c r="C163" s="73" t="s">
        <v>287</v>
      </c>
      <c r="D163" s="42">
        <v>0</v>
      </c>
      <c r="E163" s="42">
        <v>0</v>
      </c>
      <c r="F163" s="42">
        <v>0</v>
      </c>
      <c r="G163" s="42">
        <v>126078786</v>
      </c>
      <c r="H163" s="42">
        <v>116757481</v>
      </c>
      <c r="I163" s="42">
        <v>95575582</v>
      </c>
      <c r="J163" s="42">
        <v>132125880</v>
      </c>
      <c r="K163" s="42">
        <v>118809972</v>
      </c>
      <c r="L163" s="42">
        <v>124894748</v>
      </c>
      <c r="M163" s="42">
        <v>119775717</v>
      </c>
      <c r="N163" s="42">
        <v>101551073.39</v>
      </c>
      <c r="O163" s="42">
        <v>98224754.290000007</v>
      </c>
      <c r="P163" s="42">
        <v>118177148.63</v>
      </c>
      <c r="Q163" s="42">
        <v>98630091.75</v>
      </c>
      <c r="R163" s="42">
        <v>92680091.430000007</v>
      </c>
    </row>
    <row r="164" spans="1:18" x14ac:dyDescent="0.25">
      <c r="A164" s="40" t="s">
        <v>851</v>
      </c>
      <c r="B164" s="40">
        <v>2008</v>
      </c>
      <c r="C164" s="73" t="s">
        <v>852</v>
      </c>
      <c r="D164" s="42">
        <v>0</v>
      </c>
      <c r="E164" s="42">
        <v>0</v>
      </c>
      <c r="F164" s="42">
        <v>0</v>
      </c>
      <c r="G164" s="42">
        <v>72305181.269999996</v>
      </c>
      <c r="H164" s="42">
        <v>79428902</v>
      </c>
      <c r="I164" s="42">
        <v>81084810.430000007</v>
      </c>
      <c r="J164" s="42">
        <v>95845389</v>
      </c>
      <c r="K164" s="42">
        <v>76991983</v>
      </c>
      <c r="L164" s="42">
        <v>98740408</v>
      </c>
      <c r="M164" s="42">
        <v>102513912</v>
      </c>
      <c r="N164" s="42">
        <v>79550976.75</v>
      </c>
      <c r="O164" s="42">
        <v>75268891.319999993</v>
      </c>
      <c r="P164" s="42">
        <v>70644086.549999997</v>
      </c>
      <c r="Q164" s="42">
        <v>98515640.230000004</v>
      </c>
      <c r="R164" s="42">
        <v>78252410.450000003</v>
      </c>
    </row>
    <row r="165" spans="1:18" x14ac:dyDescent="0.25">
      <c r="A165" s="40" t="s">
        <v>286</v>
      </c>
      <c r="B165" s="40">
        <v>2008</v>
      </c>
      <c r="C165" s="73" t="s">
        <v>285</v>
      </c>
      <c r="D165" s="42">
        <v>0</v>
      </c>
      <c r="E165" s="42">
        <v>0</v>
      </c>
      <c r="F165" s="42">
        <v>0</v>
      </c>
      <c r="G165" s="42">
        <v>0</v>
      </c>
      <c r="H165" s="42">
        <v>0</v>
      </c>
      <c r="I165" s="42">
        <v>24546634.27</v>
      </c>
      <c r="J165" s="42">
        <v>0</v>
      </c>
      <c r="K165" s="42">
        <v>22026142.25</v>
      </c>
      <c r="L165" s="42">
        <v>26374481.550000001</v>
      </c>
      <c r="M165" s="42">
        <v>25349932.289999999</v>
      </c>
      <c r="N165" s="42">
        <v>24281653.25</v>
      </c>
      <c r="O165" s="42">
        <v>24893355.73</v>
      </c>
      <c r="P165" s="42">
        <v>23654925.940000001</v>
      </c>
      <c r="Q165" s="42">
        <v>24543452.050000001</v>
      </c>
      <c r="R165" s="42">
        <v>24269540.649999999</v>
      </c>
    </row>
    <row r="166" spans="1:18" x14ac:dyDescent="0.25">
      <c r="A166" s="40" t="s">
        <v>276</v>
      </c>
      <c r="B166" s="40">
        <v>2008</v>
      </c>
      <c r="C166" s="73" t="s">
        <v>275</v>
      </c>
      <c r="D166" s="42">
        <v>0</v>
      </c>
      <c r="E166" s="42">
        <v>0</v>
      </c>
      <c r="F166" s="42">
        <v>0</v>
      </c>
      <c r="G166" s="42">
        <v>58215971.619999997</v>
      </c>
      <c r="H166" s="42">
        <v>41686315.869999997</v>
      </c>
      <c r="I166" s="42">
        <v>36516122.590000004</v>
      </c>
      <c r="J166" s="42">
        <v>53068525.890000001</v>
      </c>
      <c r="K166" s="42">
        <v>33587012.950000003</v>
      </c>
      <c r="L166" s="42">
        <v>25573905.559999999</v>
      </c>
      <c r="M166" s="42">
        <v>38880652.609999999</v>
      </c>
      <c r="N166" s="42">
        <v>24619301.91</v>
      </c>
      <c r="O166" s="42">
        <v>38997672.880000003</v>
      </c>
      <c r="P166" s="42">
        <v>29909894.530000001</v>
      </c>
      <c r="Q166" s="42">
        <v>39379839.340000004</v>
      </c>
      <c r="R166" s="42">
        <v>37765426</v>
      </c>
    </row>
    <row r="167" spans="1:18" x14ac:dyDescent="0.25">
      <c r="A167" s="40" t="s">
        <v>268</v>
      </c>
      <c r="B167" s="40">
        <v>2008</v>
      </c>
      <c r="C167" s="73" t="s">
        <v>267</v>
      </c>
      <c r="D167" s="42">
        <v>0</v>
      </c>
      <c r="E167" s="42">
        <v>0</v>
      </c>
      <c r="F167" s="42">
        <v>0</v>
      </c>
      <c r="G167" s="42">
        <v>9107334870.6900005</v>
      </c>
      <c r="H167" s="42">
        <v>8743688602.0799999</v>
      </c>
      <c r="I167" s="42">
        <v>8098969582.8800001</v>
      </c>
      <c r="J167" s="42">
        <v>9579070817.0499992</v>
      </c>
      <c r="K167" s="42">
        <v>9695435264.9200001</v>
      </c>
      <c r="L167" s="42">
        <v>9474255754.9899998</v>
      </c>
      <c r="M167" s="42">
        <v>11399396330.75</v>
      </c>
      <c r="N167" s="42">
        <v>11269724936.5</v>
      </c>
      <c r="O167" s="42">
        <v>11073887949.799999</v>
      </c>
      <c r="P167" s="42">
        <v>13168101165.09</v>
      </c>
      <c r="Q167" s="42">
        <v>11702882829.450001</v>
      </c>
      <c r="R167" s="42">
        <v>11237587408.16</v>
      </c>
    </row>
    <row r="168" spans="1:18" x14ac:dyDescent="0.25">
      <c r="A168" s="40" t="s">
        <v>264</v>
      </c>
      <c r="B168" s="40">
        <v>2008</v>
      </c>
      <c r="C168" s="73" t="s">
        <v>263</v>
      </c>
      <c r="D168" s="42">
        <v>0</v>
      </c>
      <c r="E168" s="42">
        <v>0</v>
      </c>
      <c r="F168" s="42">
        <v>0</v>
      </c>
      <c r="G168" s="42">
        <v>2617346960.0599999</v>
      </c>
      <c r="H168" s="42">
        <v>2438429604.8299999</v>
      </c>
      <c r="I168" s="42">
        <v>2111669726.9200001</v>
      </c>
      <c r="J168" s="42">
        <v>2776122133.4499998</v>
      </c>
      <c r="K168" s="42">
        <v>2741874649.8699999</v>
      </c>
      <c r="L168" s="42">
        <v>2374857999.27</v>
      </c>
      <c r="M168" s="42">
        <v>3032856190.25</v>
      </c>
      <c r="N168" s="42">
        <v>3117024056.8299999</v>
      </c>
      <c r="O168" s="42">
        <v>2962025032.5799999</v>
      </c>
      <c r="P168" s="42">
        <v>3199357214.52</v>
      </c>
      <c r="Q168" s="42">
        <v>2519150630.52</v>
      </c>
      <c r="R168" s="42">
        <v>2374988340.1999998</v>
      </c>
    </row>
    <row r="169" spans="1:18" x14ac:dyDescent="0.25">
      <c r="A169" s="40" t="s">
        <v>260</v>
      </c>
      <c r="B169" s="40">
        <v>2008</v>
      </c>
      <c r="C169" s="73" t="s">
        <v>259</v>
      </c>
      <c r="D169" s="42">
        <v>0</v>
      </c>
      <c r="E169" s="42">
        <v>0</v>
      </c>
      <c r="F169" s="42">
        <v>0</v>
      </c>
      <c r="G169" s="42">
        <v>225804678</v>
      </c>
      <c r="H169" s="42">
        <v>233895583</v>
      </c>
      <c r="I169" s="42">
        <v>682770651</v>
      </c>
      <c r="J169" s="42">
        <v>960994544.57000005</v>
      </c>
      <c r="K169" s="42">
        <v>396319593</v>
      </c>
      <c r="L169" s="42">
        <v>562524348.80999994</v>
      </c>
      <c r="M169" s="42">
        <v>322254175</v>
      </c>
      <c r="N169" s="42">
        <v>184686504.72</v>
      </c>
      <c r="O169" s="42">
        <v>10522254</v>
      </c>
      <c r="P169" s="42">
        <v>550803238.10000002</v>
      </c>
      <c r="Q169" s="42">
        <v>169648616.06999999</v>
      </c>
      <c r="R169" s="42">
        <v>207487998.43000001</v>
      </c>
    </row>
    <row r="170" spans="1:18" x14ac:dyDescent="0.25">
      <c r="A170" s="40" t="s">
        <v>258</v>
      </c>
      <c r="B170" s="40">
        <v>2008</v>
      </c>
      <c r="C170" s="73" t="s">
        <v>257</v>
      </c>
      <c r="D170" s="42">
        <v>0</v>
      </c>
      <c r="E170" s="42">
        <v>0</v>
      </c>
      <c r="F170" s="42">
        <v>0</v>
      </c>
      <c r="G170" s="42">
        <v>15890131.5</v>
      </c>
      <c r="H170" s="42">
        <v>12278647.5</v>
      </c>
      <c r="I170" s="42">
        <v>12215212.5</v>
      </c>
      <c r="J170" s="42">
        <v>13536564</v>
      </c>
      <c r="K170" s="42">
        <v>12969134</v>
      </c>
      <c r="L170" s="42">
        <v>14723973.359999999</v>
      </c>
      <c r="M170" s="42">
        <v>13401165.76</v>
      </c>
      <c r="N170" s="42">
        <v>10255049.5</v>
      </c>
      <c r="O170" s="42">
        <v>12949898.130000001</v>
      </c>
      <c r="P170" s="42">
        <v>15255592.23</v>
      </c>
      <c r="Q170" s="42">
        <v>10731001.6</v>
      </c>
      <c r="R170" s="42">
        <v>15487818.960000001</v>
      </c>
    </row>
    <row r="171" spans="1:18" x14ac:dyDescent="0.25">
      <c r="A171" s="40" t="s">
        <v>519</v>
      </c>
      <c r="B171" s="40">
        <v>2008</v>
      </c>
      <c r="C171" s="73" t="s">
        <v>518</v>
      </c>
      <c r="D171" s="42">
        <v>0</v>
      </c>
      <c r="E171" s="42">
        <v>0</v>
      </c>
      <c r="F171" s="42">
        <v>0</v>
      </c>
      <c r="G171" s="42">
        <v>0</v>
      </c>
      <c r="H171" s="42">
        <v>166</v>
      </c>
      <c r="I171" s="42">
        <v>0</v>
      </c>
      <c r="J171" s="42">
        <v>174</v>
      </c>
      <c r="K171" s="42">
        <v>41</v>
      </c>
      <c r="L171" s="42">
        <v>217</v>
      </c>
      <c r="M171" s="42">
        <v>257</v>
      </c>
      <c r="N171" s="42">
        <v>0</v>
      </c>
      <c r="O171" s="42">
        <v>0</v>
      </c>
      <c r="P171" s="42">
        <v>149.37</v>
      </c>
      <c r="Q171" s="42">
        <v>0</v>
      </c>
      <c r="R171" s="42">
        <v>0</v>
      </c>
    </row>
    <row r="172" spans="1:18" x14ac:dyDescent="0.25">
      <c r="A172" s="40" t="s">
        <v>253</v>
      </c>
      <c r="B172" s="40">
        <v>2008</v>
      </c>
      <c r="C172" s="73" t="s">
        <v>252</v>
      </c>
      <c r="D172" s="42">
        <v>0</v>
      </c>
      <c r="E172" s="42">
        <v>0</v>
      </c>
      <c r="F172" s="42">
        <v>0</v>
      </c>
      <c r="G172" s="42">
        <v>2611743673.7600002</v>
      </c>
      <c r="H172" s="42">
        <v>2188267310.5799999</v>
      </c>
      <c r="I172" s="42">
        <v>2383797224.2199998</v>
      </c>
      <c r="J172" s="42">
        <v>2330433538.9400001</v>
      </c>
      <c r="K172" s="42">
        <v>1792712097.28</v>
      </c>
      <c r="L172" s="42">
        <v>1847493587.4200001</v>
      </c>
      <c r="M172" s="42">
        <v>2391379768.4400001</v>
      </c>
      <c r="N172" s="42">
        <v>2356096677.1399999</v>
      </c>
      <c r="O172" s="42">
        <v>1768151029.3199999</v>
      </c>
      <c r="P172" s="42">
        <v>1494402476.0599999</v>
      </c>
      <c r="Q172" s="42">
        <v>1635620984.6400001</v>
      </c>
      <c r="R172" s="42">
        <v>2139244266.6199999</v>
      </c>
    </row>
    <row r="173" spans="1:18" x14ac:dyDescent="0.25">
      <c r="A173" s="40" t="s">
        <v>249</v>
      </c>
      <c r="B173" s="40">
        <v>2008</v>
      </c>
      <c r="C173" s="73" t="s">
        <v>248</v>
      </c>
      <c r="D173" s="42">
        <v>0</v>
      </c>
      <c r="E173" s="42">
        <v>0</v>
      </c>
      <c r="F173" s="42">
        <v>0</v>
      </c>
      <c r="G173" s="42">
        <v>20547396.27</v>
      </c>
      <c r="H173" s="42">
        <v>590703668.94000006</v>
      </c>
      <c r="I173" s="42">
        <v>502052482.61000001</v>
      </c>
      <c r="J173" s="42">
        <v>845949691.08000004</v>
      </c>
      <c r="K173" s="42">
        <v>370686821.81</v>
      </c>
      <c r="L173" s="42">
        <v>443099123.73000002</v>
      </c>
      <c r="M173" s="42">
        <v>428616968.88999999</v>
      </c>
      <c r="N173" s="42">
        <v>296429952.72000003</v>
      </c>
      <c r="O173" s="42">
        <v>510089954.42000002</v>
      </c>
      <c r="P173" s="42">
        <v>303362442.41000003</v>
      </c>
      <c r="Q173" s="42">
        <v>481371237.42000002</v>
      </c>
      <c r="R173" s="42">
        <v>448767175.18000001</v>
      </c>
    </row>
    <row r="174" spans="1:18" x14ac:dyDescent="0.25">
      <c r="A174" s="40" t="s">
        <v>497</v>
      </c>
      <c r="B174" s="40">
        <v>2008</v>
      </c>
      <c r="C174" s="73" t="s">
        <v>496</v>
      </c>
      <c r="D174" s="42">
        <v>0</v>
      </c>
      <c r="E174" s="42">
        <v>0</v>
      </c>
      <c r="F174" s="42">
        <v>0</v>
      </c>
      <c r="G174" s="42">
        <v>153098470.69999999</v>
      </c>
      <c r="H174" s="42">
        <v>96401921.939999998</v>
      </c>
      <c r="I174" s="42">
        <v>134939048.78999999</v>
      </c>
      <c r="J174" s="42">
        <v>216687020.81999999</v>
      </c>
      <c r="K174" s="42">
        <v>37974966.960000001</v>
      </c>
      <c r="L174" s="42">
        <v>305891613.08999997</v>
      </c>
      <c r="M174" s="42">
        <v>240379695.46000001</v>
      </c>
      <c r="N174" s="42">
        <v>140640999.81</v>
      </c>
      <c r="O174" s="42">
        <v>422574909.44</v>
      </c>
      <c r="P174" s="42">
        <v>324229450.68000001</v>
      </c>
      <c r="Q174" s="42">
        <v>209237607.25999999</v>
      </c>
      <c r="R174" s="42">
        <v>734807381.01999998</v>
      </c>
    </row>
    <row r="175" spans="1:18" x14ac:dyDescent="0.25">
      <c r="A175" s="40" t="s">
        <v>240</v>
      </c>
      <c r="B175" s="40">
        <v>2008</v>
      </c>
      <c r="C175" s="73" t="s">
        <v>239</v>
      </c>
      <c r="D175" s="42">
        <v>0</v>
      </c>
      <c r="E175" s="42">
        <v>0</v>
      </c>
      <c r="F175" s="42">
        <v>0</v>
      </c>
      <c r="G175" s="42">
        <v>0</v>
      </c>
      <c r="H175" s="42">
        <v>0</v>
      </c>
      <c r="I175" s="42">
        <v>0</v>
      </c>
      <c r="J175" s="42">
        <v>0</v>
      </c>
      <c r="K175" s="42">
        <v>0</v>
      </c>
      <c r="L175" s="42">
        <v>0</v>
      </c>
      <c r="M175" s="42">
        <v>0</v>
      </c>
      <c r="N175" s="42">
        <v>632949080.80999994</v>
      </c>
      <c r="O175" s="42">
        <v>94145776.579999998</v>
      </c>
      <c r="P175" s="42">
        <v>94531978.840000004</v>
      </c>
      <c r="Q175" s="42">
        <v>62101848.689999998</v>
      </c>
      <c r="R175" s="42">
        <v>66597626.899999999</v>
      </c>
    </row>
    <row r="176" spans="1:18" x14ac:dyDescent="0.25">
      <c r="A176" s="40" t="s">
        <v>236</v>
      </c>
      <c r="B176" s="40">
        <v>2008</v>
      </c>
      <c r="C176" s="73" t="s">
        <v>235</v>
      </c>
      <c r="D176" s="42">
        <v>0</v>
      </c>
      <c r="E176" s="42">
        <v>0</v>
      </c>
      <c r="F176" s="42">
        <v>0</v>
      </c>
      <c r="G176" s="42">
        <v>184684289.56999999</v>
      </c>
      <c r="H176" s="42">
        <v>164600468.91999999</v>
      </c>
      <c r="I176" s="42">
        <v>215086691.08000001</v>
      </c>
      <c r="J176" s="42">
        <v>204828498.16999999</v>
      </c>
      <c r="K176" s="42">
        <v>190113174.16999999</v>
      </c>
      <c r="L176" s="42">
        <v>232738635.02000001</v>
      </c>
      <c r="M176" s="42">
        <v>440734407.16000003</v>
      </c>
      <c r="N176" s="42">
        <v>307026562.26999998</v>
      </c>
      <c r="O176" s="42">
        <v>338795953.43000001</v>
      </c>
      <c r="P176" s="42">
        <v>415067021.79000002</v>
      </c>
      <c r="Q176" s="42">
        <v>344752564.88</v>
      </c>
      <c r="R176" s="42">
        <v>533315297.26999998</v>
      </c>
    </row>
    <row r="177" spans="1:18" x14ac:dyDescent="0.25">
      <c r="A177" s="40" t="s">
        <v>234</v>
      </c>
      <c r="B177" s="40">
        <v>2008</v>
      </c>
      <c r="C177" s="73" t="s">
        <v>233</v>
      </c>
      <c r="D177" s="42">
        <v>0</v>
      </c>
      <c r="E177" s="42">
        <v>0</v>
      </c>
      <c r="F177" s="42">
        <v>0</v>
      </c>
      <c r="G177" s="42">
        <v>2798429.9</v>
      </c>
      <c r="H177" s="42">
        <v>3578721</v>
      </c>
      <c r="I177" s="42">
        <v>2951415.5</v>
      </c>
      <c r="J177" s="42">
        <v>3324427.3</v>
      </c>
      <c r="K177" s="42">
        <v>3361233.2</v>
      </c>
      <c r="L177" s="42">
        <v>9721342.4000000004</v>
      </c>
      <c r="M177" s="42">
        <v>1250</v>
      </c>
      <c r="N177" s="42">
        <v>5075</v>
      </c>
      <c r="O177" s="42">
        <v>30438413.949999999</v>
      </c>
      <c r="P177" s="42">
        <v>9275929.1999999993</v>
      </c>
      <c r="Q177" s="42">
        <v>184300</v>
      </c>
      <c r="R177" s="42">
        <v>13750967.789999999</v>
      </c>
    </row>
    <row r="178" spans="1:18" x14ac:dyDescent="0.25">
      <c r="A178" s="40" t="s">
        <v>517</v>
      </c>
      <c r="B178" s="40">
        <v>2008</v>
      </c>
      <c r="C178" s="73" t="s">
        <v>516</v>
      </c>
      <c r="D178" s="42">
        <v>0</v>
      </c>
      <c r="E178" s="42">
        <v>0</v>
      </c>
      <c r="F178" s="42">
        <v>0</v>
      </c>
      <c r="G178" s="42">
        <v>-855157135.57000005</v>
      </c>
      <c r="H178" s="42">
        <v>-518984543.88</v>
      </c>
      <c r="I178" s="42">
        <v>941078760.69000006</v>
      </c>
      <c r="J178" s="42">
        <v>-1166782759.3900001</v>
      </c>
      <c r="K178" s="42">
        <v>4154872378.4200001</v>
      </c>
      <c r="L178" s="42">
        <v>3711748576.54</v>
      </c>
      <c r="M178" s="42">
        <v>-5112151938.8699999</v>
      </c>
      <c r="N178" s="42">
        <v>1116524300.71</v>
      </c>
      <c r="O178" s="42">
        <v>385681218.13</v>
      </c>
      <c r="P178" s="42">
        <v>-595009828.28999996</v>
      </c>
      <c r="Q178" s="42">
        <v>1069944513.28</v>
      </c>
      <c r="R178" s="42">
        <v>-3131763541.77</v>
      </c>
    </row>
    <row r="179" spans="1:18" x14ac:dyDescent="0.25">
      <c r="A179" s="40" t="s">
        <v>515</v>
      </c>
      <c r="B179" s="40">
        <v>2008</v>
      </c>
      <c r="C179" s="73" t="s">
        <v>514</v>
      </c>
      <c r="D179" s="42">
        <v>0</v>
      </c>
      <c r="E179" s="42">
        <v>0</v>
      </c>
      <c r="F179" s="42">
        <v>0</v>
      </c>
      <c r="G179" s="42">
        <v>1056619202.79</v>
      </c>
      <c r="H179" s="42">
        <v>-19463400.129999999</v>
      </c>
      <c r="I179" s="42">
        <v>-385182253.31999999</v>
      </c>
      <c r="J179" s="42">
        <v>-655188816.99000001</v>
      </c>
      <c r="K179" s="42">
        <v>-91128885.700000003</v>
      </c>
      <c r="L179" s="42">
        <v>-199950972.88999999</v>
      </c>
      <c r="M179" s="42">
        <v>-21340952.420000002</v>
      </c>
      <c r="N179" s="42">
        <v>101092818.34999999</v>
      </c>
      <c r="O179" s="42">
        <v>311737051.61000001</v>
      </c>
      <c r="P179" s="42">
        <v>-141327403.86000001</v>
      </c>
      <c r="Q179" s="42">
        <v>105299656.64</v>
      </c>
      <c r="R179" s="42">
        <v>-61166044.079999998</v>
      </c>
    </row>
    <row r="180" spans="1:18" x14ac:dyDescent="0.25">
      <c r="A180" s="40" t="s">
        <v>230</v>
      </c>
      <c r="B180" s="40">
        <v>2008</v>
      </c>
      <c r="C180" s="73" t="s">
        <v>229</v>
      </c>
      <c r="D180" s="42">
        <v>0</v>
      </c>
      <c r="E180" s="42">
        <v>0</v>
      </c>
      <c r="F180" s="42">
        <v>0</v>
      </c>
      <c r="G180" s="42">
        <v>1158158193.25</v>
      </c>
      <c r="H180" s="42">
        <v>552474985.96000004</v>
      </c>
      <c r="I180" s="42">
        <v>856005191.25</v>
      </c>
      <c r="J180" s="42">
        <v>1124086189.8</v>
      </c>
      <c r="K180" s="42">
        <v>872610050.70000005</v>
      </c>
      <c r="L180" s="42">
        <v>1023143916.61</v>
      </c>
      <c r="M180" s="42">
        <v>1124585956.54</v>
      </c>
      <c r="N180" s="42">
        <v>697251475.52999997</v>
      </c>
      <c r="O180" s="42">
        <v>944965138.94000006</v>
      </c>
      <c r="P180" s="42">
        <v>916408158.10000002</v>
      </c>
      <c r="Q180" s="42">
        <v>1130277413.8499999</v>
      </c>
      <c r="R180" s="42">
        <v>1311114118.46</v>
      </c>
    </row>
    <row r="181" spans="1:18" x14ac:dyDescent="0.25">
      <c r="A181" s="40" t="s">
        <v>228</v>
      </c>
      <c r="B181" s="40">
        <v>2008</v>
      </c>
      <c r="C181" s="73" t="s">
        <v>227</v>
      </c>
      <c r="D181" s="42">
        <v>0</v>
      </c>
      <c r="E181" s="42">
        <v>0</v>
      </c>
      <c r="F181" s="42">
        <v>0</v>
      </c>
      <c r="G181" s="42">
        <v>1837360871</v>
      </c>
      <c r="H181" s="42">
        <v>2007065349</v>
      </c>
      <c r="I181" s="42">
        <v>1923896946.5</v>
      </c>
      <c r="J181" s="42">
        <v>2004169122.5</v>
      </c>
      <c r="K181" s="42">
        <v>1963228467.5</v>
      </c>
      <c r="L181" s="42">
        <v>1960568260.0999999</v>
      </c>
      <c r="M181" s="42">
        <v>1977658310</v>
      </c>
      <c r="N181" s="42">
        <v>2174092623.0999999</v>
      </c>
      <c r="O181" s="42">
        <v>2239595199.6999998</v>
      </c>
      <c r="P181" s="42">
        <v>2145058943.0999999</v>
      </c>
      <c r="Q181" s="42">
        <v>2167149099.5</v>
      </c>
      <c r="R181" s="42">
        <v>2155051467.8000002</v>
      </c>
    </row>
    <row r="182" spans="1:18" x14ac:dyDescent="0.25">
      <c r="A182" s="40" t="s">
        <v>226</v>
      </c>
      <c r="B182" s="40">
        <v>2008</v>
      </c>
      <c r="C182" s="73" t="s">
        <v>225</v>
      </c>
      <c r="D182" s="42">
        <v>0</v>
      </c>
      <c r="E182" s="42">
        <v>0</v>
      </c>
      <c r="F182" s="42">
        <v>0</v>
      </c>
      <c r="G182" s="42">
        <v>632973949.33000004</v>
      </c>
      <c r="H182" s="42">
        <v>635915171.57000005</v>
      </c>
      <c r="I182" s="42">
        <v>597035538.95000005</v>
      </c>
      <c r="J182" s="42">
        <v>606506028.38</v>
      </c>
      <c r="K182" s="42">
        <v>591516307.62</v>
      </c>
      <c r="L182" s="42">
        <v>599183653.32000005</v>
      </c>
      <c r="M182" s="42">
        <v>598029365.01999998</v>
      </c>
      <c r="N182" s="42">
        <v>667122269.92999995</v>
      </c>
      <c r="O182" s="42">
        <v>626539980.98000002</v>
      </c>
      <c r="P182" s="42">
        <v>640837345.84000003</v>
      </c>
      <c r="Q182" s="42">
        <v>628808751.38999999</v>
      </c>
      <c r="R182" s="42">
        <v>640843702.33000004</v>
      </c>
    </row>
    <row r="183" spans="1:18" x14ac:dyDescent="0.25">
      <c r="A183" s="40" t="s">
        <v>449</v>
      </c>
      <c r="B183" s="40">
        <v>2008</v>
      </c>
      <c r="C183" s="73" t="s">
        <v>448</v>
      </c>
      <c r="D183" s="42">
        <v>0</v>
      </c>
      <c r="E183" s="42">
        <v>0</v>
      </c>
      <c r="F183" s="42">
        <v>0</v>
      </c>
      <c r="G183" s="42">
        <v>8339005</v>
      </c>
      <c r="H183" s="42">
        <v>14577034.880000001</v>
      </c>
      <c r="I183" s="42">
        <v>0</v>
      </c>
      <c r="J183" s="42">
        <v>0</v>
      </c>
      <c r="K183" s="42">
        <v>0</v>
      </c>
      <c r="L183" s="42">
        <v>1562960.95</v>
      </c>
      <c r="M183" s="42">
        <v>0</v>
      </c>
      <c r="N183" s="42">
        <v>5051863.6100000003</v>
      </c>
      <c r="O183" s="42">
        <v>53117789.939999998</v>
      </c>
      <c r="P183" s="42">
        <v>9442749.8599999994</v>
      </c>
      <c r="Q183" s="42">
        <v>0</v>
      </c>
      <c r="R183" s="42">
        <v>6645678</v>
      </c>
    </row>
    <row r="184" spans="1:18" x14ac:dyDescent="0.25">
      <c r="A184" s="40" t="s">
        <v>215</v>
      </c>
      <c r="B184" s="40">
        <v>2008</v>
      </c>
      <c r="C184" s="73" t="s">
        <v>214</v>
      </c>
      <c r="D184" s="42">
        <v>0</v>
      </c>
      <c r="E184" s="42">
        <v>0</v>
      </c>
      <c r="F184" s="42">
        <v>0</v>
      </c>
      <c r="G184" s="42">
        <v>187500</v>
      </c>
      <c r="H184" s="42">
        <v>598860</v>
      </c>
      <c r="I184" s="42">
        <v>621774.5</v>
      </c>
      <c r="J184" s="42">
        <v>405650</v>
      </c>
      <c r="K184" s="42">
        <v>655737.5</v>
      </c>
      <c r="L184" s="42">
        <v>550270</v>
      </c>
      <c r="M184" s="42">
        <v>430000</v>
      </c>
      <c r="N184" s="42">
        <v>448512.5</v>
      </c>
      <c r="O184" s="42">
        <v>660000</v>
      </c>
      <c r="P184" s="42">
        <v>371400</v>
      </c>
      <c r="Q184" s="42">
        <v>150000</v>
      </c>
      <c r="R184" s="42">
        <v>100000</v>
      </c>
    </row>
    <row r="185" spans="1:18" x14ac:dyDescent="0.25">
      <c r="A185" s="40" t="s">
        <v>213</v>
      </c>
      <c r="B185" s="40">
        <v>2008</v>
      </c>
      <c r="C185" s="73" t="s">
        <v>212</v>
      </c>
      <c r="D185" s="42">
        <v>0</v>
      </c>
      <c r="E185" s="42">
        <v>0</v>
      </c>
      <c r="F185" s="42">
        <v>0</v>
      </c>
      <c r="G185" s="42">
        <v>6483662.3799999999</v>
      </c>
      <c r="H185" s="42">
        <v>4442521.0599999996</v>
      </c>
      <c r="I185" s="42">
        <v>6076891.1399999997</v>
      </c>
      <c r="J185" s="42">
        <v>5457489.5999999996</v>
      </c>
      <c r="K185" s="42">
        <v>4836996.26</v>
      </c>
      <c r="L185" s="42">
        <v>4451090.09</v>
      </c>
      <c r="M185" s="42">
        <v>4089209.96</v>
      </c>
      <c r="N185" s="42">
        <v>144261722.31</v>
      </c>
      <c r="O185" s="42">
        <v>5423679.7199999997</v>
      </c>
      <c r="P185" s="42">
        <v>5708856.0599999996</v>
      </c>
      <c r="Q185" s="42">
        <v>3689357.31</v>
      </c>
      <c r="R185" s="42">
        <v>20052040.129999999</v>
      </c>
    </row>
    <row r="186" spans="1:18" x14ac:dyDescent="0.25">
      <c r="A186" s="40" t="s">
        <v>433</v>
      </c>
      <c r="B186" s="40">
        <v>2008</v>
      </c>
      <c r="C186" s="73" t="s">
        <v>432</v>
      </c>
      <c r="D186" s="42">
        <v>0</v>
      </c>
      <c r="E186" s="42">
        <v>0</v>
      </c>
      <c r="F186" s="42">
        <v>0</v>
      </c>
      <c r="G186" s="42">
        <v>126311349.61</v>
      </c>
      <c r="H186" s="42">
        <v>34900937.619999997</v>
      </c>
      <c r="I186" s="42">
        <v>119394025.87</v>
      </c>
      <c r="J186" s="42">
        <v>214184700.81</v>
      </c>
      <c r="K186" s="42">
        <v>102638700.06999999</v>
      </c>
      <c r="L186" s="42">
        <v>289180617.63</v>
      </c>
      <c r="M186" s="42">
        <v>208703701.91999999</v>
      </c>
      <c r="N186" s="42">
        <v>122972196.58</v>
      </c>
      <c r="O186" s="42">
        <v>325081984.54000002</v>
      </c>
      <c r="P186" s="42">
        <v>261743480.80000001</v>
      </c>
      <c r="Q186" s="42">
        <v>152225139.06</v>
      </c>
      <c r="R186" s="42">
        <v>595654805.63</v>
      </c>
    </row>
    <row r="187" spans="1:18" x14ac:dyDescent="0.25">
      <c r="A187" s="40" t="s">
        <v>407</v>
      </c>
      <c r="B187" s="40">
        <v>2008</v>
      </c>
      <c r="C187" s="73" t="s">
        <v>406</v>
      </c>
      <c r="D187" s="42">
        <v>0</v>
      </c>
      <c r="E187" s="42">
        <v>0</v>
      </c>
      <c r="F187" s="42">
        <v>0</v>
      </c>
      <c r="G187" s="42">
        <v>0</v>
      </c>
      <c r="H187" s="42">
        <v>2537242.81</v>
      </c>
      <c r="I187" s="42">
        <v>0</v>
      </c>
      <c r="J187" s="42">
        <v>0</v>
      </c>
      <c r="K187" s="42">
        <v>0</v>
      </c>
      <c r="L187" s="42">
        <v>3643066.4</v>
      </c>
      <c r="M187" s="42">
        <v>0</v>
      </c>
      <c r="N187" s="42">
        <v>5516</v>
      </c>
      <c r="O187" s="42">
        <v>0</v>
      </c>
      <c r="P187" s="42">
        <v>0</v>
      </c>
      <c r="Q187" s="42">
        <v>0</v>
      </c>
      <c r="R187" s="42">
        <v>0</v>
      </c>
    </row>
    <row r="188" spans="1:18" x14ac:dyDescent="0.25">
      <c r="A188" s="40" t="s">
        <v>374</v>
      </c>
      <c r="B188" s="40">
        <v>2008</v>
      </c>
      <c r="C188" s="73" t="s">
        <v>405</v>
      </c>
      <c r="D188" s="42">
        <v>0</v>
      </c>
      <c r="E188" s="42">
        <v>0</v>
      </c>
      <c r="F188" s="42">
        <v>0</v>
      </c>
      <c r="G188" s="42">
        <v>258402.61</v>
      </c>
      <c r="H188" s="42">
        <v>3133298.41</v>
      </c>
      <c r="I188" s="42">
        <v>38970</v>
      </c>
      <c r="J188" s="42">
        <v>10150</v>
      </c>
      <c r="K188" s="42">
        <v>12200</v>
      </c>
      <c r="L188" s="42">
        <v>2179579</v>
      </c>
      <c r="M188" s="42">
        <v>23000</v>
      </c>
      <c r="N188" s="42">
        <v>1091261.8999999999</v>
      </c>
      <c r="O188" s="42">
        <v>46100</v>
      </c>
      <c r="P188" s="42">
        <v>1193566.5</v>
      </c>
      <c r="Q188" s="42">
        <v>36600</v>
      </c>
      <c r="R188" s="42">
        <v>333005601.45999998</v>
      </c>
    </row>
    <row r="189" spans="1:18" x14ac:dyDescent="0.25">
      <c r="A189" s="40" t="s">
        <v>203</v>
      </c>
      <c r="B189" s="40">
        <v>2008</v>
      </c>
      <c r="C189" s="73" t="s">
        <v>202</v>
      </c>
      <c r="D189" s="42">
        <v>0</v>
      </c>
      <c r="E189" s="42">
        <v>0</v>
      </c>
      <c r="F189" s="42">
        <v>0</v>
      </c>
      <c r="G189" s="42">
        <v>931847205.87</v>
      </c>
      <c r="H189" s="42">
        <v>229519999.99000001</v>
      </c>
      <c r="I189" s="42">
        <v>50416555.869999997</v>
      </c>
      <c r="J189" s="42">
        <v>38004337.170000002</v>
      </c>
      <c r="K189" s="42">
        <v>23569299.98</v>
      </c>
      <c r="L189" s="42">
        <v>23437539.039999999</v>
      </c>
      <c r="M189" s="42">
        <v>16209220.75</v>
      </c>
      <c r="N189" s="42">
        <v>15333610.65</v>
      </c>
      <c r="O189" s="42">
        <v>16493711.32</v>
      </c>
      <c r="P189" s="42">
        <v>10801106.279999999</v>
      </c>
      <c r="Q189" s="42">
        <v>9804248.8499999996</v>
      </c>
      <c r="R189" s="42">
        <v>138547238.09</v>
      </c>
    </row>
    <row r="190" spans="1:18" x14ac:dyDescent="0.25">
      <c r="A190" s="40" t="s">
        <v>200</v>
      </c>
      <c r="B190" s="40">
        <v>2008</v>
      </c>
      <c r="C190" s="73" t="s">
        <v>199</v>
      </c>
      <c r="D190" s="42">
        <v>0</v>
      </c>
      <c r="E190" s="42">
        <v>0</v>
      </c>
      <c r="F190" s="42">
        <v>0</v>
      </c>
      <c r="G190" s="42">
        <v>4500386.76</v>
      </c>
      <c r="H190" s="42">
        <v>4121444</v>
      </c>
      <c r="I190" s="42">
        <v>3795121.84</v>
      </c>
      <c r="J190" s="42">
        <v>4424921.9000000004</v>
      </c>
      <c r="K190" s="42">
        <v>2467496</v>
      </c>
      <c r="L190" s="42">
        <v>2285227.2599999998</v>
      </c>
      <c r="M190" s="42">
        <v>3716679.78</v>
      </c>
      <c r="N190" s="42">
        <v>2707282.66</v>
      </c>
      <c r="O190" s="42">
        <v>2500521.6</v>
      </c>
      <c r="P190" s="42">
        <v>3747376.6</v>
      </c>
      <c r="Q190" s="42">
        <v>3263151.4</v>
      </c>
      <c r="R190" s="42">
        <v>2700056.34</v>
      </c>
    </row>
    <row r="191" spans="1:18" x14ac:dyDescent="0.25">
      <c r="A191" s="40" t="s">
        <v>198</v>
      </c>
      <c r="B191" s="40">
        <v>2008</v>
      </c>
      <c r="C191" s="73" t="s">
        <v>197</v>
      </c>
      <c r="D191" s="42">
        <v>0</v>
      </c>
      <c r="E191" s="42">
        <v>0</v>
      </c>
      <c r="F191" s="42">
        <v>0</v>
      </c>
      <c r="G191" s="42">
        <v>61070</v>
      </c>
      <c r="H191" s="42">
        <v>113350</v>
      </c>
      <c r="I191" s="42">
        <v>195240</v>
      </c>
      <c r="J191" s="42">
        <v>720740.5</v>
      </c>
      <c r="K191" s="42">
        <v>219300</v>
      </c>
      <c r="L191" s="42">
        <v>83290</v>
      </c>
      <c r="M191" s="42">
        <v>153410</v>
      </c>
      <c r="N191" s="42">
        <v>157890</v>
      </c>
      <c r="O191" s="42">
        <v>105150</v>
      </c>
      <c r="P191" s="42">
        <v>1548646</v>
      </c>
      <c r="Q191" s="42">
        <v>142190</v>
      </c>
      <c r="R191" s="42">
        <v>146200</v>
      </c>
    </row>
    <row r="192" spans="1:18" x14ac:dyDescent="0.25">
      <c r="A192" s="40" t="s">
        <v>196</v>
      </c>
      <c r="B192" s="40">
        <v>2008</v>
      </c>
      <c r="C192" s="73" t="s">
        <v>195</v>
      </c>
      <c r="D192" s="42">
        <v>0</v>
      </c>
      <c r="E192" s="42">
        <v>0</v>
      </c>
      <c r="F192" s="42">
        <v>0</v>
      </c>
      <c r="G192" s="42">
        <v>9380558.0299999993</v>
      </c>
      <c r="H192" s="42">
        <v>9024124.5</v>
      </c>
      <c r="I192" s="42">
        <v>9628567.8800000008</v>
      </c>
      <c r="J192" s="42">
        <v>10073970</v>
      </c>
      <c r="K192" s="42">
        <v>8405732.1999999993</v>
      </c>
      <c r="L192" s="42">
        <v>7146397</v>
      </c>
      <c r="M192" s="42">
        <v>8757046.5</v>
      </c>
      <c r="N192" s="42">
        <v>7724302.2199999997</v>
      </c>
      <c r="O192" s="42">
        <v>7344054.6600000001</v>
      </c>
      <c r="P192" s="42">
        <v>8317537.0800000001</v>
      </c>
      <c r="Q192" s="42">
        <v>7619015.5300000003</v>
      </c>
      <c r="R192" s="42">
        <v>10752165</v>
      </c>
    </row>
    <row r="193" spans="1:18" x14ac:dyDescent="0.25">
      <c r="A193" s="40" t="s">
        <v>194</v>
      </c>
      <c r="B193" s="40">
        <v>2008</v>
      </c>
      <c r="C193" s="73" t="s">
        <v>193</v>
      </c>
      <c r="D193" s="42">
        <v>0</v>
      </c>
      <c r="E193" s="42">
        <v>0</v>
      </c>
      <c r="F193" s="42">
        <v>0</v>
      </c>
      <c r="G193" s="42">
        <v>2374900</v>
      </c>
      <c r="H193" s="42">
        <v>1890026</v>
      </c>
      <c r="I193" s="42">
        <v>2727071</v>
      </c>
      <c r="J193" s="42">
        <v>2125950</v>
      </c>
      <c r="K193" s="42">
        <v>760970</v>
      </c>
      <c r="L193" s="42">
        <v>1159866</v>
      </c>
      <c r="M193" s="42">
        <v>2734660</v>
      </c>
      <c r="N193" s="42">
        <v>1921842.6</v>
      </c>
      <c r="O193" s="42">
        <v>523380</v>
      </c>
      <c r="P193" s="42">
        <v>1139230</v>
      </c>
      <c r="Q193" s="42">
        <v>1616015.06</v>
      </c>
      <c r="R193" s="42">
        <v>4651660</v>
      </c>
    </row>
    <row r="194" spans="1:18" x14ac:dyDescent="0.25">
      <c r="A194" s="40" t="s">
        <v>187</v>
      </c>
      <c r="B194" s="40">
        <v>2008</v>
      </c>
      <c r="C194" s="73" t="s">
        <v>186</v>
      </c>
      <c r="D194" s="42">
        <v>0</v>
      </c>
      <c r="E194" s="42">
        <v>0</v>
      </c>
      <c r="F194" s="42">
        <v>0</v>
      </c>
      <c r="G194" s="42">
        <v>3062000</v>
      </c>
      <c r="H194" s="42">
        <v>2821000</v>
      </c>
      <c r="I194" s="42">
        <v>12395500</v>
      </c>
      <c r="J194" s="42">
        <v>6127075</v>
      </c>
      <c r="K194" s="42">
        <v>1968000</v>
      </c>
      <c r="L194" s="42">
        <v>3241550</v>
      </c>
      <c r="M194" s="42">
        <v>1583880</v>
      </c>
      <c r="N194" s="42">
        <v>3780940</v>
      </c>
      <c r="O194" s="42">
        <v>2104000</v>
      </c>
      <c r="P194" s="42">
        <v>2199000</v>
      </c>
      <c r="Q194" s="42">
        <v>500</v>
      </c>
      <c r="R194" s="42">
        <v>715850</v>
      </c>
    </row>
    <row r="195" spans="1:18" x14ac:dyDescent="0.25">
      <c r="A195" s="40" t="s">
        <v>185</v>
      </c>
      <c r="B195" s="40">
        <v>2008</v>
      </c>
      <c r="C195" s="73" t="s">
        <v>184</v>
      </c>
      <c r="D195" s="42">
        <v>0</v>
      </c>
      <c r="E195" s="42">
        <v>0</v>
      </c>
      <c r="F195" s="42">
        <v>0</v>
      </c>
      <c r="G195" s="42">
        <v>35843472.5</v>
      </c>
      <c r="H195" s="42">
        <v>3327750</v>
      </c>
      <c r="I195" s="42">
        <v>4998575</v>
      </c>
      <c r="J195" s="42">
        <v>4988037.5</v>
      </c>
      <c r="K195" s="42">
        <v>2337715</v>
      </c>
      <c r="L195" s="42">
        <v>4444615</v>
      </c>
      <c r="M195" s="42">
        <v>8735625</v>
      </c>
      <c r="N195" s="42">
        <v>1010000</v>
      </c>
      <c r="O195" s="42">
        <v>462410.34</v>
      </c>
      <c r="P195" s="42">
        <v>3600000</v>
      </c>
      <c r="Q195" s="42">
        <v>7041812.5</v>
      </c>
      <c r="R195" s="42">
        <v>2074287.5</v>
      </c>
    </row>
    <row r="196" spans="1:18" x14ac:dyDescent="0.25">
      <c r="A196" s="40" t="s">
        <v>853</v>
      </c>
      <c r="B196" s="40">
        <v>2008</v>
      </c>
      <c r="C196" s="73" t="s">
        <v>854</v>
      </c>
      <c r="D196" s="42">
        <v>0</v>
      </c>
      <c r="E196" s="42">
        <v>0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2">
        <v>0</v>
      </c>
      <c r="L196" s="42">
        <v>0</v>
      </c>
      <c r="M196" s="42">
        <v>0</v>
      </c>
      <c r="N196" s="42">
        <v>0</v>
      </c>
      <c r="O196" s="42">
        <v>0</v>
      </c>
      <c r="P196" s="42">
        <v>0</v>
      </c>
      <c r="Q196" s="42">
        <v>31659230</v>
      </c>
      <c r="R196" s="42">
        <v>0</v>
      </c>
    </row>
    <row r="197" spans="1:18" x14ac:dyDescent="0.25">
      <c r="A197" s="40" t="s">
        <v>487</v>
      </c>
      <c r="B197" s="40">
        <v>2008</v>
      </c>
      <c r="C197" s="73" t="s">
        <v>486</v>
      </c>
      <c r="D197" s="42">
        <v>0</v>
      </c>
      <c r="E197" s="42">
        <v>0</v>
      </c>
      <c r="F197" s="42">
        <v>0</v>
      </c>
      <c r="G197" s="42">
        <v>0</v>
      </c>
      <c r="H197" s="42">
        <v>0</v>
      </c>
      <c r="I197" s="42">
        <v>0</v>
      </c>
      <c r="J197" s="42">
        <v>0</v>
      </c>
      <c r="K197" s="42">
        <v>14573032</v>
      </c>
      <c r="L197" s="42">
        <v>0</v>
      </c>
      <c r="M197" s="42">
        <v>0</v>
      </c>
      <c r="N197" s="42">
        <v>0</v>
      </c>
      <c r="O197" s="42">
        <v>0</v>
      </c>
      <c r="P197" s="42">
        <v>0</v>
      </c>
      <c r="Q197" s="42">
        <v>0</v>
      </c>
      <c r="R197" s="42">
        <v>0</v>
      </c>
    </row>
    <row r="198" spans="1:18" x14ac:dyDescent="0.25">
      <c r="A198" s="40" t="s">
        <v>855</v>
      </c>
      <c r="B198" s="40">
        <v>2008</v>
      </c>
      <c r="C198" s="73" t="s">
        <v>512</v>
      </c>
      <c r="D198" s="42">
        <v>0</v>
      </c>
      <c r="E198" s="42">
        <v>0</v>
      </c>
      <c r="F198" s="42">
        <v>0</v>
      </c>
      <c r="G198" s="42">
        <v>0</v>
      </c>
      <c r="H198" s="42">
        <v>0</v>
      </c>
      <c r="I198" s="42">
        <v>0</v>
      </c>
      <c r="J198" s="42">
        <v>0</v>
      </c>
      <c r="K198" s="42">
        <v>0</v>
      </c>
      <c r="L198" s="42">
        <v>0</v>
      </c>
      <c r="M198" s="42">
        <v>0</v>
      </c>
      <c r="N198" s="42">
        <v>11551077</v>
      </c>
      <c r="O198" s="42">
        <v>0</v>
      </c>
      <c r="P198" s="42">
        <v>0</v>
      </c>
      <c r="Q198" s="42">
        <v>3920000</v>
      </c>
      <c r="R198" s="42">
        <v>0</v>
      </c>
    </row>
    <row r="199" spans="1:18" x14ac:dyDescent="0.25">
      <c r="A199" s="40" t="s">
        <v>511</v>
      </c>
      <c r="B199" s="40">
        <v>2008</v>
      </c>
      <c r="C199" s="73" t="s">
        <v>832</v>
      </c>
      <c r="D199" s="42">
        <v>0</v>
      </c>
      <c r="E199" s="42">
        <v>0</v>
      </c>
      <c r="F199" s="42">
        <v>0</v>
      </c>
      <c r="G199" s="42">
        <v>0</v>
      </c>
      <c r="H199" s="42">
        <v>0</v>
      </c>
      <c r="I199" s="42">
        <v>0</v>
      </c>
      <c r="J199" s="42">
        <v>2250000</v>
      </c>
      <c r="K199" s="42">
        <v>0</v>
      </c>
      <c r="L199" s="42">
        <v>1595549.1</v>
      </c>
      <c r="M199" s="42">
        <v>0</v>
      </c>
      <c r="N199" s="42">
        <v>0</v>
      </c>
      <c r="O199" s="42">
        <v>0</v>
      </c>
      <c r="P199" s="42">
        <v>2250000</v>
      </c>
      <c r="Q199" s="42">
        <v>0</v>
      </c>
      <c r="R199" s="42">
        <v>0</v>
      </c>
    </row>
    <row r="200" spans="1:18" x14ac:dyDescent="0.25">
      <c r="A200" s="40" t="s">
        <v>176</v>
      </c>
      <c r="B200" s="40">
        <v>2008</v>
      </c>
      <c r="C200" s="73" t="s">
        <v>175</v>
      </c>
      <c r="D200" s="42">
        <v>0</v>
      </c>
      <c r="E200" s="42">
        <v>0</v>
      </c>
      <c r="F200" s="42">
        <v>0</v>
      </c>
      <c r="G200" s="42">
        <v>681231.5</v>
      </c>
      <c r="H200" s="42">
        <v>4984257.82</v>
      </c>
      <c r="I200" s="42">
        <v>16961795.41</v>
      </c>
      <c r="J200" s="42">
        <v>5142841.09</v>
      </c>
      <c r="K200" s="42">
        <v>6852834.1699999999</v>
      </c>
      <c r="L200" s="42">
        <v>64333818.960000001</v>
      </c>
      <c r="M200" s="42">
        <v>5659241.8099999996</v>
      </c>
      <c r="N200" s="42">
        <v>8153713.04</v>
      </c>
      <c r="O200" s="42">
        <v>10056119.380000001</v>
      </c>
      <c r="P200" s="42">
        <v>4761889.12</v>
      </c>
      <c r="Q200" s="42">
        <v>13892910</v>
      </c>
      <c r="R200" s="42">
        <v>7906566.9000000004</v>
      </c>
    </row>
    <row r="201" spans="1:18" x14ac:dyDescent="0.25">
      <c r="A201" s="40" t="s">
        <v>856</v>
      </c>
      <c r="B201" s="40">
        <v>2008</v>
      </c>
      <c r="C201" s="73" t="s">
        <v>857</v>
      </c>
      <c r="D201" s="42">
        <v>0</v>
      </c>
      <c r="E201" s="42">
        <v>0</v>
      </c>
      <c r="F201" s="42">
        <v>0</v>
      </c>
      <c r="G201" s="42">
        <v>0</v>
      </c>
      <c r="H201" s="42">
        <v>0</v>
      </c>
      <c r="I201" s="42">
        <v>0</v>
      </c>
      <c r="J201" s="42">
        <v>46770</v>
      </c>
      <c r="K201" s="42">
        <v>0</v>
      </c>
      <c r="L201" s="42">
        <v>0</v>
      </c>
      <c r="M201" s="42">
        <v>406501795.82999998</v>
      </c>
      <c r="N201" s="42">
        <v>0</v>
      </c>
      <c r="O201" s="42">
        <v>0</v>
      </c>
      <c r="P201" s="42">
        <v>0</v>
      </c>
      <c r="Q201" s="42">
        <v>0</v>
      </c>
      <c r="R201" s="42">
        <v>85501111</v>
      </c>
    </row>
    <row r="202" spans="1:18" x14ac:dyDescent="0.25">
      <c r="A202" s="40" t="s">
        <v>172</v>
      </c>
      <c r="B202" s="40">
        <v>2008</v>
      </c>
      <c r="C202" s="73" t="s">
        <v>171</v>
      </c>
      <c r="D202" s="42">
        <v>0</v>
      </c>
      <c r="E202" s="42">
        <v>0</v>
      </c>
      <c r="F202" s="42">
        <v>0</v>
      </c>
      <c r="G202" s="42">
        <v>315225170.23000002</v>
      </c>
      <c r="H202" s="42">
        <v>5443166.8099999996</v>
      </c>
      <c r="I202" s="42">
        <v>392779.75</v>
      </c>
      <c r="J202" s="42">
        <v>1327958.8</v>
      </c>
      <c r="K202" s="42">
        <v>1411240</v>
      </c>
      <c r="L202" s="42">
        <v>13791820.539999999</v>
      </c>
      <c r="M202" s="42">
        <v>2893912.91</v>
      </c>
      <c r="N202" s="42">
        <v>3092729.29</v>
      </c>
      <c r="O202" s="42">
        <v>17560986.02</v>
      </c>
      <c r="P202" s="42">
        <v>2940937.17</v>
      </c>
      <c r="Q202" s="42">
        <v>28507074.800000001</v>
      </c>
      <c r="R202" s="42">
        <v>8646873.5899999999</v>
      </c>
    </row>
    <row r="203" spans="1:18" x14ac:dyDescent="0.25">
      <c r="A203" s="40" t="s">
        <v>170</v>
      </c>
      <c r="B203" s="40">
        <v>2008</v>
      </c>
      <c r="C203" s="73" t="s">
        <v>168</v>
      </c>
      <c r="D203" s="42">
        <v>0</v>
      </c>
      <c r="E203" s="42">
        <v>0</v>
      </c>
      <c r="F203" s="42">
        <v>0</v>
      </c>
      <c r="G203" s="42">
        <v>6806356.3399999999</v>
      </c>
      <c r="H203" s="42">
        <v>46452333.810000002</v>
      </c>
      <c r="I203" s="42">
        <v>69709009.459999993</v>
      </c>
      <c r="J203" s="42">
        <v>14395545.140000001</v>
      </c>
      <c r="K203" s="42">
        <v>10092732.939999999</v>
      </c>
      <c r="L203" s="42">
        <v>14461408.720000001</v>
      </c>
      <c r="M203" s="42">
        <v>26427104.690000001</v>
      </c>
      <c r="N203" s="42">
        <v>10350771.970000001</v>
      </c>
      <c r="O203" s="42">
        <v>9436463.4800000004</v>
      </c>
      <c r="P203" s="42">
        <v>11166930.74</v>
      </c>
      <c r="Q203" s="42">
        <v>5848263.6900000004</v>
      </c>
      <c r="R203" s="42">
        <v>16865471.32</v>
      </c>
    </row>
    <row r="204" spans="1:18" x14ac:dyDescent="0.25">
      <c r="A204" s="40" t="s">
        <v>167</v>
      </c>
      <c r="B204" s="40">
        <v>2008</v>
      </c>
      <c r="C204" s="73" t="s">
        <v>166</v>
      </c>
      <c r="D204" s="42">
        <v>0</v>
      </c>
      <c r="E204" s="42">
        <v>0</v>
      </c>
      <c r="F204" s="42">
        <v>0</v>
      </c>
      <c r="G204" s="42">
        <v>179091612.72999999</v>
      </c>
      <c r="H204" s="42">
        <v>174665534.08000001</v>
      </c>
      <c r="I204" s="42">
        <v>222011860.34999999</v>
      </c>
      <c r="J204" s="42">
        <v>322720534.13</v>
      </c>
      <c r="K204" s="42">
        <v>259790301.49000001</v>
      </c>
      <c r="L204" s="42">
        <v>461242727.75999999</v>
      </c>
      <c r="M204" s="42">
        <v>236326981.87</v>
      </c>
      <c r="N204" s="42">
        <v>290824596.58999997</v>
      </c>
      <c r="O204" s="42">
        <v>334158039.36000001</v>
      </c>
      <c r="P204" s="42">
        <v>307722917.94</v>
      </c>
      <c r="Q204" s="42">
        <v>206294269.03</v>
      </c>
      <c r="R204" s="42">
        <v>358856754.26999998</v>
      </c>
    </row>
    <row r="205" spans="1:18" x14ac:dyDescent="0.25">
      <c r="A205" s="40" t="s">
        <v>165</v>
      </c>
      <c r="B205" s="40">
        <v>2008</v>
      </c>
      <c r="C205" s="73" t="s">
        <v>164</v>
      </c>
      <c r="D205" s="42">
        <v>0</v>
      </c>
      <c r="E205" s="42">
        <v>0</v>
      </c>
      <c r="F205" s="42">
        <v>0</v>
      </c>
      <c r="G205" s="42">
        <v>1838968</v>
      </c>
      <c r="H205" s="42">
        <v>54866144.75</v>
      </c>
      <c r="I205" s="42">
        <v>1008025</v>
      </c>
      <c r="J205" s="42">
        <v>4226335.3</v>
      </c>
      <c r="K205" s="42">
        <v>895319.05</v>
      </c>
      <c r="L205" s="42">
        <v>-78183.25</v>
      </c>
      <c r="M205" s="42">
        <v>2503100.8199999998</v>
      </c>
      <c r="N205" s="42">
        <v>4357668.26</v>
      </c>
      <c r="O205" s="42">
        <v>11603787.74</v>
      </c>
      <c r="P205" s="42">
        <v>713263.75</v>
      </c>
      <c r="Q205" s="42">
        <v>2801465.63</v>
      </c>
      <c r="R205" s="42">
        <v>2587029.15</v>
      </c>
    </row>
    <row r="206" spans="1:18" x14ac:dyDescent="0.25">
      <c r="A206" s="40" t="s">
        <v>445</v>
      </c>
      <c r="B206" s="40">
        <v>2008</v>
      </c>
      <c r="C206" s="73" t="s">
        <v>444</v>
      </c>
      <c r="D206" s="42">
        <v>0</v>
      </c>
      <c r="E206" s="42">
        <v>0</v>
      </c>
      <c r="F206" s="42">
        <v>0</v>
      </c>
      <c r="G206" s="42">
        <v>0</v>
      </c>
      <c r="H206" s="42">
        <v>0</v>
      </c>
      <c r="I206" s="42">
        <v>0</v>
      </c>
      <c r="J206" s="42">
        <v>0</v>
      </c>
      <c r="K206" s="42">
        <v>2871000</v>
      </c>
      <c r="L206" s="42">
        <v>2871000</v>
      </c>
      <c r="M206" s="42">
        <v>2871000</v>
      </c>
      <c r="N206" s="42">
        <v>29719000</v>
      </c>
      <c r="O206" s="42">
        <v>6227000</v>
      </c>
      <c r="P206" s="42">
        <v>2871000</v>
      </c>
      <c r="Q206" s="42">
        <v>2871000</v>
      </c>
      <c r="R206" s="42">
        <v>2871004.5</v>
      </c>
    </row>
    <row r="207" spans="1:18" x14ac:dyDescent="0.25">
      <c r="A207" s="40" t="s">
        <v>163</v>
      </c>
      <c r="B207" s="40">
        <v>2008</v>
      </c>
      <c r="C207" s="73" t="s">
        <v>162</v>
      </c>
      <c r="D207" s="42">
        <v>0</v>
      </c>
      <c r="E207" s="42">
        <v>0</v>
      </c>
      <c r="F207" s="42">
        <v>0</v>
      </c>
      <c r="G207" s="42">
        <v>28633730.109999999</v>
      </c>
      <c r="H207" s="42">
        <v>2423220</v>
      </c>
      <c r="I207" s="42">
        <v>2871020</v>
      </c>
      <c r="J207" s="42">
        <v>0</v>
      </c>
      <c r="K207" s="42">
        <v>0</v>
      </c>
      <c r="L207" s="42">
        <v>2583500</v>
      </c>
      <c r="M207" s="42">
        <v>3453000</v>
      </c>
      <c r="N207" s="42">
        <v>5618250</v>
      </c>
      <c r="O207" s="42">
        <v>11066018.91</v>
      </c>
      <c r="P207" s="42">
        <v>2333000</v>
      </c>
      <c r="Q207" s="42">
        <v>0</v>
      </c>
      <c r="R207" s="42">
        <v>4167982.5</v>
      </c>
    </row>
    <row r="208" spans="1:18" x14ac:dyDescent="0.25">
      <c r="A208" s="40" t="s">
        <v>161</v>
      </c>
      <c r="B208" s="40">
        <v>2008</v>
      </c>
      <c r="C208" s="73" t="s">
        <v>160</v>
      </c>
      <c r="D208" s="42">
        <v>0</v>
      </c>
      <c r="E208" s="42">
        <v>0</v>
      </c>
      <c r="F208" s="42">
        <v>0</v>
      </c>
      <c r="G208" s="42">
        <v>0</v>
      </c>
      <c r="H208" s="42">
        <v>0</v>
      </c>
      <c r="I208" s="42">
        <v>369235.54</v>
      </c>
      <c r="J208" s="42">
        <v>37500</v>
      </c>
      <c r="K208" s="42">
        <v>0</v>
      </c>
      <c r="L208" s="42">
        <v>58810.76</v>
      </c>
      <c r="M208" s="42">
        <v>37443.379999999997</v>
      </c>
      <c r="N208" s="42">
        <v>30915795.219999999</v>
      </c>
      <c r="O208" s="42">
        <v>7607560.7800000003</v>
      </c>
      <c r="P208" s="42">
        <v>-6184937.8200000003</v>
      </c>
      <c r="Q208" s="42">
        <v>21667309.300000001</v>
      </c>
      <c r="R208" s="42">
        <v>18822237.850000001</v>
      </c>
    </row>
    <row r="209" spans="1:18" x14ac:dyDescent="0.25">
      <c r="A209" s="40" t="s">
        <v>150</v>
      </c>
      <c r="B209" s="40">
        <v>2008</v>
      </c>
      <c r="C209" s="73" t="s">
        <v>149</v>
      </c>
      <c r="D209" s="42">
        <v>0</v>
      </c>
      <c r="E209" s="42">
        <v>0</v>
      </c>
      <c r="F209" s="42">
        <v>0</v>
      </c>
      <c r="G209" s="42">
        <v>20597359.899999999</v>
      </c>
      <c r="H209" s="42">
        <v>7440683.2000000002</v>
      </c>
      <c r="I209" s="42">
        <v>2645903.2799999998</v>
      </c>
      <c r="J209" s="42">
        <v>1463234.2</v>
      </c>
      <c r="K209" s="42">
        <v>123983.07</v>
      </c>
      <c r="L209" s="42">
        <v>15848784.550000001</v>
      </c>
      <c r="M209" s="42">
        <v>4270126.6399999997</v>
      </c>
      <c r="N209" s="42">
        <v>289400</v>
      </c>
      <c r="O209" s="42">
        <v>18734528.420000002</v>
      </c>
      <c r="P209" s="42">
        <v>5557256.9100000001</v>
      </c>
      <c r="Q209" s="42">
        <v>663950.61</v>
      </c>
      <c r="R209" s="42">
        <v>100000</v>
      </c>
    </row>
    <row r="210" spans="1:18" x14ac:dyDescent="0.25">
      <c r="A210" s="40" t="s">
        <v>144</v>
      </c>
      <c r="B210" s="40">
        <v>2008</v>
      </c>
      <c r="C210" s="73" t="s">
        <v>143</v>
      </c>
      <c r="D210" s="42">
        <v>0</v>
      </c>
      <c r="E210" s="42">
        <v>0</v>
      </c>
      <c r="F210" s="42">
        <v>0</v>
      </c>
      <c r="G210" s="42">
        <v>30436001.82</v>
      </c>
      <c r="H210" s="42">
        <v>29592171.18</v>
      </c>
      <c r="I210" s="42">
        <v>42977603.159999996</v>
      </c>
      <c r="J210" s="42">
        <v>42029300.030000001</v>
      </c>
      <c r="K210" s="42">
        <v>-145744492.62</v>
      </c>
      <c r="L210" s="42">
        <v>1562496.66</v>
      </c>
      <c r="M210" s="42">
        <v>0</v>
      </c>
      <c r="N210" s="42">
        <v>0</v>
      </c>
      <c r="O210" s="42">
        <v>1387543.68</v>
      </c>
      <c r="P210" s="42">
        <v>0</v>
      </c>
      <c r="Q210" s="42">
        <v>0</v>
      </c>
      <c r="R210" s="42">
        <v>-2240623.91</v>
      </c>
    </row>
    <row r="211" spans="1:18" x14ac:dyDescent="0.25">
      <c r="A211" s="40" t="s">
        <v>858</v>
      </c>
      <c r="B211" s="40">
        <v>2008</v>
      </c>
      <c r="C211" s="73" t="s">
        <v>859</v>
      </c>
      <c r="D211" s="42">
        <v>0</v>
      </c>
      <c r="E211" s="42">
        <v>0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2">
        <v>171193059.24000001</v>
      </c>
      <c r="L211" s="42">
        <v>26420217.800000001</v>
      </c>
      <c r="M211" s="42">
        <v>28655551.539999999</v>
      </c>
      <c r="N211" s="42">
        <v>35892981.390000001</v>
      </c>
      <c r="O211" s="42">
        <v>115368399.59999999</v>
      </c>
      <c r="P211" s="42">
        <v>39687221.789999999</v>
      </c>
      <c r="Q211" s="42">
        <v>67695510.969999999</v>
      </c>
      <c r="R211" s="42">
        <v>-40279281.549999997</v>
      </c>
    </row>
    <row r="212" spans="1:18" x14ac:dyDescent="0.25">
      <c r="A212" s="40" t="s">
        <v>142</v>
      </c>
      <c r="B212" s="40">
        <v>2008</v>
      </c>
      <c r="C212" s="73" t="s">
        <v>141</v>
      </c>
      <c r="D212" s="42">
        <v>0</v>
      </c>
      <c r="E212" s="42">
        <v>0</v>
      </c>
      <c r="F212" s="42">
        <v>0</v>
      </c>
      <c r="G212" s="42">
        <v>17107655.27</v>
      </c>
      <c r="H212" s="42">
        <v>74279205.620000005</v>
      </c>
      <c r="I212" s="42">
        <v>-3673471.15</v>
      </c>
      <c r="J212" s="42">
        <v>42906244.600000001</v>
      </c>
      <c r="K212" s="42">
        <v>18292380.530000001</v>
      </c>
      <c r="L212" s="42">
        <v>135685737.03</v>
      </c>
      <c r="M212" s="42">
        <v>24209246.77</v>
      </c>
      <c r="N212" s="42">
        <v>23683976.219999999</v>
      </c>
      <c r="O212" s="42">
        <v>91326804.909999996</v>
      </c>
      <c r="P212" s="42">
        <v>92495804.319999993</v>
      </c>
      <c r="Q212" s="42">
        <v>17614257.370000001</v>
      </c>
      <c r="R212" s="42">
        <v>262920683.97999999</v>
      </c>
    </row>
    <row r="213" spans="1:18" x14ac:dyDescent="0.25">
      <c r="A213" s="40" t="s">
        <v>140</v>
      </c>
      <c r="B213" s="40">
        <v>2008</v>
      </c>
      <c r="C213" s="73" t="s">
        <v>139</v>
      </c>
      <c r="D213" s="42">
        <v>0</v>
      </c>
      <c r="E213" s="42">
        <v>0</v>
      </c>
      <c r="F213" s="42">
        <v>0</v>
      </c>
      <c r="G213" s="42">
        <v>0</v>
      </c>
      <c r="H213" s="42">
        <v>0</v>
      </c>
      <c r="I213" s="42">
        <v>1668870703</v>
      </c>
      <c r="J213" s="42">
        <v>0</v>
      </c>
      <c r="K213" s="42">
        <v>3232466106</v>
      </c>
      <c r="L213" s="42">
        <v>-4901336809</v>
      </c>
      <c r="M213" s="42">
        <v>0</v>
      </c>
      <c r="N213" s="42">
        <v>0</v>
      </c>
      <c r="O213" s="42">
        <v>0</v>
      </c>
      <c r="P213" s="42">
        <v>0</v>
      </c>
      <c r="Q213" s="42">
        <v>0</v>
      </c>
      <c r="R213" s="42">
        <v>0</v>
      </c>
    </row>
    <row r="214" spans="1:18" x14ac:dyDescent="0.25">
      <c r="A214" s="40" t="s">
        <v>138</v>
      </c>
      <c r="B214" s="40">
        <v>2008</v>
      </c>
      <c r="C214" s="73" t="s">
        <v>137</v>
      </c>
      <c r="D214" s="42">
        <v>0</v>
      </c>
      <c r="E214" s="42">
        <v>0</v>
      </c>
      <c r="F214" s="42">
        <v>0</v>
      </c>
      <c r="G214" s="42">
        <v>0</v>
      </c>
      <c r="H214" s="42">
        <v>0</v>
      </c>
      <c r="I214" s="42">
        <v>0</v>
      </c>
      <c r="J214" s="42">
        <v>10400000</v>
      </c>
      <c r="K214" s="42">
        <v>163250000</v>
      </c>
      <c r="L214" s="42">
        <v>-173650000</v>
      </c>
      <c r="M214" s="42">
        <v>0</v>
      </c>
      <c r="N214" s="42">
        <v>0</v>
      </c>
      <c r="O214" s="42">
        <v>0</v>
      </c>
      <c r="P214" s="42">
        <v>0</v>
      </c>
      <c r="Q214" s="42">
        <v>0</v>
      </c>
      <c r="R214" s="42">
        <v>0</v>
      </c>
    </row>
    <row r="215" spans="1:18" x14ac:dyDescent="0.25">
      <c r="A215" s="40" t="s">
        <v>510</v>
      </c>
      <c r="B215" s="40">
        <v>2008</v>
      </c>
      <c r="C215" s="73" t="s">
        <v>860</v>
      </c>
      <c r="D215" s="42">
        <v>0</v>
      </c>
      <c r="E215" s="42">
        <v>0</v>
      </c>
      <c r="F215" s="42">
        <v>0</v>
      </c>
      <c r="G215" s="42">
        <v>0</v>
      </c>
      <c r="H215" s="42">
        <v>0</v>
      </c>
      <c r="I215" s="42">
        <v>0</v>
      </c>
      <c r="J215" s="42">
        <v>0</v>
      </c>
      <c r="K215" s="42">
        <v>1668870703</v>
      </c>
      <c r="L215" s="42">
        <v>8007721884.1300001</v>
      </c>
      <c r="M215" s="42">
        <v>1056219008.9400001</v>
      </c>
      <c r="N215" s="42">
        <v>0</v>
      </c>
      <c r="O215" s="42">
        <v>5588249242</v>
      </c>
      <c r="P215" s="42">
        <v>808672663</v>
      </c>
      <c r="Q215" s="42">
        <v>0</v>
      </c>
      <c r="R215" s="42">
        <v>796151717.08000004</v>
      </c>
    </row>
    <row r="216" spans="1:18" x14ac:dyDescent="0.25">
      <c r="A216" s="40" t="s">
        <v>861</v>
      </c>
      <c r="B216" s="40">
        <v>2008</v>
      </c>
      <c r="C216" s="73" t="s">
        <v>862</v>
      </c>
      <c r="D216" s="42">
        <v>0</v>
      </c>
      <c r="E216" s="42">
        <v>0</v>
      </c>
      <c r="F216" s="42">
        <v>0</v>
      </c>
      <c r="G216" s="42">
        <v>0</v>
      </c>
      <c r="H216" s="42">
        <v>0</v>
      </c>
      <c r="I216" s="42">
        <v>0</v>
      </c>
      <c r="J216" s="42">
        <v>0</v>
      </c>
      <c r="K216" s="42">
        <v>0</v>
      </c>
      <c r="L216" s="42">
        <v>0</v>
      </c>
      <c r="M216" s="42">
        <v>0</v>
      </c>
      <c r="N216" s="42">
        <v>30982006.16</v>
      </c>
      <c r="O216" s="42">
        <v>0</v>
      </c>
      <c r="P216" s="42">
        <v>0</v>
      </c>
      <c r="Q216" s="42">
        <v>0</v>
      </c>
      <c r="R216" s="42">
        <v>0</v>
      </c>
    </row>
    <row r="217" spans="1:18" x14ac:dyDescent="0.25">
      <c r="A217" s="40" t="s">
        <v>863</v>
      </c>
      <c r="B217" s="40">
        <v>2008</v>
      </c>
      <c r="C217" s="73" t="s">
        <v>864</v>
      </c>
      <c r="D217" s="42">
        <v>0</v>
      </c>
      <c r="E217" s="42">
        <v>0</v>
      </c>
      <c r="F217" s="42">
        <v>0</v>
      </c>
      <c r="G217" s="42">
        <v>0</v>
      </c>
      <c r="H217" s="42">
        <v>0</v>
      </c>
      <c r="I217" s="42">
        <v>0</v>
      </c>
      <c r="J217" s="42">
        <v>0</v>
      </c>
      <c r="K217" s="42">
        <v>10400000</v>
      </c>
      <c r="L217" s="42">
        <v>173650000</v>
      </c>
      <c r="M217" s="42">
        <v>159650000</v>
      </c>
      <c r="N217" s="42">
        <v>0</v>
      </c>
      <c r="O217" s="42">
        <v>479675000</v>
      </c>
      <c r="P217" s="42">
        <v>0</v>
      </c>
      <c r="Q217" s="42">
        <v>98950000</v>
      </c>
      <c r="R217" s="42">
        <v>61875000</v>
      </c>
    </row>
    <row r="218" spans="1:18" x14ac:dyDescent="0.25">
      <c r="A218" s="40" t="s">
        <v>122</v>
      </c>
      <c r="B218" s="40">
        <v>2008</v>
      </c>
      <c r="C218" s="73" t="s">
        <v>121</v>
      </c>
      <c r="D218" s="42">
        <v>0</v>
      </c>
      <c r="E218" s="42">
        <v>0</v>
      </c>
      <c r="F218" s="42">
        <v>0</v>
      </c>
      <c r="G218" s="42">
        <v>0</v>
      </c>
      <c r="H218" s="42">
        <v>427667684.18000001</v>
      </c>
      <c r="I218" s="42">
        <v>166491605.19999999</v>
      </c>
      <c r="J218" s="42">
        <v>169126718.69999999</v>
      </c>
      <c r="K218" s="42">
        <v>164820616.52000001</v>
      </c>
      <c r="L218" s="42">
        <v>0</v>
      </c>
      <c r="M218" s="42">
        <v>166095064.69999999</v>
      </c>
      <c r="N218" s="42">
        <v>181913881.59999999</v>
      </c>
      <c r="O218" s="42">
        <v>181657543.84999999</v>
      </c>
      <c r="P218" s="42">
        <v>181860579.09999999</v>
      </c>
      <c r="Q218" s="42">
        <v>207160370.84999999</v>
      </c>
      <c r="R218" s="42">
        <v>436948980.51999998</v>
      </c>
    </row>
    <row r="219" spans="1:18" x14ac:dyDescent="0.25">
      <c r="A219" s="40" t="s">
        <v>115</v>
      </c>
      <c r="B219" s="40">
        <v>2008</v>
      </c>
      <c r="C219" s="73" t="s">
        <v>114</v>
      </c>
      <c r="D219" s="42">
        <v>0</v>
      </c>
      <c r="E219" s="42">
        <v>0</v>
      </c>
      <c r="F219" s="42">
        <v>0</v>
      </c>
      <c r="G219" s="42">
        <v>0</v>
      </c>
      <c r="H219" s="42">
        <v>0</v>
      </c>
      <c r="I219" s="42">
        <v>0</v>
      </c>
      <c r="J219" s="42">
        <v>0</v>
      </c>
      <c r="K219" s="42">
        <v>0</v>
      </c>
      <c r="L219" s="42">
        <v>0</v>
      </c>
      <c r="M219" s="42">
        <v>0</v>
      </c>
      <c r="N219" s="42">
        <v>0</v>
      </c>
      <c r="O219" s="42">
        <v>1669936.96</v>
      </c>
      <c r="P219" s="42">
        <v>0</v>
      </c>
      <c r="Q219" s="42">
        <v>0</v>
      </c>
      <c r="R219" s="42">
        <v>0</v>
      </c>
    </row>
    <row r="220" spans="1:18" x14ac:dyDescent="0.25">
      <c r="A220" s="40" t="s">
        <v>113</v>
      </c>
      <c r="B220" s="40">
        <v>2008</v>
      </c>
      <c r="C220" s="73" t="s">
        <v>112</v>
      </c>
      <c r="D220" s="42">
        <v>0</v>
      </c>
      <c r="E220" s="42">
        <v>0</v>
      </c>
      <c r="F220" s="42">
        <v>0</v>
      </c>
      <c r="G220" s="42">
        <v>0</v>
      </c>
      <c r="H220" s="42">
        <v>0</v>
      </c>
      <c r="I220" s="42">
        <v>7886036.4800000004</v>
      </c>
      <c r="J220" s="42">
        <v>0</v>
      </c>
      <c r="K220" s="42">
        <v>0</v>
      </c>
      <c r="L220" s="42">
        <v>0</v>
      </c>
      <c r="M220" s="42">
        <v>0</v>
      </c>
      <c r="N220" s="42">
        <v>0</v>
      </c>
      <c r="O220" s="42">
        <v>0</v>
      </c>
      <c r="P220" s="42">
        <v>0</v>
      </c>
      <c r="Q220" s="42">
        <v>0</v>
      </c>
      <c r="R220" s="42">
        <v>0</v>
      </c>
    </row>
    <row r="221" spans="1:18" x14ac:dyDescent="0.25">
      <c r="A221" s="40" t="s">
        <v>107</v>
      </c>
      <c r="B221" s="40">
        <v>2008</v>
      </c>
      <c r="C221" s="73" t="s">
        <v>106</v>
      </c>
      <c r="D221" s="42">
        <v>0</v>
      </c>
      <c r="E221" s="42">
        <v>0</v>
      </c>
      <c r="F221" s="42">
        <v>0</v>
      </c>
      <c r="G221" s="42">
        <v>0</v>
      </c>
      <c r="H221" s="42">
        <v>0</v>
      </c>
      <c r="I221" s="42">
        <v>3942421.2</v>
      </c>
      <c r="J221" s="42">
        <v>0</v>
      </c>
      <c r="K221" s="42">
        <v>0</v>
      </c>
      <c r="L221" s="42">
        <v>0</v>
      </c>
      <c r="M221" s="42">
        <v>13221610.57</v>
      </c>
      <c r="N221" s="42">
        <v>0</v>
      </c>
      <c r="O221" s="42">
        <v>0</v>
      </c>
      <c r="P221" s="42">
        <v>0</v>
      </c>
      <c r="Q221" s="42">
        <v>0</v>
      </c>
      <c r="R221" s="42">
        <v>0</v>
      </c>
    </row>
    <row r="222" spans="1:18" x14ac:dyDescent="0.25">
      <c r="A222" s="40" t="s">
        <v>105</v>
      </c>
      <c r="B222" s="40">
        <v>2008</v>
      </c>
      <c r="C222" s="73" t="s">
        <v>104</v>
      </c>
      <c r="D222" s="42">
        <v>0</v>
      </c>
      <c r="E222" s="42">
        <v>0</v>
      </c>
      <c r="F222" s="42">
        <v>0</v>
      </c>
      <c r="G222" s="42">
        <v>0</v>
      </c>
      <c r="H222" s="42">
        <v>0</v>
      </c>
      <c r="I222" s="42">
        <v>0</v>
      </c>
      <c r="J222" s="42">
        <v>0</v>
      </c>
      <c r="K222" s="42">
        <v>0</v>
      </c>
      <c r="L222" s="42">
        <v>32819052.77</v>
      </c>
      <c r="M222" s="42">
        <v>0</v>
      </c>
      <c r="N222" s="42">
        <v>0</v>
      </c>
      <c r="O222" s="42">
        <v>0</v>
      </c>
      <c r="P222" s="42">
        <v>0</v>
      </c>
      <c r="Q222" s="42">
        <v>0</v>
      </c>
      <c r="R222" s="42">
        <v>0</v>
      </c>
    </row>
    <row r="223" spans="1:18" x14ac:dyDescent="0.25">
      <c r="A223" s="40" t="s">
        <v>469</v>
      </c>
      <c r="B223" s="40">
        <v>2008</v>
      </c>
      <c r="C223" s="73" t="s">
        <v>468</v>
      </c>
      <c r="D223" s="42">
        <v>0</v>
      </c>
      <c r="E223" s="42">
        <v>0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42">
        <v>4988692</v>
      </c>
    </row>
    <row r="224" spans="1:18" x14ac:dyDescent="0.25">
      <c r="A224" s="40" t="s">
        <v>101</v>
      </c>
      <c r="B224" s="40">
        <v>2008</v>
      </c>
      <c r="C224" s="73" t="s">
        <v>100</v>
      </c>
      <c r="D224" s="42">
        <v>0</v>
      </c>
      <c r="E224" s="42">
        <v>0</v>
      </c>
      <c r="F224" s="42">
        <v>0</v>
      </c>
      <c r="G224" s="42">
        <v>0</v>
      </c>
      <c r="H224" s="42">
        <v>3548246.97</v>
      </c>
      <c r="I224" s="42">
        <v>0</v>
      </c>
      <c r="J224" s="42">
        <v>0</v>
      </c>
      <c r="K224" s="42">
        <v>0</v>
      </c>
      <c r="L224" s="42">
        <v>0</v>
      </c>
      <c r="M224" s="42">
        <v>0</v>
      </c>
      <c r="N224" s="42">
        <v>0</v>
      </c>
      <c r="O224" s="42">
        <v>0</v>
      </c>
      <c r="P224" s="42">
        <v>0</v>
      </c>
      <c r="Q224" s="42">
        <v>0</v>
      </c>
      <c r="R224" s="42">
        <v>0</v>
      </c>
    </row>
    <row r="225" spans="1:18" x14ac:dyDescent="0.25">
      <c r="A225" s="40" t="s">
        <v>99</v>
      </c>
      <c r="B225" s="40">
        <v>2008</v>
      </c>
      <c r="C225" s="73" t="s">
        <v>98</v>
      </c>
      <c r="D225" s="42">
        <v>0</v>
      </c>
      <c r="E225" s="42">
        <v>0</v>
      </c>
      <c r="F225" s="42">
        <v>0</v>
      </c>
      <c r="G225" s="42">
        <v>0</v>
      </c>
      <c r="H225" s="42">
        <v>0</v>
      </c>
      <c r="I225" s="42">
        <v>0</v>
      </c>
      <c r="J225" s="42">
        <v>0</v>
      </c>
      <c r="K225" s="42">
        <v>0</v>
      </c>
      <c r="L225" s="42">
        <v>0</v>
      </c>
      <c r="M225" s="42">
        <v>0</v>
      </c>
      <c r="N225" s="42">
        <v>0</v>
      </c>
      <c r="O225" s="42">
        <v>0</v>
      </c>
      <c r="P225" s="42">
        <v>1893311</v>
      </c>
      <c r="Q225" s="42">
        <v>0</v>
      </c>
      <c r="R225" s="42">
        <v>0</v>
      </c>
    </row>
    <row r="226" spans="1:18" x14ac:dyDescent="0.25">
      <c r="A226" s="40" t="s">
        <v>93</v>
      </c>
      <c r="B226" s="40">
        <v>2008</v>
      </c>
      <c r="C226" s="73" t="s">
        <v>92</v>
      </c>
      <c r="D226" s="42">
        <v>0</v>
      </c>
      <c r="E226" s="42">
        <v>0</v>
      </c>
      <c r="F226" s="42">
        <v>0</v>
      </c>
      <c r="G226" s="42">
        <v>0</v>
      </c>
      <c r="H226" s="42">
        <v>473649.28</v>
      </c>
      <c r="I226" s="42">
        <v>0</v>
      </c>
      <c r="J226" s="42">
        <v>0</v>
      </c>
      <c r="K226" s="42">
        <v>0</v>
      </c>
      <c r="L226" s="42">
        <v>1996940.64</v>
      </c>
      <c r="M226" s="42">
        <v>0</v>
      </c>
      <c r="N226" s="42">
        <v>0</v>
      </c>
      <c r="O226" s="42">
        <v>0</v>
      </c>
      <c r="P226" s="42">
        <v>332823.44</v>
      </c>
      <c r="Q226" s="42">
        <v>0</v>
      </c>
      <c r="R226" s="42">
        <v>998470.32</v>
      </c>
    </row>
    <row r="227" spans="1:18" x14ac:dyDescent="0.25">
      <c r="A227" s="40" t="s">
        <v>91</v>
      </c>
      <c r="B227" s="40">
        <v>2008</v>
      </c>
      <c r="C227" s="73" t="s">
        <v>90</v>
      </c>
      <c r="D227" s="42">
        <v>0</v>
      </c>
      <c r="E227" s="42">
        <v>0</v>
      </c>
      <c r="F227" s="42">
        <v>0</v>
      </c>
      <c r="G227" s="42">
        <v>0</v>
      </c>
      <c r="H227" s="42">
        <v>0</v>
      </c>
      <c r="I227" s="42">
        <v>0</v>
      </c>
      <c r="J227" s="42">
        <v>0</v>
      </c>
      <c r="K227" s="42">
        <v>0</v>
      </c>
      <c r="L227" s="42">
        <v>2336937662</v>
      </c>
      <c r="M227" s="42">
        <v>0</v>
      </c>
      <c r="N227" s="42">
        <v>0</v>
      </c>
      <c r="O227" s="42">
        <v>0</v>
      </c>
      <c r="P227" s="42">
        <v>0</v>
      </c>
      <c r="Q227" s="42">
        <v>0</v>
      </c>
      <c r="R227" s="42">
        <v>0</v>
      </c>
    </row>
    <row r="228" spans="1:18" x14ac:dyDescent="0.25">
      <c r="A228" s="40" t="s">
        <v>89</v>
      </c>
      <c r="B228" s="40">
        <v>2008</v>
      </c>
      <c r="C228" s="73" t="s">
        <v>88</v>
      </c>
      <c r="D228" s="42">
        <v>0</v>
      </c>
      <c r="E228" s="42">
        <v>0</v>
      </c>
      <c r="F228" s="42">
        <v>0</v>
      </c>
      <c r="G228" s="42">
        <v>0</v>
      </c>
      <c r="H228" s="42">
        <v>0</v>
      </c>
      <c r="I228" s="42">
        <v>0</v>
      </c>
      <c r="J228" s="42">
        <v>0</v>
      </c>
      <c r="K228" s="42">
        <v>0</v>
      </c>
      <c r="L228" s="42">
        <v>0</v>
      </c>
      <c r="M228" s="42">
        <v>0</v>
      </c>
      <c r="N228" s="42">
        <v>0</v>
      </c>
      <c r="O228" s="42">
        <v>75000000</v>
      </c>
      <c r="P228" s="42">
        <v>844313952.40999997</v>
      </c>
      <c r="Q228" s="42">
        <v>0</v>
      </c>
      <c r="R228" s="42">
        <v>0</v>
      </c>
    </row>
    <row r="229" spans="1:18" x14ac:dyDescent="0.25">
      <c r="A229" s="40" t="s">
        <v>83</v>
      </c>
      <c r="B229" s="40">
        <v>2008</v>
      </c>
      <c r="C229" s="73" t="s">
        <v>82</v>
      </c>
      <c r="D229" s="42">
        <v>0</v>
      </c>
      <c r="E229" s="42">
        <v>0</v>
      </c>
      <c r="F229" s="42">
        <v>0</v>
      </c>
      <c r="G229" s="42">
        <v>6694015.8300000001</v>
      </c>
      <c r="H229" s="42">
        <v>44021069.530000001</v>
      </c>
      <c r="I229" s="42">
        <v>916726.56</v>
      </c>
      <c r="J229" s="42">
        <v>22003509.460000001</v>
      </c>
      <c r="K229" s="42">
        <v>10809258.300000001</v>
      </c>
      <c r="L229" s="42">
        <v>11395732.25</v>
      </c>
      <c r="M229" s="42">
        <v>19545310.050000001</v>
      </c>
      <c r="N229" s="42">
        <v>4107364.05</v>
      </c>
      <c r="O229" s="42">
        <v>21255166.91</v>
      </c>
      <c r="P229" s="42">
        <v>26282842.350000001</v>
      </c>
      <c r="Q229" s="42">
        <v>7257742.2000000002</v>
      </c>
      <c r="R229" s="42">
        <v>23134132.460000001</v>
      </c>
    </row>
    <row r="230" spans="1:18" x14ac:dyDescent="0.25">
      <c r="A230" s="40" t="s">
        <v>80</v>
      </c>
      <c r="B230" s="40">
        <v>2008</v>
      </c>
      <c r="C230" s="73" t="s">
        <v>79</v>
      </c>
      <c r="D230" s="42">
        <v>0</v>
      </c>
      <c r="E230" s="42">
        <v>0</v>
      </c>
      <c r="F230" s="42">
        <v>0</v>
      </c>
      <c r="G230" s="42">
        <v>0</v>
      </c>
      <c r="H230" s="42">
        <v>0</v>
      </c>
      <c r="I230" s="42">
        <v>26807366.300000001</v>
      </c>
      <c r="J230" s="42">
        <v>0</v>
      </c>
      <c r="K230" s="42">
        <v>0</v>
      </c>
      <c r="L230" s="42">
        <v>0</v>
      </c>
      <c r="M230" s="42">
        <v>0</v>
      </c>
      <c r="N230" s="42">
        <v>8571661.7799999993</v>
      </c>
      <c r="O230" s="42">
        <v>0</v>
      </c>
      <c r="P230" s="42">
        <v>0</v>
      </c>
      <c r="Q230" s="42">
        <v>0</v>
      </c>
      <c r="R230" s="42">
        <v>0</v>
      </c>
    </row>
    <row r="231" spans="1:18" x14ac:dyDescent="0.25">
      <c r="A231" s="40" t="s">
        <v>76</v>
      </c>
      <c r="B231" s="40">
        <v>2008</v>
      </c>
      <c r="C231" s="73" t="s">
        <v>75</v>
      </c>
      <c r="D231" s="42">
        <v>0</v>
      </c>
      <c r="E231" s="42">
        <v>0</v>
      </c>
      <c r="F231" s="42">
        <v>0</v>
      </c>
      <c r="G231" s="42">
        <v>0</v>
      </c>
      <c r="H231" s="42">
        <v>20000000</v>
      </c>
      <c r="I231" s="42">
        <v>0</v>
      </c>
      <c r="J231" s="42">
        <v>0</v>
      </c>
      <c r="K231" s="42">
        <v>0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>
        <v>0</v>
      </c>
      <c r="R231" s="42">
        <v>0</v>
      </c>
    </row>
    <row r="232" spans="1:18" x14ac:dyDescent="0.25">
      <c r="A232" s="40" t="s">
        <v>74</v>
      </c>
      <c r="B232" s="40">
        <v>2008</v>
      </c>
      <c r="C232" s="73" t="s">
        <v>73</v>
      </c>
      <c r="D232" s="42">
        <v>0</v>
      </c>
      <c r="E232" s="42">
        <v>0</v>
      </c>
      <c r="F232" s="42">
        <v>0</v>
      </c>
      <c r="G232" s="42">
        <v>0</v>
      </c>
      <c r="H232" s="42">
        <v>0</v>
      </c>
      <c r="I232" s="42">
        <v>0</v>
      </c>
      <c r="J232" s="42">
        <v>0</v>
      </c>
      <c r="K232" s="42">
        <v>0</v>
      </c>
      <c r="L232" s="42">
        <v>22700000</v>
      </c>
      <c r="M232" s="42">
        <v>0</v>
      </c>
      <c r="N232" s="42">
        <v>0</v>
      </c>
      <c r="O232" s="42">
        <v>0</v>
      </c>
      <c r="P232" s="42">
        <v>0</v>
      </c>
      <c r="Q232" s="42">
        <v>0</v>
      </c>
      <c r="R232" s="42">
        <v>0</v>
      </c>
    </row>
    <row r="233" spans="1:18" x14ac:dyDescent="0.25">
      <c r="A233" s="40" t="s">
        <v>72</v>
      </c>
      <c r="B233" s="40">
        <v>2008</v>
      </c>
      <c r="C233" s="73" t="s">
        <v>71</v>
      </c>
      <c r="D233" s="42">
        <v>0</v>
      </c>
      <c r="E233" s="42">
        <v>0</v>
      </c>
      <c r="F233" s="42">
        <v>0</v>
      </c>
      <c r="G233" s="42">
        <v>9550348.9399999995</v>
      </c>
      <c r="H233" s="42">
        <v>0</v>
      </c>
      <c r="I233" s="42">
        <v>0</v>
      </c>
      <c r="J233" s="42">
        <v>0</v>
      </c>
      <c r="K233" s="42">
        <v>0</v>
      </c>
      <c r="L233" s="42">
        <v>0</v>
      </c>
      <c r="M233" s="42">
        <v>0</v>
      </c>
      <c r="N233" s="42">
        <v>0</v>
      </c>
      <c r="O233" s="42">
        <v>0</v>
      </c>
      <c r="P233" s="42">
        <v>0</v>
      </c>
      <c r="Q233" s="42">
        <v>0</v>
      </c>
      <c r="R233" s="42">
        <v>0</v>
      </c>
    </row>
    <row r="234" spans="1:18" x14ac:dyDescent="0.25">
      <c r="A234" s="40" t="s">
        <v>68</v>
      </c>
      <c r="B234" s="40">
        <v>2008</v>
      </c>
      <c r="C234" s="73" t="s">
        <v>67</v>
      </c>
      <c r="D234" s="42">
        <v>0</v>
      </c>
      <c r="E234" s="42">
        <v>0</v>
      </c>
      <c r="F234" s="42">
        <v>0</v>
      </c>
      <c r="G234" s="42">
        <v>0</v>
      </c>
      <c r="H234" s="42">
        <v>0</v>
      </c>
      <c r="I234" s="42">
        <v>0</v>
      </c>
      <c r="J234" s="42">
        <v>0</v>
      </c>
      <c r="K234" s="42">
        <v>0</v>
      </c>
      <c r="L234" s="42">
        <v>149815379.16</v>
      </c>
      <c r="M234" s="42">
        <v>0</v>
      </c>
      <c r="N234" s="42">
        <v>0</v>
      </c>
      <c r="O234" s="42">
        <v>0</v>
      </c>
      <c r="P234" s="42">
        <v>0</v>
      </c>
      <c r="Q234" s="42">
        <v>0</v>
      </c>
      <c r="R234" s="42">
        <v>0</v>
      </c>
    </row>
    <row r="235" spans="1:18" x14ac:dyDescent="0.25">
      <c r="A235" s="40" t="s">
        <v>66</v>
      </c>
      <c r="B235" s="40">
        <v>2008</v>
      </c>
      <c r="C235" s="73" t="s">
        <v>65</v>
      </c>
      <c r="D235" s="42">
        <v>0</v>
      </c>
      <c r="E235" s="42">
        <v>0</v>
      </c>
      <c r="F235" s="42">
        <v>0</v>
      </c>
      <c r="G235" s="42">
        <v>8750012.1500000004</v>
      </c>
      <c r="H235" s="42">
        <v>8750012.1500000004</v>
      </c>
      <c r="I235" s="42">
        <v>8750012.1500000004</v>
      </c>
      <c r="J235" s="42">
        <v>8750012.1500000004</v>
      </c>
      <c r="K235" s="42">
        <v>8750012.1500000004</v>
      </c>
      <c r="L235" s="42">
        <v>8750012.1500000004</v>
      </c>
      <c r="M235" s="42">
        <v>8750012.1500000004</v>
      </c>
      <c r="N235" s="42">
        <v>8750012.1500000004</v>
      </c>
      <c r="O235" s="42">
        <v>8750012.1500000004</v>
      </c>
      <c r="P235" s="42">
        <v>8750012.1500000004</v>
      </c>
      <c r="Q235" s="42">
        <v>8750012.1500000004</v>
      </c>
      <c r="R235" s="42">
        <v>8750012.0600000005</v>
      </c>
    </row>
    <row r="236" spans="1:18" x14ac:dyDescent="0.25">
      <c r="A236" s="40" t="s">
        <v>64</v>
      </c>
      <c r="B236" s="40">
        <v>2008</v>
      </c>
      <c r="C236" s="73" t="s">
        <v>63</v>
      </c>
      <c r="D236" s="42">
        <v>0</v>
      </c>
      <c r="E236" s="42">
        <v>0</v>
      </c>
      <c r="F236" s="42">
        <v>0</v>
      </c>
      <c r="G236" s="42">
        <v>0</v>
      </c>
      <c r="H236" s="42">
        <v>0</v>
      </c>
      <c r="I236" s="42">
        <v>0</v>
      </c>
      <c r="J236" s="42">
        <v>0</v>
      </c>
      <c r="K236" s="42">
        <v>0</v>
      </c>
      <c r="L236" s="42">
        <v>111039660.93000001</v>
      </c>
      <c r="M236" s="42">
        <v>0</v>
      </c>
      <c r="N236" s="42">
        <v>0</v>
      </c>
      <c r="O236" s="42">
        <v>0</v>
      </c>
      <c r="P236" s="42">
        <v>0</v>
      </c>
      <c r="Q236" s="42">
        <v>0</v>
      </c>
      <c r="R236" s="42">
        <v>0</v>
      </c>
    </row>
    <row r="237" spans="1:18" x14ac:dyDescent="0.25">
      <c r="A237" s="40" t="s">
        <v>62</v>
      </c>
      <c r="B237" s="40">
        <v>2008</v>
      </c>
      <c r="C237" s="73" t="s">
        <v>61</v>
      </c>
      <c r="D237" s="42">
        <v>0</v>
      </c>
      <c r="E237" s="42">
        <v>0</v>
      </c>
      <c r="F237" s="42">
        <v>0</v>
      </c>
      <c r="G237" s="42">
        <v>0</v>
      </c>
      <c r="H237" s="42">
        <v>0</v>
      </c>
      <c r="I237" s="42">
        <v>14418068.359999999</v>
      </c>
      <c r="J237" s="42">
        <v>0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42">
        <v>0</v>
      </c>
      <c r="Q237" s="42">
        <v>0</v>
      </c>
      <c r="R237" s="42">
        <v>0</v>
      </c>
    </row>
    <row r="238" spans="1:18" x14ac:dyDescent="0.25">
      <c r="A238" s="40" t="s">
        <v>466</v>
      </c>
      <c r="B238" s="40">
        <v>2008</v>
      </c>
      <c r="C238" s="73" t="s">
        <v>465</v>
      </c>
      <c r="D238" s="42">
        <v>0</v>
      </c>
      <c r="E238" s="42">
        <v>0</v>
      </c>
      <c r="F238" s="42">
        <v>0</v>
      </c>
      <c r="G238" s="42">
        <v>0</v>
      </c>
      <c r="H238" s="42">
        <v>103000000</v>
      </c>
      <c r="I238" s="42">
        <v>16997808.190000001</v>
      </c>
      <c r="J238" s="42">
        <v>0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2">
        <v>0</v>
      </c>
      <c r="Q238" s="42">
        <v>0</v>
      </c>
      <c r="R238" s="42">
        <v>0</v>
      </c>
    </row>
    <row r="239" spans="1:18" x14ac:dyDescent="0.25">
      <c r="A239" s="40" t="s">
        <v>865</v>
      </c>
      <c r="B239" s="40">
        <v>2008</v>
      </c>
      <c r="C239" s="73" t="s">
        <v>866</v>
      </c>
      <c r="D239" s="42">
        <v>0</v>
      </c>
      <c r="E239" s="42">
        <v>0</v>
      </c>
      <c r="F239" s="42">
        <v>0</v>
      </c>
      <c r="G239" s="42">
        <v>23654364.899999999</v>
      </c>
      <c r="H239" s="42">
        <v>34819747.399999999</v>
      </c>
      <c r="I239" s="42">
        <v>39421235.159999996</v>
      </c>
      <c r="J239" s="42">
        <v>30912447.530000001</v>
      </c>
      <c r="K239" s="42">
        <v>58017096.189999998</v>
      </c>
      <c r="L239" s="42">
        <v>68108923.030000001</v>
      </c>
      <c r="M239" s="42">
        <v>63056694.840000004</v>
      </c>
      <c r="N239" s="42">
        <v>62416105.469999999</v>
      </c>
      <c r="O239" s="42">
        <v>53205693.479999997</v>
      </c>
      <c r="P239" s="42">
        <v>54136742.630000003</v>
      </c>
      <c r="Q239" s="42">
        <v>53464183.130000003</v>
      </c>
      <c r="R239" s="42">
        <v>43906507.25</v>
      </c>
    </row>
    <row r="240" spans="1:18" x14ac:dyDescent="0.25">
      <c r="A240" s="40" t="s">
        <v>461</v>
      </c>
      <c r="B240" s="40">
        <v>2008</v>
      </c>
      <c r="C240" s="73" t="s">
        <v>460</v>
      </c>
      <c r="D240" s="42">
        <v>0</v>
      </c>
      <c r="E240" s="42">
        <v>0</v>
      </c>
      <c r="F240" s="42">
        <v>0</v>
      </c>
      <c r="G240" s="42">
        <v>40000000</v>
      </c>
      <c r="H240" s="42">
        <v>0</v>
      </c>
      <c r="I240" s="42">
        <v>0</v>
      </c>
      <c r="J240" s="42">
        <v>6000000</v>
      </c>
      <c r="K240" s="42">
        <v>139000000</v>
      </c>
      <c r="L240" s="42">
        <v>0</v>
      </c>
      <c r="M240" s="42">
        <v>126800000</v>
      </c>
      <c r="N240" s="42">
        <v>0</v>
      </c>
      <c r="O240" s="42">
        <v>0</v>
      </c>
      <c r="P240" s="42">
        <v>0</v>
      </c>
      <c r="Q240" s="42">
        <v>0</v>
      </c>
      <c r="R240" s="42">
        <v>167621732</v>
      </c>
    </row>
    <row r="241" spans="1:18" x14ac:dyDescent="0.25">
      <c r="A241" s="40" t="s">
        <v>49</v>
      </c>
      <c r="B241" s="40">
        <v>2008</v>
      </c>
      <c r="C241" s="73" t="s">
        <v>48</v>
      </c>
      <c r="D241" s="42">
        <v>0</v>
      </c>
      <c r="E241" s="42">
        <v>0</v>
      </c>
      <c r="F241" s="42">
        <v>0</v>
      </c>
      <c r="G241" s="42">
        <v>61030737579.529999</v>
      </c>
      <c r="H241" s="42">
        <v>35418563024.75</v>
      </c>
      <c r="I241" s="42">
        <v>37504308808.349998</v>
      </c>
      <c r="J241" s="42">
        <v>22695270944.939999</v>
      </c>
      <c r="K241" s="42">
        <v>0</v>
      </c>
      <c r="L241" s="42">
        <v>4165200000</v>
      </c>
      <c r="M241" s="42">
        <v>18919777616.209999</v>
      </c>
      <c r="N241" s="42">
        <v>34655941944.040001</v>
      </c>
      <c r="O241" s="42">
        <v>24974145556.869999</v>
      </c>
      <c r="P241" s="42">
        <v>15942400451.110001</v>
      </c>
      <c r="Q241" s="42">
        <v>18006564440.830002</v>
      </c>
      <c r="R241" s="42">
        <v>15432385955.77</v>
      </c>
    </row>
    <row r="242" spans="1:18" x14ac:dyDescent="0.25">
      <c r="A242" s="40" t="s">
        <v>43</v>
      </c>
      <c r="B242" s="40">
        <v>2008</v>
      </c>
      <c r="C242" s="73" t="s">
        <v>42</v>
      </c>
      <c r="D242" s="42">
        <v>0</v>
      </c>
      <c r="E242" s="42">
        <v>0</v>
      </c>
      <c r="F242" s="42">
        <v>0</v>
      </c>
      <c r="G242" s="42">
        <v>170544334914.16</v>
      </c>
      <c r="H242" s="42">
        <v>25425545883.130001</v>
      </c>
      <c r="I242" s="42">
        <v>51162075416.230003</v>
      </c>
      <c r="J242" s="42">
        <v>40044889283.730003</v>
      </c>
      <c r="K242" s="42">
        <v>0</v>
      </c>
      <c r="L242" s="42">
        <v>36335573.75</v>
      </c>
      <c r="M242" s="42">
        <v>0</v>
      </c>
      <c r="N242" s="42">
        <v>88337696.569999993</v>
      </c>
      <c r="O242" s="42">
        <v>2150000</v>
      </c>
      <c r="P242" s="42">
        <v>3029334427.5900002</v>
      </c>
      <c r="Q242" s="42">
        <v>8613606414.6900005</v>
      </c>
      <c r="R242" s="42">
        <v>91461318003.429993</v>
      </c>
    </row>
    <row r="243" spans="1:18" x14ac:dyDescent="0.25">
      <c r="A243" s="40" t="s">
        <v>457</v>
      </c>
      <c r="B243" s="40">
        <v>2008</v>
      </c>
      <c r="C243" s="73" t="s">
        <v>456</v>
      </c>
      <c r="D243" s="42">
        <v>0</v>
      </c>
      <c r="E243" s="42">
        <v>0</v>
      </c>
      <c r="F243" s="42">
        <v>0</v>
      </c>
      <c r="G243" s="42">
        <v>68460193.379999995</v>
      </c>
      <c r="H243" s="42">
        <v>527986043.99000001</v>
      </c>
      <c r="I243" s="42">
        <v>0</v>
      </c>
      <c r="J243" s="42">
        <v>252490979.84999999</v>
      </c>
      <c r="K243" s="42">
        <v>2522502192.79</v>
      </c>
      <c r="L243" s="42">
        <v>0</v>
      </c>
      <c r="M243" s="42">
        <v>824321521.82000005</v>
      </c>
      <c r="N243" s="42">
        <v>0</v>
      </c>
      <c r="O243" s="42">
        <v>0</v>
      </c>
      <c r="P243" s="42">
        <v>0</v>
      </c>
      <c r="Q243" s="42">
        <v>0</v>
      </c>
      <c r="R243" s="42">
        <v>3308392543.3000002</v>
      </c>
    </row>
    <row r="244" spans="1:18" x14ac:dyDescent="0.25">
      <c r="A244" s="40" t="s">
        <v>419</v>
      </c>
      <c r="B244" s="40">
        <v>2008</v>
      </c>
      <c r="C244" s="73" t="s">
        <v>418</v>
      </c>
      <c r="D244" s="42">
        <v>0</v>
      </c>
      <c r="E244" s="42">
        <v>0</v>
      </c>
      <c r="F244" s="42">
        <v>0</v>
      </c>
      <c r="G244" s="42">
        <v>275692959.51999998</v>
      </c>
      <c r="H244" s="42">
        <v>236281652.91999999</v>
      </c>
      <c r="I244" s="42">
        <v>0</v>
      </c>
      <c r="J244" s="42">
        <v>366446001.13</v>
      </c>
      <c r="K244" s="42">
        <v>67763526.829999998</v>
      </c>
      <c r="L244" s="42">
        <v>0</v>
      </c>
      <c r="M244" s="42">
        <v>481786197.23000002</v>
      </c>
      <c r="N244" s="42">
        <v>0</v>
      </c>
      <c r="O244" s="42">
        <v>0</v>
      </c>
      <c r="P244" s="42">
        <v>0</v>
      </c>
      <c r="Q244" s="42">
        <v>0</v>
      </c>
      <c r="R244" s="42">
        <v>2036925696.79</v>
      </c>
    </row>
    <row r="245" spans="1:18" x14ac:dyDescent="0.25">
      <c r="A245" s="40" t="s">
        <v>455</v>
      </c>
      <c r="B245" s="40">
        <v>2008</v>
      </c>
      <c r="C245" s="73" t="s">
        <v>454</v>
      </c>
      <c r="D245" s="42">
        <v>0</v>
      </c>
      <c r="E245" s="42">
        <v>0</v>
      </c>
      <c r="F245" s="42">
        <v>0</v>
      </c>
      <c r="G245" s="42">
        <v>176470189.22</v>
      </c>
      <c r="H245" s="42">
        <v>0</v>
      </c>
      <c r="I245" s="42">
        <v>0</v>
      </c>
      <c r="J245" s="42">
        <v>314098333.86000001</v>
      </c>
      <c r="K245" s="42">
        <v>0</v>
      </c>
      <c r="L245" s="42">
        <v>146308068.47</v>
      </c>
      <c r="M245" s="42">
        <v>216105034.44999999</v>
      </c>
      <c r="N245" s="42">
        <v>0</v>
      </c>
      <c r="O245" s="42">
        <v>190602545.30000001</v>
      </c>
      <c r="P245" s="42">
        <v>0</v>
      </c>
      <c r="Q245" s="42">
        <v>0</v>
      </c>
      <c r="R245" s="42">
        <v>1401672834.55</v>
      </c>
    </row>
    <row r="246" spans="1:18" x14ac:dyDescent="0.25">
      <c r="A246" s="40" t="s">
        <v>480</v>
      </c>
      <c r="B246" s="40">
        <v>2008</v>
      </c>
      <c r="C246" s="73" t="s">
        <v>479</v>
      </c>
      <c r="D246" s="42">
        <v>0</v>
      </c>
      <c r="E246" s="42">
        <v>0</v>
      </c>
      <c r="F246" s="42">
        <v>0</v>
      </c>
      <c r="G246" s="42">
        <v>0</v>
      </c>
      <c r="H246" s="42">
        <v>74974358.329999998</v>
      </c>
      <c r="I246" s="42">
        <v>0</v>
      </c>
      <c r="J246" s="42">
        <v>71197015.25</v>
      </c>
      <c r="K246" s="42">
        <v>112464699.69</v>
      </c>
      <c r="L246" s="42">
        <v>0</v>
      </c>
      <c r="M246" s="42">
        <v>72105637.099999994</v>
      </c>
      <c r="N246" s="42">
        <v>0</v>
      </c>
      <c r="O246" s="42">
        <v>0</v>
      </c>
      <c r="P246" s="42">
        <v>0</v>
      </c>
      <c r="Q246" s="42">
        <v>0</v>
      </c>
      <c r="R246" s="42">
        <v>687184169.23000002</v>
      </c>
    </row>
    <row r="247" spans="1:18" x14ac:dyDescent="0.25">
      <c r="A247" s="40" t="s">
        <v>478</v>
      </c>
      <c r="B247" s="40">
        <v>2008</v>
      </c>
      <c r="C247" s="73" t="s">
        <v>477</v>
      </c>
      <c r="D247" s="42">
        <v>0</v>
      </c>
      <c r="E247" s="42">
        <v>0</v>
      </c>
      <c r="F247" s="42">
        <v>0</v>
      </c>
      <c r="G247" s="42">
        <v>0</v>
      </c>
      <c r="H247" s="42">
        <v>0</v>
      </c>
      <c r="I247" s="42">
        <v>0</v>
      </c>
      <c r="J247" s="42">
        <v>0</v>
      </c>
      <c r="K247" s="42">
        <v>0</v>
      </c>
      <c r="L247" s="42">
        <v>12318961.619999999</v>
      </c>
      <c r="M247" s="42">
        <v>1264417569.0799999</v>
      </c>
      <c r="N247" s="42">
        <v>0</v>
      </c>
      <c r="O247" s="42">
        <v>32175005.379999999</v>
      </c>
      <c r="P247" s="42">
        <v>0</v>
      </c>
      <c r="Q247" s="42">
        <v>0</v>
      </c>
      <c r="R247" s="42">
        <v>769673927.58000004</v>
      </c>
    </row>
    <row r="248" spans="1:18" x14ac:dyDescent="0.25">
      <c r="A248" s="40" t="s">
        <v>476</v>
      </c>
      <c r="B248" s="40">
        <v>2008</v>
      </c>
      <c r="C248" s="73" t="s">
        <v>475</v>
      </c>
      <c r="D248" s="42">
        <v>0</v>
      </c>
      <c r="E248" s="42">
        <v>0</v>
      </c>
      <c r="F248" s="42">
        <v>0</v>
      </c>
      <c r="G248" s="42">
        <v>157661620.00999999</v>
      </c>
      <c r="H248" s="42">
        <v>126848450.75</v>
      </c>
      <c r="I248" s="42">
        <v>0</v>
      </c>
      <c r="J248" s="42">
        <v>172924500</v>
      </c>
      <c r="K248" s="42">
        <v>411557583.86000001</v>
      </c>
      <c r="L248" s="42">
        <v>0</v>
      </c>
      <c r="M248" s="42">
        <v>0</v>
      </c>
      <c r="N248" s="42">
        <v>0</v>
      </c>
      <c r="O248" s="42">
        <v>0</v>
      </c>
      <c r="P248" s="42">
        <v>0</v>
      </c>
      <c r="Q248" s="42">
        <v>0</v>
      </c>
      <c r="R248" s="42">
        <v>711044292.84000003</v>
      </c>
    </row>
    <row r="249" spans="1:18" x14ac:dyDescent="0.25">
      <c r="A249" s="40" t="s">
        <v>383</v>
      </c>
      <c r="B249" s="40">
        <v>2008</v>
      </c>
      <c r="C249" s="73" t="s">
        <v>382</v>
      </c>
      <c r="D249" s="42">
        <v>0</v>
      </c>
      <c r="E249" s="42">
        <v>0</v>
      </c>
      <c r="F249" s="42">
        <v>0</v>
      </c>
      <c r="G249" s="42">
        <v>0</v>
      </c>
      <c r="H249" s="42">
        <v>150105000</v>
      </c>
      <c r="I249" s="42">
        <v>0</v>
      </c>
      <c r="J249" s="42">
        <v>0</v>
      </c>
      <c r="K249" s="42">
        <v>0</v>
      </c>
      <c r="L249" s="42">
        <v>77698500</v>
      </c>
      <c r="M249" s="42">
        <v>77698500</v>
      </c>
      <c r="N249" s="42">
        <v>0</v>
      </c>
      <c r="O249" s="42">
        <v>0</v>
      </c>
      <c r="P249" s="42">
        <v>0</v>
      </c>
      <c r="Q249" s="42">
        <v>0</v>
      </c>
      <c r="R249" s="42">
        <v>-77698500</v>
      </c>
    </row>
    <row r="250" spans="1:18" x14ac:dyDescent="0.25">
      <c r="A250" s="40" t="s">
        <v>474</v>
      </c>
      <c r="B250" s="40">
        <v>2008</v>
      </c>
      <c r="C250" s="73" t="s">
        <v>473</v>
      </c>
      <c r="D250" s="42">
        <v>0</v>
      </c>
      <c r="E250" s="42">
        <v>0</v>
      </c>
      <c r="F250" s="42">
        <v>0</v>
      </c>
      <c r="G250" s="42">
        <v>0</v>
      </c>
      <c r="H250" s="42">
        <v>0</v>
      </c>
      <c r="I250" s="42">
        <v>0</v>
      </c>
      <c r="J250" s="42">
        <v>0</v>
      </c>
      <c r="K250" s="42">
        <v>2000000</v>
      </c>
      <c r="L250" s="42">
        <v>0</v>
      </c>
      <c r="M250" s="42">
        <v>0</v>
      </c>
      <c r="N250" s="42">
        <v>0</v>
      </c>
      <c r="O250" s="42">
        <v>0</v>
      </c>
      <c r="P250" s="42">
        <v>0</v>
      </c>
      <c r="Q250" s="42">
        <v>0</v>
      </c>
      <c r="R250" s="42">
        <v>0</v>
      </c>
    </row>
    <row r="251" spans="1:18" x14ac:dyDescent="0.25">
      <c r="A251" s="40" t="s">
        <v>453</v>
      </c>
      <c r="B251" s="40">
        <v>2008</v>
      </c>
      <c r="C251" s="73" t="s">
        <v>452</v>
      </c>
      <c r="D251" s="42">
        <v>0</v>
      </c>
      <c r="E251" s="42">
        <v>0</v>
      </c>
      <c r="F251" s="42">
        <v>0</v>
      </c>
      <c r="G251" s="42">
        <v>5301850.5599999996</v>
      </c>
      <c r="H251" s="42">
        <v>145312575.84</v>
      </c>
      <c r="I251" s="42">
        <v>0</v>
      </c>
      <c r="J251" s="42">
        <v>327763555.61000001</v>
      </c>
      <c r="K251" s="42">
        <v>737942414.49000001</v>
      </c>
      <c r="L251" s="42">
        <v>0</v>
      </c>
      <c r="M251" s="42">
        <v>367034157.00999999</v>
      </c>
      <c r="N251" s="42">
        <v>0</v>
      </c>
      <c r="O251" s="42">
        <v>0</v>
      </c>
      <c r="P251" s="42">
        <v>0</v>
      </c>
      <c r="Q251" s="42">
        <v>0</v>
      </c>
      <c r="R251" s="42">
        <v>1816500012.4200001</v>
      </c>
    </row>
    <row r="252" spans="1:18" x14ac:dyDescent="0.25">
      <c r="A252" s="40" t="s">
        <v>3</v>
      </c>
      <c r="B252" s="40">
        <v>2008</v>
      </c>
      <c r="C252" s="73" t="s">
        <v>0</v>
      </c>
      <c r="D252" s="42">
        <v>0</v>
      </c>
      <c r="E252" s="42">
        <v>0</v>
      </c>
      <c r="F252" s="42">
        <v>0</v>
      </c>
      <c r="G252" s="42">
        <v>0</v>
      </c>
      <c r="H252" s="42">
        <v>0</v>
      </c>
      <c r="I252" s="42">
        <v>0</v>
      </c>
      <c r="J252" s="42">
        <v>0</v>
      </c>
      <c r="K252" s="42">
        <v>0</v>
      </c>
      <c r="L252" s="42">
        <v>0</v>
      </c>
      <c r="M252" s="42">
        <v>0</v>
      </c>
      <c r="N252" s="42">
        <v>0</v>
      </c>
      <c r="O252" s="42">
        <v>0</v>
      </c>
      <c r="P252" s="42">
        <v>0</v>
      </c>
      <c r="Q252" s="42">
        <v>0</v>
      </c>
      <c r="R252" s="42">
        <v>84554672.420000002</v>
      </c>
    </row>
    <row r="253" spans="1:18" x14ac:dyDescent="0.25">
      <c r="A253" s="40" t="s">
        <v>551</v>
      </c>
      <c r="B253" s="40">
        <v>2008</v>
      </c>
      <c r="C253" s="73" t="s">
        <v>1</v>
      </c>
      <c r="D253" s="42">
        <v>0</v>
      </c>
      <c r="E253" s="42">
        <v>0</v>
      </c>
      <c r="F253" s="42">
        <v>0</v>
      </c>
      <c r="G253" s="42">
        <v>0</v>
      </c>
      <c r="H253" s="42">
        <v>0</v>
      </c>
      <c r="I253" s="42">
        <v>0</v>
      </c>
      <c r="J253" s="42">
        <v>141990</v>
      </c>
      <c r="K253" s="42">
        <v>9317855.25</v>
      </c>
      <c r="L253" s="42">
        <v>0</v>
      </c>
      <c r="M253" s="42">
        <v>26239103.129999999</v>
      </c>
      <c r="N253" s="42">
        <v>0</v>
      </c>
      <c r="O253" s="42">
        <v>0</v>
      </c>
      <c r="P253" s="42">
        <v>0</v>
      </c>
      <c r="Q253" s="42">
        <v>0</v>
      </c>
      <c r="R253" s="42">
        <v>251812374.93000001</v>
      </c>
    </row>
    <row r="254" spans="1:18" x14ac:dyDescent="0.25">
      <c r="A254" s="40" t="s">
        <v>867</v>
      </c>
      <c r="B254" s="40">
        <v>2008</v>
      </c>
      <c r="C254" s="73" t="s">
        <v>868</v>
      </c>
      <c r="D254" s="42"/>
      <c r="E254" s="42"/>
      <c r="F254" s="42"/>
      <c r="G254" s="42">
        <v>0</v>
      </c>
      <c r="H254" s="42">
        <v>276167448.25</v>
      </c>
      <c r="I254" s="42">
        <v>0</v>
      </c>
      <c r="J254" s="42">
        <v>10414000</v>
      </c>
      <c r="K254" s="42">
        <v>177800535.11000001</v>
      </c>
      <c r="L254" s="42">
        <v>0</v>
      </c>
      <c r="M254" s="42">
        <v>161173179.37</v>
      </c>
      <c r="N254" s="42">
        <v>0</v>
      </c>
      <c r="O254" s="42">
        <v>0</v>
      </c>
      <c r="P254" s="42">
        <v>0</v>
      </c>
      <c r="Q254" s="42">
        <v>0</v>
      </c>
      <c r="R254" s="42">
        <v>651960303.61000001</v>
      </c>
    </row>
    <row r="255" spans="1:18" x14ac:dyDescent="0.25">
      <c r="A255" s="40" t="s">
        <v>360</v>
      </c>
      <c r="B255" s="40">
        <v>2009</v>
      </c>
      <c r="C255" s="73" t="s">
        <v>359</v>
      </c>
      <c r="D255" s="42">
        <v>0</v>
      </c>
      <c r="E255" s="42">
        <v>0</v>
      </c>
      <c r="F255" s="42">
        <v>0</v>
      </c>
      <c r="G255" s="42">
        <v>3599063111.1199999</v>
      </c>
      <c r="H255" s="42">
        <v>5772565553.0600004</v>
      </c>
      <c r="I255" s="42">
        <v>4054985353.98</v>
      </c>
      <c r="J255" s="42">
        <v>9253234454.8500004</v>
      </c>
      <c r="K255" s="42">
        <v>8959222798.9599991</v>
      </c>
      <c r="L255" s="42">
        <v>10571548813.719999</v>
      </c>
      <c r="M255" s="42">
        <v>2052626821.73</v>
      </c>
      <c r="N255" s="42">
        <v>11057798105.4</v>
      </c>
      <c r="O255" s="42">
        <v>7625741963.1499996</v>
      </c>
      <c r="P255" s="42">
        <v>7892450746.4399996</v>
      </c>
      <c r="Q255" s="42">
        <v>8008724354.3199997</v>
      </c>
      <c r="R255" s="42">
        <v>9752392115.7900009</v>
      </c>
    </row>
    <row r="256" spans="1:18" x14ac:dyDescent="0.25">
      <c r="A256" s="40" t="s">
        <v>358</v>
      </c>
      <c r="B256" s="40">
        <v>2009</v>
      </c>
      <c r="C256" s="73" t="s">
        <v>357</v>
      </c>
      <c r="D256" s="42">
        <v>0</v>
      </c>
      <c r="E256" s="42">
        <v>0</v>
      </c>
      <c r="F256" s="42">
        <v>0</v>
      </c>
      <c r="G256" s="42">
        <v>0</v>
      </c>
      <c r="H256" s="42">
        <v>2966660992.25</v>
      </c>
      <c r="I256" s="42">
        <v>1792442164.05</v>
      </c>
      <c r="J256" s="42">
        <v>2970691667.4699998</v>
      </c>
      <c r="K256" s="42">
        <v>1443218988.0699999</v>
      </c>
      <c r="L256" s="42">
        <v>13213995066.75</v>
      </c>
      <c r="M256" s="42">
        <v>-526004135.12</v>
      </c>
      <c r="N256" s="42">
        <v>1028449892.85</v>
      </c>
      <c r="O256" s="42">
        <v>3844220902.6399999</v>
      </c>
      <c r="P256" s="42">
        <v>4776433591.9399996</v>
      </c>
      <c r="Q256" s="42">
        <v>8481368933.0799999</v>
      </c>
      <c r="R256" s="42">
        <v>6297862641.4099998</v>
      </c>
    </row>
    <row r="257" spans="1:18" x14ac:dyDescent="0.25">
      <c r="A257" s="40" t="s">
        <v>356</v>
      </c>
      <c r="B257" s="40">
        <v>2009</v>
      </c>
      <c r="C257" s="73" t="s">
        <v>355</v>
      </c>
      <c r="D257" s="42">
        <v>0</v>
      </c>
      <c r="E257" s="42">
        <v>0</v>
      </c>
      <c r="F257" s="42">
        <v>0</v>
      </c>
      <c r="G257" s="42">
        <v>0</v>
      </c>
      <c r="H257" s="42">
        <v>920908885.29999995</v>
      </c>
      <c r="I257" s="42">
        <v>194605548.47999999</v>
      </c>
      <c r="J257" s="42">
        <v>1523840805.01</v>
      </c>
      <c r="K257" s="42">
        <v>1060402540.1</v>
      </c>
      <c r="L257" s="42">
        <v>931429684.33000004</v>
      </c>
      <c r="M257" s="42">
        <v>1434581167.45</v>
      </c>
      <c r="N257" s="42">
        <v>5432111672.4499998</v>
      </c>
      <c r="O257" s="42">
        <v>133346884.38</v>
      </c>
      <c r="P257" s="42">
        <v>1154661091.1400001</v>
      </c>
      <c r="Q257" s="42">
        <v>1443893392.03</v>
      </c>
      <c r="R257" s="42">
        <v>7816869602.1000004</v>
      </c>
    </row>
    <row r="258" spans="1:18" x14ac:dyDescent="0.25">
      <c r="A258" s="40" t="s">
        <v>353</v>
      </c>
      <c r="B258" s="40">
        <v>2009</v>
      </c>
      <c r="C258" s="73" t="s">
        <v>352</v>
      </c>
      <c r="D258" s="42">
        <v>0</v>
      </c>
      <c r="E258" s="42">
        <v>0</v>
      </c>
      <c r="F258" s="42">
        <v>0</v>
      </c>
      <c r="G258" s="42">
        <v>392278164</v>
      </c>
      <c r="H258" s="42">
        <v>2783248553.8400002</v>
      </c>
      <c r="I258" s="42">
        <v>799334015.40999997</v>
      </c>
      <c r="J258" s="42">
        <v>7374005758.4899998</v>
      </c>
      <c r="K258" s="42">
        <v>1659630717.54</v>
      </c>
      <c r="L258" s="42">
        <v>9106569157.1000004</v>
      </c>
      <c r="M258" s="42">
        <v>2391357235.6900001</v>
      </c>
      <c r="N258" s="42">
        <v>123420534.76000001</v>
      </c>
      <c r="O258" s="42">
        <v>3887952674.8699999</v>
      </c>
      <c r="P258" s="42">
        <v>7218466174.9499998</v>
      </c>
      <c r="Q258" s="42">
        <v>2146909748.45</v>
      </c>
      <c r="R258" s="42">
        <v>6425467179.3699999</v>
      </c>
    </row>
    <row r="259" spans="1:18" x14ac:dyDescent="0.25">
      <c r="A259" s="40" t="s">
        <v>351</v>
      </c>
      <c r="B259" s="40">
        <v>2009</v>
      </c>
      <c r="C259" s="73" t="s">
        <v>350</v>
      </c>
      <c r="D259" s="42">
        <v>0</v>
      </c>
      <c r="E259" s="42">
        <v>0</v>
      </c>
      <c r="F259" s="42">
        <v>0</v>
      </c>
      <c r="G259" s="42">
        <v>35663770950.599998</v>
      </c>
      <c r="H259" s="42">
        <v>9799138145.5799999</v>
      </c>
      <c r="I259" s="42">
        <v>84915924574.199997</v>
      </c>
      <c r="J259" s="42">
        <v>24794910188.400002</v>
      </c>
      <c r="K259" s="42">
        <v>4941529737.4700003</v>
      </c>
      <c r="L259" s="42">
        <v>7831426876.0900002</v>
      </c>
      <c r="M259" s="42">
        <v>70050946044.690002</v>
      </c>
      <c r="N259" s="42">
        <v>3063914821.0799999</v>
      </c>
      <c r="O259" s="42">
        <v>35096507635.529999</v>
      </c>
      <c r="P259" s="42">
        <v>46689213178.290001</v>
      </c>
      <c r="Q259" s="42">
        <v>-1142122920.53</v>
      </c>
      <c r="R259" s="42">
        <v>77808134299.100006</v>
      </c>
    </row>
    <row r="260" spans="1:18" x14ac:dyDescent="0.25">
      <c r="A260" s="40" t="s">
        <v>348</v>
      </c>
      <c r="B260" s="40">
        <v>2009</v>
      </c>
      <c r="C260" s="73" t="s">
        <v>344</v>
      </c>
      <c r="D260" s="42">
        <v>0</v>
      </c>
      <c r="E260" s="42">
        <v>0</v>
      </c>
      <c r="F260" s="42">
        <v>0</v>
      </c>
      <c r="G260" s="42">
        <v>0</v>
      </c>
      <c r="H260" s="42">
        <v>0</v>
      </c>
      <c r="I260" s="42">
        <v>0</v>
      </c>
      <c r="J260" s="42">
        <v>0</v>
      </c>
      <c r="K260" s="42">
        <v>0</v>
      </c>
      <c r="L260" s="42">
        <v>0</v>
      </c>
      <c r="M260" s="42">
        <v>0</v>
      </c>
      <c r="N260" s="42">
        <v>0</v>
      </c>
      <c r="O260" s="42">
        <v>4632311.97</v>
      </c>
      <c r="P260" s="42">
        <v>5614967</v>
      </c>
      <c r="Q260" s="42">
        <v>1053020689.6900001</v>
      </c>
      <c r="R260" s="42">
        <v>7212936</v>
      </c>
    </row>
    <row r="261" spans="1:18" x14ac:dyDescent="0.25">
      <c r="A261" s="40" t="s">
        <v>347</v>
      </c>
      <c r="B261" s="40">
        <v>2009</v>
      </c>
      <c r="C261" s="73" t="s">
        <v>342</v>
      </c>
      <c r="D261" s="42">
        <v>0</v>
      </c>
      <c r="E261" s="42">
        <v>0</v>
      </c>
      <c r="F261" s="42">
        <v>0</v>
      </c>
      <c r="G261" s="42">
        <v>0</v>
      </c>
      <c r="H261" s="42">
        <v>1445545182</v>
      </c>
      <c r="I261" s="42">
        <v>457667105.00999999</v>
      </c>
      <c r="J261" s="42">
        <v>385861062.38</v>
      </c>
      <c r="K261" s="42">
        <v>826878795.03999996</v>
      </c>
      <c r="L261" s="42">
        <v>1983140038.1500001</v>
      </c>
      <c r="M261" s="42">
        <v>133923253.79000001</v>
      </c>
      <c r="N261" s="42">
        <v>725492940.54999995</v>
      </c>
      <c r="O261" s="42">
        <v>332394205.58999997</v>
      </c>
      <c r="P261" s="42">
        <v>725786841.25</v>
      </c>
      <c r="Q261" s="42">
        <v>458348620.64999998</v>
      </c>
      <c r="R261" s="42">
        <v>909727300.29999995</v>
      </c>
    </row>
    <row r="262" spans="1:18" x14ac:dyDescent="0.25">
      <c r="A262" s="40" t="s">
        <v>345</v>
      </c>
      <c r="B262" s="40">
        <v>2009</v>
      </c>
      <c r="C262" s="73" t="s">
        <v>344</v>
      </c>
      <c r="D262" s="42">
        <v>0</v>
      </c>
      <c r="E262" s="42">
        <v>0</v>
      </c>
      <c r="F262" s="42">
        <v>0</v>
      </c>
      <c r="G262" s="42">
        <v>2534755979.4200001</v>
      </c>
      <c r="H262" s="42">
        <v>1655487626.5899999</v>
      </c>
      <c r="I262" s="42">
        <v>12500289408.24</v>
      </c>
      <c r="J262" s="42">
        <v>1046838031.83</v>
      </c>
      <c r="K262" s="42">
        <v>7476469600.0799999</v>
      </c>
      <c r="L262" s="42">
        <v>2581021354.6599998</v>
      </c>
      <c r="M262" s="42">
        <v>-884351630.49000001</v>
      </c>
      <c r="N262" s="42">
        <v>3169126531.04</v>
      </c>
      <c r="O262" s="42">
        <v>3012907854</v>
      </c>
      <c r="P262" s="42">
        <v>2353959.79</v>
      </c>
      <c r="Q262" s="42">
        <v>1622389109.78</v>
      </c>
      <c r="R262" s="42">
        <v>7116846527.3299999</v>
      </c>
    </row>
    <row r="263" spans="1:18" x14ac:dyDescent="0.25">
      <c r="A263" s="40" t="s">
        <v>343</v>
      </c>
      <c r="B263" s="40">
        <v>2009</v>
      </c>
      <c r="C263" s="73" t="s">
        <v>342</v>
      </c>
      <c r="D263" s="42">
        <v>0</v>
      </c>
      <c r="E263" s="42">
        <v>0</v>
      </c>
      <c r="F263" s="42">
        <v>0</v>
      </c>
      <c r="G263" s="42">
        <v>0</v>
      </c>
      <c r="H263" s="42">
        <v>0</v>
      </c>
      <c r="I263" s="42">
        <v>0</v>
      </c>
      <c r="J263" s="42">
        <v>0</v>
      </c>
      <c r="K263" s="42">
        <v>0</v>
      </c>
      <c r="L263" s="42">
        <v>0</v>
      </c>
      <c r="M263" s="42">
        <v>0</v>
      </c>
      <c r="N263" s="42">
        <v>0</v>
      </c>
      <c r="O263" s="42">
        <v>996230713.85000002</v>
      </c>
      <c r="P263" s="42">
        <v>1030061579.37</v>
      </c>
      <c r="Q263" s="42">
        <v>1338026472.52</v>
      </c>
      <c r="R263" s="42">
        <v>893640293.33000004</v>
      </c>
    </row>
    <row r="264" spans="1:18" x14ac:dyDescent="0.25">
      <c r="A264" s="40" t="s">
        <v>340</v>
      </c>
      <c r="B264" s="40">
        <v>2009</v>
      </c>
      <c r="C264" s="73" t="s">
        <v>339</v>
      </c>
      <c r="D264" s="42">
        <v>0</v>
      </c>
      <c r="E264" s="42">
        <v>0</v>
      </c>
      <c r="F264" s="42">
        <v>0</v>
      </c>
      <c r="G264" s="42">
        <v>0</v>
      </c>
      <c r="H264" s="42">
        <v>3718579537.3600001</v>
      </c>
      <c r="I264" s="42">
        <v>587802589.21000004</v>
      </c>
      <c r="J264" s="42">
        <v>3116577126.6799998</v>
      </c>
      <c r="K264" s="42">
        <v>2268658810.9699998</v>
      </c>
      <c r="L264" s="42">
        <v>6340881730.3299999</v>
      </c>
      <c r="M264" s="42">
        <v>-339802181.16000003</v>
      </c>
      <c r="N264" s="42">
        <v>3152203701.7199998</v>
      </c>
      <c r="O264" s="42">
        <v>2578226896.0300002</v>
      </c>
      <c r="P264" s="42">
        <v>4617753220.1400003</v>
      </c>
      <c r="Q264" s="42">
        <v>5112554511.9300003</v>
      </c>
      <c r="R264" s="42">
        <v>-459327563.77999997</v>
      </c>
    </row>
    <row r="265" spans="1:18" x14ac:dyDescent="0.25">
      <c r="A265" s="40" t="s">
        <v>520</v>
      </c>
      <c r="B265" s="40">
        <v>2009</v>
      </c>
      <c r="C265" s="73" t="s">
        <v>337</v>
      </c>
      <c r="D265" s="42">
        <v>0</v>
      </c>
      <c r="E265" s="42">
        <v>0</v>
      </c>
      <c r="F265" s="42">
        <v>0</v>
      </c>
      <c r="G265" s="42">
        <v>420506737</v>
      </c>
      <c r="H265" s="42">
        <v>0</v>
      </c>
      <c r="I265" s="42">
        <v>0</v>
      </c>
      <c r="J265" s="42">
        <v>0</v>
      </c>
      <c r="K265" s="42">
        <v>0</v>
      </c>
      <c r="L265" s="42">
        <v>0</v>
      </c>
      <c r="M265" s="42">
        <v>0</v>
      </c>
      <c r="N265" s="42">
        <v>0</v>
      </c>
      <c r="O265" s="42">
        <v>0</v>
      </c>
      <c r="P265" s="42">
        <v>0</v>
      </c>
      <c r="Q265" s="42">
        <v>0</v>
      </c>
      <c r="R265" s="42">
        <v>0</v>
      </c>
    </row>
    <row r="266" spans="1:18" x14ac:dyDescent="0.25">
      <c r="A266" s="40" t="s">
        <v>335</v>
      </c>
      <c r="B266" s="40">
        <v>2009</v>
      </c>
      <c r="C266" s="73" t="s">
        <v>334</v>
      </c>
      <c r="D266" s="42">
        <v>0</v>
      </c>
      <c r="E266" s="42">
        <v>0</v>
      </c>
      <c r="F266" s="42">
        <v>0</v>
      </c>
      <c r="G266" s="42">
        <v>0</v>
      </c>
      <c r="H266" s="42">
        <v>0</v>
      </c>
      <c r="I266" s="42">
        <v>0</v>
      </c>
      <c r="J266" s="42">
        <v>0</v>
      </c>
      <c r="K266" s="42">
        <v>0</v>
      </c>
      <c r="L266" s="42">
        <v>0</v>
      </c>
      <c r="M266" s="42">
        <v>0</v>
      </c>
      <c r="N266" s="42">
        <v>0</v>
      </c>
      <c r="O266" s="42">
        <v>0</v>
      </c>
      <c r="P266" s="42">
        <v>0</v>
      </c>
      <c r="Q266" s="42">
        <v>0</v>
      </c>
      <c r="R266" s="42">
        <v>55274959.93</v>
      </c>
    </row>
    <row r="267" spans="1:18" x14ac:dyDescent="0.25">
      <c r="A267" s="40" t="s">
        <v>332</v>
      </c>
      <c r="B267" s="40">
        <v>2009</v>
      </c>
      <c r="C267" s="73" t="s">
        <v>331</v>
      </c>
      <c r="D267" s="42">
        <v>0</v>
      </c>
      <c r="E267" s="42">
        <v>0</v>
      </c>
      <c r="F267" s="42">
        <v>0</v>
      </c>
      <c r="G267" s="42">
        <v>16903520591</v>
      </c>
      <c r="H267" s="42">
        <v>6903238074</v>
      </c>
      <c r="I267" s="42">
        <v>1822807159</v>
      </c>
      <c r="J267" s="42">
        <v>1508367101</v>
      </c>
      <c r="K267" s="42">
        <v>1067021516</v>
      </c>
      <c r="L267" s="42">
        <v>1001755211.6</v>
      </c>
      <c r="M267" s="42">
        <v>1006247503</v>
      </c>
      <c r="N267" s="42">
        <v>763734141</v>
      </c>
      <c r="O267" s="42">
        <v>611628344</v>
      </c>
      <c r="P267" s="42">
        <v>509125110</v>
      </c>
      <c r="Q267" s="42">
        <v>640056270</v>
      </c>
      <c r="R267" s="42">
        <v>45186677313</v>
      </c>
    </row>
    <row r="268" spans="1:18" x14ac:dyDescent="0.25">
      <c r="A268" s="40" t="s">
        <v>329</v>
      </c>
      <c r="B268" s="40">
        <v>2009</v>
      </c>
      <c r="C268" s="73" t="s">
        <v>328</v>
      </c>
      <c r="D268" s="42">
        <v>0</v>
      </c>
      <c r="E268" s="42">
        <v>0</v>
      </c>
      <c r="F268" s="42">
        <v>0</v>
      </c>
      <c r="G268" s="42">
        <v>66944345</v>
      </c>
      <c r="H268" s="42">
        <v>12285779</v>
      </c>
      <c r="I268" s="42">
        <v>3377475</v>
      </c>
      <c r="J268" s="42">
        <v>2527646</v>
      </c>
      <c r="K268" s="42">
        <v>1661957</v>
      </c>
      <c r="L268" s="42">
        <v>1542410</v>
      </c>
      <c r="M268" s="42">
        <v>1518587</v>
      </c>
      <c r="N268" s="42">
        <v>1385027</v>
      </c>
      <c r="O268" s="42">
        <v>1145962</v>
      </c>
      <c r="P268" s="42">
        <v>1080628</v>
      </c>
      <c r="Q268" s="42">
        <v>1447547</v>
      </c>
      <c r="R268" s="42">
        <v>58228087</v>
      </c>
    </row>
    <row r="269" spans="1:18" x14ac:dyDescent="0.25">
      <c r="A269" s="40" t="s">
        <v>325</v>
      </c>
      <c r="B269" s="40">
        <v>2009</v>
      </c>
      <c r="C269" s="73" t="s">
        <v>324</v>
      </c>
      <c r="D269" s="42">
        <v>0</v>
      </c>
      <c r="E269" s="42">
        <v>0</v>
      </c>
      <c r="F269" s="42">
        <v>0</v>
      </c>
      <c r="G269" s="42">
        <v>11507642.359999999</v>
      </c>
      <c r="H269" s="42">
        <v>7617010</v>
      </c>
      <c r="I269" s="42">
        <v>13139990.189999999</v>
      </c>
      <c r="J269" s="42">
        <v>229604495.78</v>
      </c>
      <c r="K269" s="42">
        <v>189796920.08000001</v>
      </c>
      <c r="L269" s="42">
        <v>-17194.25</v>
      </c>
      <c r="M269" s="42">
        <v>16518693.18</v>
      </c>
      <c r="N269" s="42">
        <v>34582523.439999998</v>
      </c>
      <c r="O269" s="42">
        <v>6887448.6200000001</v>
      </c>
      <c r="P269" s="42">
        <v>5825079.6200000001</v>
      </c>
      <c r="Q269" s="42">
        <v>8039640.3099999996</v>
      </c>
      <c r="R269" s="42">
        <v>-2752572.03</v>
      </c>
    </row>
    <row r="270" spans="1:18" x14ac:dyDescent="0.25">
      <c r="A270" s="40" t="s">
        <v>320</v>
      </c>
      <c r="B270" s="40">
        <v>2009</v>
      </c>
      <c r="C270" s="73" t="s">
        <v>319</v>
      </c>
      <c r="D270" s="42">
        <v>0</v>
      </c>
      <c r="E270" s="42">
        <v>0</v>
      </c>
      <c r="F270" s="42">
        <v>0</v>
      </c>
      <c r="G270" s="42">
        <v>664772889</v>
      </c>
      <c r="H270" s="42">
        <v>962215937</v>
      </c>
      <c r="I270" s="42">
        <v>1174246787</v>
      </c>
      <c r="J270" s="42">
        <v>905901745</v>
      </c>
      <c r="K270" s="42">
        <v>1199708060</v>
      </c>
      <c r="L270" s="42">
        <v>1177144541.49</v>
      </c>
      <c r="M270" s="42">
        <v>1100319350.6800001</v>
      </c>
      <c r="N270" s="42">
        <v>1135936554</v>
      </c>
      <c r="O270" s="42">
        <v>1231505112</v>
      </c>
      <c r="P270" s="42">
        <v>1109725358</v>
      </c>
      <c r="Q270" s="42">
        <v>1008953635</v>
      </c>
      <c r="R270" s="42">
        <v>1063832568</v>
      </c>
    </row>
    <row r="271" spans="1:18" x14ac:dyDescent="0.25">
      <c r="A271" s="40" t="s">
        <v>317</v>
      </c>
      <c r="B271" s="40">
        <v>2009</v>
      </c>
      <c r="C271" s="73" t="s">
        <v>316</v>
      </c>
      <c r="D271" s="42">
        <v>0</v>
      </c>
      <c r="E271" s="42">
        <v>0</v>
      </c>
      <c r="F271" s="42">
        <v>0</v>
      </c>
      <c r="G271" s="42">
        <v>623939314</v>
      </c>
      <c r="H271" s="42">
        <v>719947713</v>
      </c>
      <c r="I271" s="42">
        <v>808151659</v>
      </c>
      <c r="J271" s="42">
        <v>702843737</v>
      </c>
      <c r="K271" s="42">
        <v>832903992.39999998</v>
      </c>
      <c r="L271" s="42">
        <v>846544375.63</v>
      </c>
      <c r="M271" s="42">
        <v>930150393</v>
      </c>
      <c r="N271" s="42">
        <v>815508186</v>
      </c>
      <c r="O271" s="42">
        <v>802777128</v>
      </c>
      <c r="P271" s="42">
        <v>921542497</v>
      </c>
      <c r="Q271" s="42">
        <v>1003251542</v>
      </c>
      <c r="R271" s="42">
        <v>604343910.07000005</v>
      </c>
    </row>
    <row r="272" spans="1:18" x14ac:dyDescent="0.25">
      <c r="A272" s="40" t="s">
        <v>313</v>
      </c>
      <c r="B272" s="40">
        <v>2009</v>
      </c>
      <c r="C272" s="73" t="s">
        <v>312</v>
      </c>
      <c r="D272" s="42">
        <v>0</v>
      </c>
      <c r="E272" s="42">
        <v>0</v>
      </c>
      <c r="F272" s="42">
        <v>0</v>
      </c>
      <c r="G272" s="42">
        <v>45003025160.989998</v>
      </c>
      <c r="H272" s="42">
        <v>38097455724.330002</v>
      </c>
      <c r="I272" s="42">
        <v>35521717431.080002</v>
      </c>
      <c r="J272" s="42">
        <v>38100097512.220001</v>
      </c>
      <c r="K272" s="42">
        <v>36065710500.029999</v>
      </c>
      <c r="L272" s="42">
        <v>34971651628.75</v>
      </c>
      <c r="M272" s="42">
        <v>36691053897.150002</v>
      </c>
      <c r="N272" s="42">
        <v>37388072127.360001</v>
      </c>
      <c r="O272" s="42">
        <v>38155438191.809998</v>
      </c>
      <c r="P272" s="42">
        <v>35432057122.330002</v>
      </c>
      <c r="Q272" s="42">
        <v>37145533043.959999</v>
      </c>
      <c r="R272" s="42">
        <v>39031729081.129997</v>
      </c>
    </row>
    <row r="273" spans="1:18" x14ac:dyDescent="0.25">
      <c r="A273" s="40" t="s">
        <v>310</v>
      </c>
      <c r="B273" s="40">
        <v>2009</v>
      </c>
      <c r="C273" s="73" t="s">
        <v>309</v>
      </c>
      <c r="D273" s="42">
        <v>0</v>
      </c>
      <c r="E273" s="42">
        <v>0</v>
      </c>
      <c r="F273" s="42">
        <v>0</v>
      </c>
      <c r="G273" s="42">
        <v>28819202290.189999</v>
      </c>
      <c r="H273" s="42">
        <v>28618540477.080002</v>
      </c>
      <c r="I273" s="42">
        <v>30299801104.82</v>
      </c>
      <c r="J273" s="42">
        <v>28788397592.959999</v>
      </c>
      <c r="K273" s="42">
        <v>28725548375.110001</v>
      </c>
      <c r="L273" s="42">
        <v>29917285926.279999</v>
      </c>
      <c r="M273" s="42">
        <v>32588943610.66</v>
      </c>
      <c r="N273" s="42">
        <v>31907758391.68</v>
      </c>
      <c r="O273" s="42">
        <v>31401899040.389999</v>
      </c>
      <c r="P273" s="42">
        <v>35589140077.419998</v>
      </c>
      <c r="Q273" s="42">
        <v>36101855323.160004</v>
      </c>
      <c r="R273" s="42">
        <v>36175991731.550003</v>
      </c>
    </row>
    <row r="274" spans="1:18" x14ac:dyDescent="0.25">
      <c r="A274" s="40" t="s">
        <v>306</v>
      </c>
      <c r="B274" s="40">
        <v>2009</v>
      </c>
      <c r="C274" s="73" t="s">
        <v>305</v>
      </c>
      <c r="D274" s="42">
        <v>0</v>
      </c>
      <c r="E274" s="42">
        <v>0</v>
      </c>
      <c r="F274" s="42">
        <v>0</v>
      </c>
      <c r="G274" s="42">
        <v>2380922506</v>
      </c>
      <c r="H274" s="42">
        <v>1794661035.4200001</v>
      </c>
      <c r="I274" s="42">
        <v>1750048835.1500001</v>
      </c>
      <c r="J274" s="42">
        <v>2437924636</v>
      </c>
      <c r="K274" s="42">
        <v>2034652174</v>
      </c>
      <c r="L274" s="42">
        <v>1942761832</v>
      </c>
      <c r="M274" s="42">
        <v>2124370587.5799999</v>
      </c>
      <c r="N274" s="42">
        <v>2048866399.25</v>
      </c>
      <c r="O274" s="42">
        <v>2142225159.6099999</v>
      </c>
      <c r="P274" s="42">
        <v>2025951181.53</v>
      </c>
      <c r="Q274" s="42">
        <v>2059923446.1300001</v>
      </c>
      <c r="R274" s="42">
        <v>1952590267.54</v>
      </c>
    </row>
    <row r="275" spans="1:18" x14ac:dyDescent="0.25">
      <c r="A275" s="40" t="s">
        <v>303</v>
      </c>
      <c r="B275" s="40">
        <v>2009</v>
      </c>
      <c r="C275" s="73" t="s">
        <v>302</v>
      </c>
      <c r="D275" s="42">
        <v>0</v>
      </c>
      <c r="E275" s="42">
        <v>0</v>
      </c>
      <c r="F275" s="42">
        <v>0</v>
      </c>
      <c r="G275" s="42">
        <v>6828604684.25</v>
      </c>
      <c r="H275" s="42">
        <v>6291167698.0299997</v>
      </c>
      <c r="I275" s="42">
        <v>8572018287.1000004</v>
      </c>
      <c r="J275" s="42">
        <v>8280338126.3999996</v>
      </c>
      <c r="K275" s="42">
        <v>6264530802.6700001</v>
      </c>
      <c r="L275" s="42">
        <v>6952656698.2600002</v>
      </c>
      <c r="M275" s="42">
        <v>7891052555.4200001</v>
      </c>
      <c r="N275" s="42">
        <v>7100011334.2700005</v>
      </c>
      <c r="O275" s="42">
        <v>7540343818.6899996</v>
      </c>
      <c r="P275" s="42">
        <v>8429490342.3800001</v>
      </c>
      <c r="Q275" s="42">
        <v>9169182403.8099995</v>
      </c>
      <c r="R275" s="42">
        <v>9429523463.7299995</v>
      </c>
    </row>
    <row r="276" spans="1:18" x14ac:dyDescent="0.25">
      <c r="A276" s="40" t="s">
        <v>472</v>
      </c>
      <c r="B276" s="40">
        <v>2009</v>
      </c>
      <c r="C276" s="73" t="s">
        <v>471</v>
      </c>
      <c r="D276" s="42">
        <v>0</v>
      </c>
      <c r="E276" s="42">
        <v>0</v>
      </c>
      <c r="F276" s="42">
        <v>0</v>
      </c>
      <c r="G276" s="42">
        <v>0</v>
      </c>
      <c r="H276" s="42">
        <v>8200</v>
      </c>
      <c r="I276" s="42">
        <v>0</v>
      </c>
      <c r="J276" s="42">
        <v>0</v>
      </c>
      <c r="K276" s="42">
        <v>0</v>
      </c>
      <c r="L276" s="42">
        <v>8180</v>
      </c>
      <c r="M276" s="42">
        <v>0</v>
      </c>
      <c r="N276" s="42">
        <v>0</v>
      </c>
      <c r="O276" s="42">
        <v>9000</v>
      </c>
      <c r="P276" s="42">
        <v>0</v>
      </c>
      <c r="Q276" s="42">
        <v>0</v>
      </c>
      <c r="R276" s="42">
        <v>0</v>
      </c>
    </row>
    <row r="277" spans="1:18" x14ac:dyDescent="0.25">
      <c r="A277" s="40" t="s">
        <v>499</v>
      </c>
      <c r="B277" s="40">
        <v>2009</v>
      </c>
      <c r="C277" s="73" t="s">
        <v>498</v>
      </c>
      <c r="D277" s="42">
        <v>0</v>
      </c>
      <c r="E277" s="42">
        <v>0</v>
      </c>
      <c r="F277" s="42">
        <v>0</v>
      </c>
      <c r="G277" s="42">
        <v>0</v>
      </c>
      <c r="H277" s="42">
        <v>3000</v>
      </c>
      <c r="I277" s="42">
        <v>0</v>
      </c>
      <c r="J277" s="42">
        <v>0</v>
      </c>
      <c r="K277" s="42">
        <v>0</v>
      </c>
      <c r="L277" s="42">
        <v>0</v>
      </c>
      <c r="M277" s="42">
        <v>0</v>
      </c>
      <c r="N277" s="42">
        <v>0</v>
      </c>
      <c r="O277" s="42">
        <v>0</v>
      </c>
      <c r="P277" s="42">
        <v>0</v>
      </c>
      <c r="Q277" s="42">
        <v>6600</v>
      </c>
      <c r="R277" s="42">
        <v>0</v>
      </c>
    </row>
    <row r="278" spans="1:18" x14ac:dyDescent="0.25">
      <c r="A278" s="40" t="s">
        <v>298</v>
      </c>
      <c r="B278" s="40">
        <v>2009</v>
      </c>
      <c r="C278" s="73" t="s">
        <v>281</v>
      </c>
      <c r="D278" s="42">
        <v>0</v>
      </c>
      <c r="E278" s="42">
        <v>0</v>
      </c>
      <c r="F278" s="42">
        <v>0</v>
      </c>
      <c r="G278" s="42">
        <v>26484746762</v>
      </c>
      <c r="H278" s="42">
        <v>9616933458</v>
      </c>
      <c r="I278" s="42">
        <v>13366493968</v>
      </c>
      <c r="J278" s="42">
        <v>15433179818</v>
      </c>
      <c r="K278" s="42">
        <v>14422773732</v>
      </c>
      <c r="L278" s="42">
        <v>9051612915</v>
      </c>
      <c r="M278" s="42">
        <v>20015808687.330002</v>
      </c>
      <c r="N278" s="42">
        <v>13027069098</v>
      </c>
      <c r="O278" s="42">
        <v>14034987071</v>
      </c>
      <c r="P278" s="42">
        <v>15831881791</v>
      </c>
      <c r="Q278" s="42">
        <v>15105526043</v>
      </c>
      <c r="R278" s="42">
        <v>13671804531</v>
      </c>
    </row>
    <row r="279" spans="1:18" x14ac:dyDescent="0.25">
      <c r="A279" s="40" t="s">
        <v>297</v>
      </c>
      <c r="B279" s="40">
        <v>2009</v>
      </c>
      <c r="C279" s="73" t="s">
        <v>287</v>
      </c>
      <c r="D279" s="42">
        <v>0</v>
      </c>
      <c r="E279" s="42">
        <v>0</v>
      </c>
      <c r="F279" s="42">
        <v>0</v>
      </c>
      <c r="G279" s="42">
        <v>9084355413.9099998</v>
      </c>
      <c r="H279" s="42">
        <v>14429861380.969999</v>
      </c>
      <c r="I279" s="42">
        <v>11223835961.67</v>
      </c>
      <c r="J279" s="42">
        <v>10321672006.889999</v>
      </c>
      <c r="K279" s="42">
        <v>11403841062.030001</v>
      </c>
      <c r="L279" s="42">
        <v>11612476685.389999</v>
      </c>
      <c r="M279" s="42">
        <v>12909610439.139999</v>
      </c>
      <c r="N279" s="42">
        <v>10546479982.74</v>
      </c>
      <c r="O279" s="42">
        <v>7455945491.25</v>
      </c>
      <c r="P279" s="42">
        <v>10408126217.959999</v>
      </c>
      <c r="Q279" s="42">
        <v>11297224643.280001</v>
      </c>
      <c r="R279" s="42">
        <v>7517726795.5900002</v>
      </c>
    </row>
    <row r="280" spans="1:18" x14ac:dyDescent="0.25">
      <c r="A280" s="40" t="s">
        <v>295</v>
      </c>
      <c r="B280" s="40">
        <v>2009</v>
      </c>
      <c r="C280" s="73" t="s">
        <v>281</v>
      </c>
      <c r="D280" s="42">
        <v>0</v>
      </c>
      <c r="E280" s="42">
        <v>0</v>
      </c>
      <c r="F280" s="42">
        <v>0</v>
      </c>
      <c r="G280" s="42">
        <v>2812316255</v>
      </c>
      <c r="H280" s="42">
        <v>1445079775</v>
      </c>
      <c r="I280" s="42">
        <v>1616888395</v>
      </c>
      <c r="J280" s="42">
        <v>1910020837</v>
      </c>
      <c r="K280" s="42">
        <v>1994811661</v>
      </c>
      <c r="L280" s="42">
        <v>2324082954</v>
      </c>
      <c r="M280" s="42">
        <v>2011349744.9000001</v>
      </c>
      <c r="N280" s="42">
        <v>1888633344.6400001</v>
      </c>
      <c r="O280" s="42">
        <v>2016939502.8499999</v>
      </c>
      <c r="P280" s="42">
        <v>2388621551.52</v>
      </c>
      <c r="Q280" s="42">
        <v>1969130896.6500001</v>
      </c>
      <c r="R280" s="42">
        <v>2533433046</v>
      </c>
    </row>
    <row r="281" spans="1:18" x14ac:dyDescent="0.25">
      <c r="A281" s="40" t="s">
        <v>294</v>
      </c>
      <c r="B281" s="40">
        <v>2009</v>
      </c>
      <c r="C281" s="73" t="s">
        <v>287</v>
      </c>
      <c r="D281" s="42">
        <v>0</v>
      </c>
      <c r="E281" s="42">
        <v>0</v>
      </c>
      <c r="F281" s="42">
        <v>0</v>
      </c>
      <c r="G281" s="42">
        <v>279873674.57999998</v>
      </c>
      <c r="H281" s="42">
        <v>317500696.97000003</v>
      </c>
      <c r="I281" s="42">
        <v>366255423.98000002</v>
      </c>
      <c r="J281" s="42">
        <v>277425695.01999998</v>
      </c>
      <c r="K281" s="42">
        <v>283005490.26999998</v>
      </c>
      <c r="L281" s="42">
        <v>304724831.06999999</v>
      </c>
      <c r="M281" s="42">
        <v>373640691.52999997</v>
      </c>
      <c r="N281" s="42">
        <v>296962581.35000002</v>
      </c>
      <c r="O281" s="42">
        <v>400167551.79000002</v>
      </c>
      <c r="P281" s="42">
        <v>569242650.47000003</v>
      </c>
      <c r="Q281" s="42">
        <v>563113819.82000005</v>
      </c>
      <c r="R281" s="42">
        <v>695933038.98000002</v>
      </c>
    </row>
    <row r="282" spans="1:18" x14ac:dyDescent="0.25">
      <c r="A282" s="40" t="s">
        <v>292</v>
      </c>
      <c r="B282" s="40">
        <v>2009</v>
      </c>
      <c r="C282" s="73" t="s">
        <v>281</v>
      </c>
      <c r="D282" s="42">
        <v>0</v>
      </c>
      <c r="E282" s="42">
        <v>0</v>
      </c>
      <c r="F282" s="42">
        <v>0</v>
      </c>
      <c r="G282" s="42">
        <v>2242649872</v>
      </c>
      <c r="H282" s="42">
        <v>1763947303</v>
      </c>
      <c r="I282" s="42">
        <v>1729246364</v>
      </c>
      <c r="J282" s="42">
        <v>1929314130</v>
      </c>
      <c r="K282" s="42">
        <v>2053474448</v>
      </c>
      <c r="L282" s="42">
        <v>1918517130</v>
      </c>
      <c r="M282" s="42">
        <v>1878462315</v>
      </c>
      <c r="N282" s="42">
        <v>1943715684</v>
      </c>
      <c r="O282" s="42">
        <v>1874142061</v>
      </c>
      <c r="P282" s="42">
        <v>1711752276</v>
      </c>
      <c r="Q282" s="42">
        <v>2016195969.98</v>
      </c>
      <c r="R282" s="42">
        <v>1864901981</v>
      </c>
    </row>
    <row r="283" spans="1:18" x14ac:dyDescent="0.25">
      <c r="A283" s="40" t="s">
        <v>291</v>
      </c>
      <c r="B283" s="40">
        <v>2009</v>
      </c>
      <c r="C283" s="73" t="s">
        <v>287</v>
      </c>
      <c r="D283" s="42">
        <v>0</v>
      </c>
      <c r="E283" s="42">
        <v>0</v>
      </c>
      <c r="F283" s="42">
        <v>0</v>
      </c>
      <c r="G283" s="42">
        <v>89421171.739999995</v>
      </c>
      <c r="H283" s="42">
        <v>110427951.98</v>
      </c>
      <c r="I283" s="42">
        <v>141647892.03</v>
      </c>
      <c r="J283" s="42">
        <v>122226531.45999999</v>
      </c>
      <c r="K283" s="42">
        <v>108439432.95999999</v>
      </c>
      <c r="L283" s="42">
        <v>123662069.89</v>
      </c>
      <c r="M283" s="42">
        <v>108506924.61</v>
      </c>
      <c r="N283" s="42">
        <v>104882212.81</v>
      </c>
      <c r="O283" s="42">
        <v>106780015.09</v>
      </c>
      <c r="P283" s="42">
        <v>123312847.48999999</v>
      </c>
      <c r="Q283" s="42">
        <v>212477304.38</v>
      </c>
      <c r="R283" s="42">
        <v>148174228.13</v>
      </c>
    </row>
    <row r="284" spans="1:18" x14ac:dyDescent="0.25">
      <c r="A284" s="40" t="s">
        <v>289</v>
      </c>
      <c r="B284" s="40">
        <v>2009</v>
      </c>
      <c r="C284" s="73" t="s">
        <v>287</v>
      </c>
      <c r="D284" s="42">
        <v>0</v>
      </c>
      <c r="E284" s="42">
        <v>0</v>
      </c>
      <c r="F284" s="42">
        <v>0</v>
      </c>
      <c r="G284" s="42">
        <v>74669486.25</v>
      </c>
      <c r="H284" s="42">
        <v>81765053.170000002</v>
      </c>
      <c r="I284" s="42">
        <v>79818124.579999998</v>
      </c>
      <c r="J284" s="42">
        <v>92981668.310000002</v>
      </c>
      <c r="K284" s="42">
        <v>110868009.22</v>
      </c>
      <c r="L284" s="42">
        <v>88699868.379999995</v>
      </c>
      <c r="M284" s="42">
        <v>110553184.16</v>
      </c>
      <c r="N284" s="42">
        <v>81280937.609999999</v>
      </c>
      <c r="O284" s="42">
        <v>92818462.340000004</v>
      </c>
      <c r="P284" s="42">
        <v>108576013.26000001</v>
      </c>
      <c r="Q284" s="42">
        <v>90987267.689999998</v>
      </c>
      <c r="R284" s="42">
        <v>97377422.799999997</v>
      </c>
    </row>
    <row r="285" spans="1:18" x14ac:dyDescent="0.25">
      <c r="A285" s="40" t="s">
        <v>286</v>
      </c>
      <c r="B285" s="40">
        <v>2009</v>
      </c>
      <c r="C285" s="73" t="s">
        <v>285</v>
      </c>
      <c r="D285" s="42">
        <v>0</v>
      </c>
      <c r="E285" s="42">
        <v>0</v>
      </c>
      <c r="F285" s="42">
        <v>0</v>
      </c>
      <c r="G285" s="42">
        <v>20407546.280000001</v>
      </c>
      <c r="H285" s="42">
        <v>17158755.629999999</v>
      </c>
      <c r="I285" s="42">
        <v>20109865.699999999</v>
      </c>
      <c r="J285" s="42">
        <v>19477782.93</v>
      </c>
      <c r="K285" s="42">
        <v>22161413.09</v>
      </c>
      <c r="L285" s="42">
        <v>21670805.300000001</v>
      </c>
      <c r="M285" s="42">
        <v>22088370.98</v>
      </c>
      <c r="N285" s="42">
        <v>24182102.949999999</v>
      </c>
      <c r="O285" s="42">
        <v>23904618.640000001</v>
      </c>
      <c r="P285" s="42">
        <v>20988720.82</v>
      </c>
      <c r="Q285" s="42">
        <v>20726089.920000002</v>
      </c>
      <c r="R285" s="42">
        <v>20587784.859999999</v>
      </c>
    </row>
    <row r="286" spans="1:18" x14ac:dyDescent="0.25">
      <c r="A286" s="40" t="s">
        <v>276</v>
      </c>
      <c r="B286" s="40">
        <v>2009</v>
      </c>
      <c r="C286" s="73" t="s">
        <v>275</v>
      </c>
      <c r="D286" s="42">
        <v>0</v>
      </c>
      <c r="E286" s="42">
        <v>0</v>
      </c>
      <c r="F286" s="42">
        <v>0</v>
      </c>
      <c r="G286" s="42">
        <v>53995278</v>
      </c>
      <c r="H286" s="42">
        <v>27659912</v>
      </c>
      <c r="I286" s="42">
        <v>83549654</v>
      </c>
      <c r="J286" s="42">
        <v>48071682</v>
      </c>
      <c r="K286" s="42">
        <v>22590902</v>
      </c>
      <c r="L286" s="42">
        <v>22159382</v>
      </c>
      <c r="M286" s="42">
        <v>33491139</v>
      </c>
      <c r="N286" s="42">
        <v>26762563.960000001</v>
      </c>
      <c r="O286" s="42">
        <v>15090411.65</v>
      </c>
      <c r="P286" s="42">
        <v>13776146.74</v>
      </c>
      <c r="Q286" s="42">
        <v>35335373.280000001</v>
      </c>
      <c r="R286" s="42">
        <v>28308106.620000001</v>
      </c>
    </row>
    <row r="287" spans="1:18" x14ac:dyDescent="0.25">
      <c r="A287" s="40" t="s">
        <v>268</v>
      </c>
      <c r="B287" s="40">
        <v>2009</v>
      </c>
      <c r="C287" s="73" t="s">
        <v>267</v>
      </c>
      <c r="D287" s="42">
        <v>0</v>
      </c>
      <c r="E287" s="42">
        <v>0</v>
      </c>
      <c r="F287" s="42">
        <v>0</v>
      </c>
      <c r="G287" s="42">
        <v>7858932403.2200003</v>
      </c>
      <c r="H287" s="42">
        <v>7453571320.1199999</v>
      </c>
      <c r="I287" s="42">
        <v>7682392945.96</v>
      </c>
      <c r="J287" s="42">
        <v>6609769442.0200005</v>
      </c>
      <c r="K287" s="42">
        <v>6861587648.54</v>
      </c>
      <c r="L287" s="42">
        <v>8089590302.9200001</v>
      </c>
      <c r="M287" s="42">
        <v>8396831193.04</v>
      </c>
      <c r="N287" s="42">
        <v>7771649608.3100004</v>
      </c>
      <c r="O287" s="42">
        <v>8364029326.5100002</v>
      </c>
      <c r="P287" s="42">
        <v>9209829246.7399998</v>
      </c>
      <c r="Q287" s="42">
        <v>9806221936.3899994</v>
      </c>
      <c r="R287" s="42">
        <v>8896537183.5300007</v>
      </c>
    </row>
    <row r="288" spans="1:18" x14ac:dyDescent="0.25">
      <c r="A288" s="40" t="s">
        <v>264</v>
      </c>
      <c r="B288" s="40">
        <v>2009</v>
      </c>
      <c r="C288" s="73" t="s">
        <v>263</v>
      </c>
      <c r="D288" s="42">
        <v>0</v>
      </c>
      <c r="E288" s="42">
        <v>0</v>
      </c>
      <c r="F288" s="42">
        <v>0</v>
      </c>
      <c r="G288" s="42">
        <v>1697216785.22</v>
      </c>
      <c r="H288" s="42">
        <v>1504662853</v>
      </c>
      <c r="I288" s="42">
        <v>1577516849.5899999</v>
      </c>
      <c r="J288" s="42">
        <v>1403287237.6900001</v>
      </c>
      <c r="K288" s="42">
        <v>1338359127.24</v>
      </c>
      <c r="L288" s="42">
        <v>1685181601.0699999</v>
      </c>
      <c r="M288" s="42">
        <v>1814419839.0599999</v>
      </c>
      <c r="N288" s="42">
        <v>1752511579.1099999</v>
      </c>
      <c r="O288" s="42">
        <v>1704762809.1800001</v>
      </c>
      <c r="P288" s="42">
        <v>1927542602.6600001</v>
      </c>
      <c r="Q288" s="42">
        <v>1899733756.6900001</v>
      </c>
      <c r="R288" s="42">
        <v>1949838849.4400001</v>
      </c>
    </row>
    <row r="289" spans="1:18" x14ac:dyDescent="0.25">
      <c r="A289" s="40" t="s">
        <v>260</v>
      </c>
      <c r="B289" s="40">
        <v>2009</v>
      </c>
      <c r="C289" s="73" t="s">
        <v>259</v>
      </c>
      <c r="D289" s="42">
        <v>0</v>
      </c>
      <c r="E289" s="42">
        <v>0</v>
      </c>
      <c r="F289" s="42">
        <v>0</v>
      </c>
      <c r="G289" s="42">
        <v>91980601.239999995</v>
      </c>
      <c r="H289" s="42">
        <v>74159502.219999999</v>
      </c>
      <c r="I289" s="42">
        <v>38344001.18</v>
      </c>
      <c r="J289" s="42">
        <v>168295927.47</v>
      </c>
      <c r="K289" s="42">
        <v>85925468.950000003</v>
      </c>
      <c r="L289" s="42">
        <v>456564450.62</v>
      </c>
      <c r="M289" s="42">
        <v>311545029.63</v>
      </c>
      <c r="N289" s="42">
        <v>404702077.38999999</v>
      </c>
      <c r="O289" s="42">
        <v>344792915.52999997</v>
      </c>
      <c r="P289" s="42">
        <v>332796017.01999998</v>
      </c>
      <c r="Q289" s="42">
        <v>421162646.66000003</v>
      </c>
      <c r="R289" s="42">
        <v>1804157615.51</v>
      </c>
    </row>
    <row r="290" spans="1:18" x14ac:dyDescent="0.25">
      <c r="A290" s="40" t="s">
        <v>258</v>
      </c>
      <c r="B290" s="40">
        <v>2009</v>
      </c>
      <c r="C290" s="73" t="s">
        <v>257</v>
      </c>
      <c r="D290" s="42">
        <v>0</v>
      </c>
      <c r="E290" s="42">
        <v>0</v>
      </c>
      <c r="F290" s="42">
        <v>0</v>
      </c>
      <c r="G290" s="42">
        <v>13117888.699999999</v>
      </c>
      <c r="H290" s="42">
        <v>9564820.5</v>
      </c>
      <c r="I290" s="42">
        <v>9739225.3000000007</v>
      </c>
      <c r="J290" s="42">
        <v>12613570.24</v>
      </c>
      <c r="K290" s="42">
        <v>11307666.5</v>
      </c>
      <c r="L290" s="42">
        <v>12987630</v>
      </c>
      <c r="M290" s="42">
        <v>11399092.01</v>
      </c>
      <c r="N290" s="42">
        <v>10671678</v>
      </c>
      <c r="O290" s="42">
        <v>10697868.1</v>
      </c>
      <c r="P290" s="42">
        <v>13730102.859999999</v>
      </c>
      <c r="Q290" s="42">
        <v>15228780</v>
      </c>
      <c r="R290" s="42">
        <v>11787871.5</v>
      </c>
    </row>
    <row r="291" spans="1:18" x14ac:dyDescent="0.25">
      <c r="A291" s="40" t="s">
        <v>519</v>
      </c>
      <c r="B291" s="40">
        <v>2009</v>
      </c>
      <c r="C291" s="73" t="s">
        <v>518</v>
      </c>
      <c r="D291" s="42">
        <v>0</v>
      </c>
      <c r="E291" s="42">
        <v>0</v>
      </c>
      <c r="F291" s="42">
        <v>0</v>
      </c>
      <c r="G291" s="42">
        <v>106.46</v>
      </c>
      <c r="H291" s="42">
        <v>0.01</v>
      </c>
      <c r="I291" s="42">
        <v>145.1</v>
      </c>
      <c r="J291" s="42">
        <v>0</v>
      </c>
      <c r="K291" s="42">
        <v>0</v>
      </c>
      <c r="L291" s="42">
        <v>4140.1099999999997</v>
      </c>
      <c r="M291" s="42">
        <v>1386.46</v>
      </c>
      <c r="N291" s="42">
        <v>2.54</v>
      </c>
      <c r="O291" s="42">
        <v>0</v>
      </c>
      <c r="P291" s="42">
        <v>0</v>
      </c>
      <c r="Q291" s="42">
        <v>0</v>
      </c>
      <c r="R291" s="42">
        <v>12073768</v>
      </c>
    </row>
    <row r="292" spans="1:18" x14ac:dyDescent="0.25">
      <c r="A292" s="40" t="s">
        <v>253</v>
      </c>
      <c r="B292" s="40">
        <v>2009</v>
      </c>
      <c r="C292" s="73" t="s">
        <v>252</v>
      </c>
      <c r="D292" s="42">
        <v>0</v>
      </c>
      <c r="E292" s="42">
        <v>0</v>
      </c>
      <c r="F292" s="42">
        <v>0</v>
      </c>
      <c r="G292" s="42">
        <v>2455375520.52</v>
      </c>
      <c r="H292" s="42">
        <v>2120439871.9400001</v>
      </c>
      <c r="I292" s="42">
        <v>2682835005.2399998</v>
      </c>
      <c r="J292" s="42">
        <v>2233157602.2600002</v>
      </c>
      <c r="K292" s="42">
        <v>1655084726.3599999</v>
      </c>
      <c r="L292" s="42">
        <v>2105236370.6400001</v>
      </c>
      <c r="M292" s="42">
        <v>2331129676.8200002</v>
      </c>
      <c r="N292" s="42">
        <v>2263385772.6999998</v>
      </c>
      <c r="O292" s="42">
        <v>1811152915.52</v>
      </c>
      <c r="P292" s="42">
        <v>1456182446.6900001</v>
      </c>
      <c r="Q292" s="42">
        <v>1650122008.8599999</v>
      </c>
      <c r="R292" s="42">
        <v>2030141721.6600001</v>
      </c>
    </row>
    <row r="293" spans="1:18" x14ac:dyDescent="0.25">
      <c r="A293" s="40" t="s">
        <v>249</v>
      </c>
      <c r="B293" s="40">
        <v>2009</v>
      </c>
      <c r="C293" s="73" t="s">
        <v>248</v>
      </c>
      <c r="D293" s="42">
        <v>0</v>
      </c>
      <c r="E293" s="42">
        <v>0</v>
      </c>
      <c r="F293" s="42">
        <v>0</v>
      </c>
      <c r="G293" s="42">
        <v>595652217.64999998</v>
      </c>
      <c r="H293" s="42">
        <v>499335257.86000001</v>
      </c>
      <c r="I293" s="42">
        <v>381545432.42000002</v>
      </c>
      <c r="J293" s="42">
        <v>496362963.23000002</v>
      </c>
      <c r="K293" s="42">
        <v>348969165.69999999</v>
      </c>
      <c r="L293" s="42">
        <v>392611201.43000001</v>
      </c>
      <c r="M293" s="42">
        <v>398552429.49000001</v>
      </c>
      <c r="N293" s="42">
        <v>368905494.49000001</v>
      </c>
      <c r="O293" s="42">
        <v>103761295.94</v>
      </c>
      <c r="P293" s="42">
        <v>389150475.94</v>
      </c>
      <c r="Q293" s="42">
        <v>443943269.99000001</v>
      </c>
      <c r="R293" s="42">
        <v>445270830.79000002</v>
      </c>
    </row>
    <row r="294" spans="1:18" x14ac:dyDescent="0.25">
      <c r="A294" s="40" t="s">
        <v>497</v>
      </c>
      <c r="B294" s="40">
        <v>2009</v>
      </c>
      <c r="C294" s="73" t="s">
        <v>496</v>
      </c>
      <c r="D294" s="42">
        <v>0</v>
      </c>
      <c r="E294" s="42">
        <v>0</v>
      </c>
      <c r="F294" s="42">
        <v>0</v>
      </c>
      <c r="G294" s="42">
        <v>10282876.960000001</v>
      </c>
      <c r="H294" s="42">
        <v>404034506.56</v>
      </c>
      <c r="I294" s="42">
        <v>337566148.45999998</v>
      </c>
      <c r="J294" s="42">
        <v>387789700.91000003</v>
      </c>
      <c r="K294" s="42">
        <v>338917964.05000001</v>
      </c>
      <c r="L294" s="42">
        <v>437455613.17000002</v>
      </c>
      <c r="M294" s="42">
        <v>546125980.83000004</v>
      </c>
      <c r="N294" s="42">
        <v>513843585.92000002</v>
      </c>
      <c r="O294" s="42">
        <v>477866674.12</v>
      </c>
      <c r="P294" s="42">
        <v>546448979.48000002</v>
      </c>
      <c r="Q294" s="42">
        <v>579032427.88</v>
      </c>
      <c r="R294" s="42">
        <v>1221572338.0799999</v>
      </c>
    </row>
    <row r="295" spans="1:18" x14ac:dyDescent="0.25">
      <c r="A295" s="40" t="s">
        <v>240</v>
      </c>
      <c r="B295" s="40">
        <v>2009</v>
      </c>
      <c r="C295" s="73" t="s">
        <v>239</v>
      </c>
      <c r="D295" s="42">
        <v>0</v>
      </c>
      <c r="E295" s="42">
        <v>0</v>
      </c>
      <c r="F295" s="42">
        <v>0</v>
      </c>
      <c r="G295" s="42">
        <v>37950398.219999999</v>
      </c>
      <c r="H295" s="42">
        <v>57235676.590000004</v>
      </c>
      <c r="I295" s="42">
        <v>57855633.869999997</v>
      </c>
      <c r="J295" s="42">
        <v>56376569.909999996</v>
      </c>
      <c r="K295" s="42">
        <v>31173104.239999998</v>
      </c>
      <c r="L295" s="42">
        <v>43206454.869999997</v>
      </c>
      <c r="M295" s="42">
        <v>30097572.949999999</v>
      </c>
      <c r="N295" s="42">
        <v>28252382.25</v>
      </c>
      <c r="O295" s="42">
        <v>24531423.780000001</v>
      </c>
      <c r="P295" s="42">
        <v>39502698.240000002</v>
      </c>
      <c r="Q295" s="42">
        <v>39382620.75</v>
      </c>
      <c r="R295" s="42">
        <v>39832061.439999998</v>
      </c>
    </row>
    <row r="296" spans="1:18" x14ac:dyDescent="0.25">
      <c r="A296" s="40" t="s">
        <v>236</v>
      </c>
      <c r="B296" s="40">
        <v>2009</v>
      </c>
      <c r="C296" s="73" t="s">
        <v>235</v>
      </c>
      <c r="D296" s="42">
        <v>0</v>
      </c>
      <c r="E296" s="42">
        <v>0</v>
      </c>
      <c r="F296" s="42">
        <v>0</v>
      </c>
      <c r="G296" s="42">
        <v>214919223.75999999</v>
      </c>
      <c r="H296" s="42">
        <v>471592928.07999998</v>
      </c>
      <c r="I296" s="42">
        <v>269240551.79000002</v>
      </c>
      <c r="J296" s="42">
        <v>241159329.16</v>
      </c>
      <c r="K296" s="42">
        <v>340128853.87</v>
      </c>
      <c r="L296" s="42">
        <v>418258360.52999997</v>
      </c>
      <c r="M296" s="42">
        <v>289890192.29000002</v>
      </c>
      <c r="N296" s="42">
        <v>330624847.57999998</v>
      </c>
      <c r="O296" s="42">
        <v>255558269.46000001</v>
      </c>
      <c r="P296" s="42">
        <v>271671583.88</v>
      </c>
      <c r="Q296" s="42">
        <v>313470489.02999997</v>
      </c>
      <c r="R296" s="42">
        <v>364414234.13999999</v>
      </c>
    </row>
    <row r="297" spans="1:18" x14ac:dyDescent="0.25">
      <c r="A297" s="40" t="s">
        <v>234</v>
      </c>
      <c r="B297" s="40">
        <v>2009</v>
      </c>
      <c r="C297" s="73" t="s">
        <v>233</v>
      </c>
      <c r="D297" s="42">
        <v>0</v>
      </c>
      <c r="E297" s="42">
        <v>0</v>
      </c>
      <c r="F297" s="42">
        <v>0</v>
      </c>
      <c r="G297" s="42">
        <v>312.5</v>
      </c>
      <c r="H297" s="42">
        <v>7005157.2000000002</v>
      </c>
      <c r="I297" s="42">
        <v>0</v>
      </c>
      <c r="J297" s="42">
        <v>0</v>
      </c>
      <c r="K297" s="42">
        <v>2187.5</v>
      </c>
      <c r="L297" s="42">
        <v>1250</v>
      </c>
      <c r="M297" s="42">
        <v>299150</v>
      </c>
      <c r="N297" s="42">
        <v>625</v>
      </c>
      <c r="O297" s="42">
        <v>25852871.600000001</v>
      </c>
      <c r="P297" s="42">
        <v>2812.5</v>
      </c>
      <c r="Q297" s="42">
        <v>35542646.399999999</v>
      </c>
      <c r="R297" s="42">
        <v>34777334.899999999</v>
      </c>
    </row>
    <row r="298" spans="1:18" x14ac:dyDescent="0.25">
      <c r="A298" s="40" t="s">
        <v>230</v>
      </c>
      <c r="B298" s="40">
        <v>2009</v>
      </c>
      <c r="C298" s="73" t="s">
        <v>229</v>
      </c>
      <c r="D298" s="42">
        <v>0</v>
      </c>
      <c r="E298" s="42">
        <v>0</v>
      </c>
      <c r="F298" s="42">
        <v>0</v>
      </c>
      <c r="G298" s="42">
        <v>1349889649.74</v>
      </c>
      <c r="H298" s="42">
        <v>1015569240.89</v>
      </c>
      <c r="I298" s="42">
        <v>1087151003.9400001</v>
      </c>
      <c r="J298" s="42">
        <v>1384019471.0999999</v>
      </c>
      <c r="K298" s="42">
        <v>1217196895.6400001</v>
      </c>
      <c r="L298" s="42">
        <v>1143172679.01</v>
      </c>
      <c r="M298" s="42">
        <v>1117376328.74</v>
      </c>
      <c r="N298" s="42">
        <v>1187945882.02</v>
      </c>
      <c r="O298" s="42">
        <v>1249132772.5999999</v>
      </c>
      <c r="P298" s="42">
        <v>1314834233.1800001</v>
      </c>
      <c r="Q298" s="42">
        <v>1246581558.8199999</v>
      </c>
      <c r="R298" s="42">
        <v>1611250599.97</v>
      </c>
    </row>
    <row r="299" spans="1:18" x14ac:dyDescent="0.25">
      <c r="A299" s="40" t="s">
        <v>228</v>
      </c>
      <c r="B299" s="40">
        <v>2009</v>
      </c>
      <c r="C299" s="73" t="s">
        <v>227</v>
      </c>
      <c r="D299" s="42">
        <v>0</v>
      </c>
      <c r="E299" s="42">
        <v>0</v>
      </c>
      <c r="F299" s="42">
        <v>0</v>
      </c>
      <c r="G299" s="42">
        <v>2177435440.0799999</v>
      </c>
      <c r="H299" s="42">
        <v>2613281772.0599999</v>
      </c>
      <c r="I299" s="42">
        <v>2423734462.98</v>
      </c>
      <c r="J299" s="42">
        <v>2426794885.2600002</v>
      </c>
      <c r="K299" s="42">
        <v>2426619883.5799999</v>
      </c>
      <c r="L299" s="42">
        <v>2467081056.0599999</v>
      </c>
      <c r="M299" s="42">
        <v>2480889253.5799999</v>
      </c>
      <c r="N299" s="42">
        <v>2498106394.96</v>
      </c>
      <c r="O299" s="42">
        <v>2611391993.5599999</v>
      </c>
      <c r="P299" s="42">
        <v>3032001752.3400002</v>
      </c>
      <c r="Q299" s="42">
        <v>2585636449.8000002</v>
      </c>
      <c r="R299" s="42">
        <v>2912702737.4699998</v>
      </c>
    </row>
    <row r="300" spans="1:18" x14ac:dyDescent="0.25">
      <c r="A300" s="40" t="s">
        <v>226</v>
      </c>
      <c r="B300" s="40">
        <v>2009</v>
      </c>
      <c r="C300" s="73" t="s">
        <v>225</v>
      </c>
      <c r="D300" s="42">
        <v>0</v>
      </c>
      <c r="E300" s="42">
        <v>0</v>
      </c>
      <c r="F300" s="42">
        <v>0</v>
      </c>
      <c r="G300" s="42">
        <v>680541408.38</v>
      </c>
      <c r="H300" s="42">
        <v>699077198.07000005</v>
      </c>
      <c r="I300" s="42">
        <v>682252340.69000006</v>
      </c>
      <c r="J300" s="42">
        <v>712605543.20000005</v>
      </c>
      <c r="K300" s="42">
        <v>719396687.30999994</v>
      </c>
      <c r="L300" s="42">
        <v>699563790.08000004</v>
      </c>
      <c r="M300" s="42">
        <v>780824929.22000003</v>
      </c>
      <c r="N300" s="42">
        <v>740498356.44000006</v>
      </c>
      <c r="O300" s="42">
        <v>760175350.23000002</v>
      </c>
      <c r="P300" s="42">
        <v>736711136.37</v>
      </c>
      <c r="Q300" s="42">
        <v>766152860.40999997</v>
      </c>
      <c r="R300" s="42">
        <v>798702408.75</v>
      </c>
    </row>
    <row r="301" spans="1:18" x14ac:dyDescent="0.25">
      <c r="A301" s="40" t="s">
        <v>449</v>
      </c>
      <c r="B301" s="40">
        <v>2009</v>
      </c>
      <c r="C301" s="73" t="s">
        <v>448</v>
      </c>
      <c r="D301" s="42">
        <v>0</v>
      </c>
      <c r="E301" s="42">
        <v>0</v>
      </c>
      <c r="F301" s="42">
        <v>0</v>
      </c>
      <c r="G301" s="42">
        <v>24511469.859999999</v>
      </c>
      <c r="H301" s="42">
        <v>7389281.1299999999</v>
      </c>
      <c r="I301" s="42">
        <v>9325834</v>
      </c>
      <c r="J301" s="42">
        <v>17851097.5</v>
      </c>
      <c r="K301" s="42">
        <v>6485963.8399999999</v>
      </c>
      <c r="L301" s="42">
        <v>5409564</v>
      </c>
      <c r="M301" s="42">
        <v>4383124.26</v>
      </c>
      <c r="N301" s="42">
        <v>4623663.84</v>
      </c>
      <c r="O301" s="42">
        <v>5640777.1600000001</v>
      </c>
      <c r="P301" s="42">
        <v>0</v>
      </c>
      <c r="Q301" s="42">
        <v>3424058.41</v>
      </c>
      <c r="R301" s="42">
        <v>5446401.8600000003</v>
      </c>
    </row>
    <row r="302" spans="1:18" x14ac:dyDescent="0.25">
      <c r="A302" s="40" t="s">
        <v>222</v>
      </c>
      <c r="B302" s="40">
        <v>2009</v>
      </c>
      <c r="C302" s="73" t="s">
        <v>221</v>
      </c>
      <c r="D302" s="42">
        <v>0</v>
      </c>
      <c r="E302" s="42">
        <v>0</v>
      </c>
      <c r="F302" s="42">
        <v>0</v>
      </c>
      <c r="G302" s="42">
        <v>0</v>
      </c>
      <c r="H302" s="42">
        <v>0</v>
      </c>
      <c r="I302" s="42">
        <v>0</v>
      </c>
      <c r="J302" s="42">
        <v>0</v>
      </c>
      <c r="K302" s="42">
        <v>0</v>
      </c>
      <c r="L302" s="42">
        <v>0</v>
      </c>
      <c r="M302" s="42">
        <v>0</v>
      </c>
      <c r="N302" s="42">
        <v>0</v>
      </c>
      <c r="O302" s="42">
        <v>0</v>
      </c>
      <c r="P302" s="42">
        <v>0</v>
      </c>
      <c r="Q302" s="42">
        <v>0</v>
      </c>
      <c r="R302" s="42">
        <v>301193.92</v>
      </c>
    </row>
    <row r="303" spans="1:18" x14ac:dyDescent="0.25">
      <c r="A303" s="40" t="s">
        <v>215</v>
      </c>
      <c r="B303" s="40">
        <v>2009</v>
      </c>
      <c r="C303" s="73" t="s">
        <v>214</v>
      </c>
      <c r="D303" s="42">
        <v>0</v>
      </c>
      <c r="E303" s="42">
        <v>0</v>
      </c>
      <c r="F303" s="42">
        <v>0</v>
      </c>
      <c r="G303" s="42">
        <v>959772.09</v>
      </c>
      <c r="H303" s="42">
        <v>1438018.2</v>
      </c>
      <c r="I303" s="42">
        <v>336350</v>
      </c>
      <c r="J303" s="42">
        <v>252050</v>
      </c>
      <c r="K303" s="42">
        <v>150000</v>
      </c>
      <c r="L303" s="42">
        <v>270000</v>
      </c>
      <c r="M303" s="42">
        <v>143500</v>
      </c>
      <c r="N303" s="42">
        <v>1690000</v>
      </c>
      <c r="O303" s="42">
        <v>368000</v>
      </c>
      <c r="P303" s="42">
        <v>398200</v>
      </c>
      <c r="Q303" s="42">
        <v>200000</v>
      </c>
      <c r="R303" s="42">
        <v>200000</v>
      </c>
    </row>
    <row r="304" spans="1:18" x14ac:dyDescent="0.25">
      <c r="A304" s="40" t="s">
        <v>447</v>
      </c>
      <c r="B304" s="40">
        <v>2009</v>
      </c>
      <c r="C304" s="73" t="s">
        <v>446</v>
      </c>
      <c r="D304" s="42">
        <v>0</v>
      </c>
      <c r="E304" s="42">
        <v>0</v>
      </c>
      <c r="F304" s="42">
        <v>0</v>
      </c>
      <c r="G304" s="42">
        <v>0</v>
      </c>
      <c r="H304" s="42">
        <v>0</v>
      </c>
      <c r="I304" s="42">
        <v>0</v>
      </c>
      <c r="J304" s="42">
        <v>0</v>
      </c>
      <c r="K304" s="42">
        <v>0</v>
      </c>
      <c r="L304" s="42">
        <v>0</v>
      </c>
      <c r="M304" s="42">
        <v>10200000</v>
      </c>
      <c r="N304" s="42">
        <v>0</v>
      </c>
      <c r="O304" s="42">
        <v>0</v>
      </c>
      <c r="P304" s="42">
        <v>0</v>
      </c>
      <c r="Q304" s="42">
        <v>0</v>
      </c>
      <c r="R304" s="42">
        <v>0</v>
      </c>
    </row>
    <row r="305" spans="1:18" x14ac:dyDescent="0.25">
      <c r="A305" s="40" t="s">
        <v>213</v>
      </c>
      <c r="B305" s="40">
        <v>2009</v>
      </c>
      <c r="C305" s="73" t="s">
        <v>212</v>
      </c>
      <c r="D305" s="42">
        <v>0</v>
      </c>
      <c r="E305" s="42">
        <v>0</v>
      </c>
      <c r="F305" s="42">
        <v>0</v>
      </c>
      <c r="G305" s="42">
        <v>33327355.870000001</v>
      </c>
      <c r="H305" s="42">
        <v>23590996.550000001</v>
      </c>
      <c r="I305" s="42">
        <v>21120298.059999999</v>
      </c>
      <c r="J305" s="42">
        <v>5997418.7199999997</v>
      </c>
      <c r="K305" s="42">
        <v>-18731728.82</v>
      </c>
      <c r="L305" s="42">
        <v>8052124.4100000001</v>
      </c>
      <c r="M305" s="42">
        <v>6865703</v>
      </c>
      <c r="N305" s="42">
        <v>6914346.4299999997</v>
      </c>
      <c r="O305" s="42">
        <v>6218244.3099999996</v>
      </c>
      <c r="P305" s="42">
        <v>7397400.4100000001</v>
      </c>
      <c r="Q305" s="42">
        <v>6430099.8600000003</v>
      </c>
      <c r="R305" s="42">
        <v>9428309.9299999997</v>
      </c>
    </row>
    <row r="306" spans="1:18" x14ac:dyDescent="0.25">
      <c r="A306" s="40" t="s">
        <v>211</v>
      </c>
      <c r="B306" s="40">
        <v>2009</v>
      </c>
      <c r="C306" s="73" t="s">
        <v>210</v>
      </c>
      <c r="D306" s="42">
        <v>0</v>
      </c>
      <c r="E306" s="42">
        <v>0</v>
      </c>
      <c r="F306" s="42">
        <v>0</v>
      </c>
      <c r="G306" s="42">
        <v>0</v>
      </c>
      <c r="H306" s="42">
        <v>0</v>
      </c>
      <c r="I306" s="42">
        <v>0</v>
      </c>
      <c r="J306" s="42">
        <v>0</v>
      </c>
      <c r="K306" s="42">
        <v>40907341.57</v>
      </c>
      <c r="L306" s="42">
        <v>34344958.049999997</v>
      </c>
      <c r="M306" s="42">
        <v>18288982.27</v>
      </c>
      <c r="N306" s="42">
        <v>26699178.629999999</v>
      </c>
      <c r="O306" s="42">
        <v>18694805.199999999</v>
      </c>
      <c r="P306" s="42">
        <v>18533678.399999999</v>
      </c>
      <c r="Q306" s="42">
        <v>19108988.140000001</v>
      </c>
      <c r="R306" s="42">
        <v>46732493.700000003</v>
      </c>
    </row>
    <row r="307" spans="1:18" x14ac:dyDescent="0.25">
      <c r="A307" s="40" t="s">
        <v>433</v>
      </c>
      <c r="B307" s="40">
        <v>2009</v>
      </c>
      <c r="C307" s="73" t="s">
        <v>432</v>
      </c>
      <c r="D307" s="42">
        <v>0</v>
      </c>
      <c r="E307" s="42">
        <v>0</v>
      </c>
      <c r="F307" s="42">
        <v>0</v>
      </c>
      <c r="G307" s="42">
        <v>212963.24</v>
      </c>
      <c r="H307" s="42">
        <v>293935411.24000001</v>
      </c>
      <c r="I307" s="42">
        <v>252410069.87</v>
      </c>
      <c r="J307" s="42">
        <v>275239767.58999997</v>
      </c>
      <c r="K307" s="42">
        <v>214355286.22999999</v>
      </c>
      <c r="L307" s="42">
        <v>225048340.43000001</v>
      </c>
      <c r="M307" s="42">
        <v>234975865.80000001</v>
      </c>
      <c r="N307" s="42">
        <v>209279927.52000001</v>
      </c>
      <c r="O307" s="42">
        <v>176943223.43000001</v>
      </c>
      <c r="P307" s="42">
        <v>218378689.66999999</v>
      </c>
      <c r="Q307" s="42">
        <v>212273666</v>
      </c>
      <c r="R307" s="42">
        <v>444127629.94999999</v>
      </c>
    </row>
    <row r="308" spans="1:18" x14ac:dyDescent="0.25">
      <c r="A308" s="40" t="s">
        <v>407</v>
      </c>
      <c r="B308" s="40">
        <v>2009</v>
      </c>
      <c r="C308" s="73" t="s">
        <v>406</v>
      </c>
      <c r="D308" s="42">
        <v>0</v>
      </c>
      <c r="E308" s="42">
        <v>0</v>
      </c>
      <c r="F308" s="42">
        <v>0</v>
      </c>
      <c r="G308" s="42">
        <v>0</v>
      </c>
      <c r="H308" s="42">
        <v>4830</v>
      </c>
      <c r="I308" s="42">
        <v>1460067</v>
      </c>
      <c r="J308" s="42">
        <v>0</v>
      </c>
      <c r="K308" s="42">
        <v>0</v>
      </c>
      <c r="L308" s="42">
        <v>0</v>
      </c>
      <c r="M308" s="42">
        <v>0</v>
      </c>
      <c r="N308" s="42">
        <v>0</v>
      </c>
      <c r="O308" s="42">
        <v>56830.080000000002</v>
      </c>
      <c r="P308" s="42">
        <v>23267.599999999999</v>
      </c>
      <c r="Q308" s="42">
        <v>150908.37</v>
      </c>
      <c r="R308" s="42">
        <v>0</v>
      </c>
    </row>
    <row r="309" spans="1:18" x14ac:dyDescent="0.25">
      <c r="A309" s="40" t="s">
        <v>374</v>
      </c>
      <c r="B309" s="40">
        <v>2009</v>
      </c>
      <c r="C309" s="73" t="s">
        <v>405</v>
      </c>
      <c r="D309" s="42">
        <v>0</v>
      </c>
      <c r="E309" s="42">
        <v>0</v>
      </c>
      <c r="F309" s="42">
        <v>0</v>
      </c>
      <c r="G309" s="42">
        <v>28927774.379999999</v>
      </c>
      <c r="H309" s="42">
        <v>90994444.209999993</v>
      </c>
      <c r="I309" s="42">
        <v>32060352.280000001</v>
      </c>
      <c r="J309" s="42">
        <v>30893178.93</v>
      </c>
      <c r="K309" s="42">
        <v>169148.5</v>
      </c>
      <c r="L309" s="42">
        <v>97700</v>
      </c>
      <c r="M309" s="42">
        <v>107800</v>
      </c>
      <c r="N309" s="42">
        <v>129116</v>
      </c>
      <c r="O309" s="42">
        <v>93600</v>
      </c>
      <c r="P309" s="42">
        <v>90900</v>
      </c>
      <c r="Q309" s="42">
        <v>89400</v>
      </c>
      <c r="R309" s="42">
        <v>-27583685.48</v>
      </c>
    </row>
    <row r="310" spans="1:18" x14ac:dyDescent="0.25">
      <c r="A310" s="40" t="s">
        <v>203</v>
      </c>
      <c r="B310" s="40">
        <v>2009</v>
      </c>
      <c r="C310" s="73" t="s">
        <v>202</v>
      </c>
      <c r="D310" s="42">
        <v>0</v>
      </c>
      <c r="E310" s="42">
        <v>0</v>
      </c>
      <c r="F310" s="42">
        <v>0</v>
      </c>
      <c r="G310" s="42">
        <v>1606118435.45</v>
      </c>
      <c r="H310" s="42">
        <v>201924092.94</v>
      </c>
      <c r="I310" s="42">
        <v>57529968.93</v>
      </c>
      <c r="J310" s="42">
        <v>32893884.190000001</v>
      </c>
      <c r="K310" s="42">
        <v>26539796.129999999</v>
      </c>
      <c r="L310" s="42">
        <v>21051268.16</v>
      </c>
      <c r="M310" s="42">
        <v>18847331.960000001</v>
      </c>
      <c r="N310" s="42">
        <v>18355779.859999999</v>
      </c>
      <c r="O310" s="42">
        <v>9193651.6099999994</v>
      </c>
      <c r="P310" s="42">
        <v>12602114.779999999</v>
      </c>
      <c r="Q310" s="42">
        <v>11216390.529999999</v>
      </c>
      <c r="R310" s="42">
        <v>1289536453.97</v>
      </c>
    </row>
    <row r="311" spans="1:18" x14ac:dyDescent="0.25">
      <c r="A311" s="40" t="s">
        <v>200</v>
      </c>
      <c r="B311" s="40">
        <v>2009</v>
      </c>
      <c r="C311" s="73" t="s">
        <v>199</v>
      </c>
      <c r="D311" s="42">
        <v>0</v>
      </c>
      <c r="E311" s="42">
        <v>0</v>
      </c>
      <c r="F311" s="42">
        <v>0</v>
      </c>
      <c r="G311" s="42">
        <v>4274870.2699999996</v>
      </c>
      <c r="H311" s="42">
        <v>3179538.88</v>
      </c>
      <c r="I311" s="42">
        <v>2808368.63</v>
      </c>
      <c r="J311" s="42">
        <v>3978308.44</v>
      </c>
      <c r="K311" s="42">
        <v>3367168.58</v>
      </c>
      <c r="L311" s="42">
        <v>2411942.88</v>
      </c>
      <c r="M311" s="42">
        <v>3428120.52</v>
      </c>
      <c r="N311" s="42">
        <v>3319626.78</v>
      </c>
      <c r="O311" s="42">
        <v>3711565.11</v>
      </c>
      <c r="P311" s="42">
        <v>4581192.42</v>
      </c>
      <c r="Q311" s="42">
        <v>4094472.98</v>
      </c>
      <c r="R311" s="42">
        <v>5403440.8200000003</v>
      </c>
    </row>
    <row r="312" spans="1:18" x14ac:dyDescent="0.25">
      <c r="A312" s="40" t="s">
        <v>198</v>
      </c>
      <c r="B312" s="40">
        <v>2009</v>
      </c>
      <c r="C312" s="73" t="s">
        <v>197</v>
      </c>
      <c r="D312" s="42">
        <v>0</v>
      </c>
      <c r="E312" s="42">
        <v>0</v>
      </c>
      <c r="F312" s="42">
        <v>0</v>
      </c>
      <c r="G312" s="42">
        <v>272949.40999999997</v>
      </c>
      <c r="H312" s="42">
        <v>160350</v>
      </c>
      <c r="I312" s="42">
        <v>301899</v>
      </c>
      <c r="J312" s="42">
        <v>116150</v>
      </c>
      <c r="K312" s="42">
        <v>212414</v>
      </c>
      <c r="L312" s="42">
        <v>141784</v>
      </c>
      <c r="M312" s="42">
        <v>399520</v>
      </c>
      <c r="N312" s="42">
        <v>88400</v>
      </c>
      <c r="O312" s="42">
        <v>183315</v>
      </c>
      <c r="P312" s="42">
        <v>139150</v>
      </c>
      <c r="Q312" s="42">
        <v>283160</v>
      </c>
      <c r="R312" s="42">
        <v>184669</v>
      </c>
    </row>
    <row r="313" spans="1:18" x14ac:dyDescent="0.25">
      <c r="A313" s="40" t="s">
        <v>196</v>
      </c>
      <c r="B313" s="40">
        <v>2009</v>
      </c>
      <c r="C313" s="73" t="s">
        <v>195</v>
      </c>
      <c r="D313" s="42">
        <v>0</v>
      </c>
      <c r="E313" s="42">
        <v>0</v>
      </c>
      <c r="F313" s="42">
        <v>0</v>
      </c>
      <c r="G313" s="42">
        <v>9014809.4199999999</v>
      </c>
      <c r="H313" s="42">
        <v>7996818</v>
      </c>
      <c r="I313" s="42">
        <v>9962114.5</v>
      </c>
      <c r="J313" s="42">
        <v>9774150.5</v>
      </c>
      <c r="K313" s="42">
        <v>7742610</v>
      </c>
      <c r="L313" s="42">
        <v>8001747.7000000002</v>
      </c>
      <c r="M313" s="42">
        <v>8375439.75</v>
      </c>
      <c r="N313" s="42">
        <v>7155527.5</v>
      </c>
      <c r="O313" s="42">
        <v>8579302.3800000008</v>
      </c>
      <c r="P313" s="42">
        <v>8048599.5</v>
      </c>
      <c r="Q313" s="42">
        <v>8922350.5</v>
      </c>
      <c r="R313" s="42">
        <v>10250465.4</v>
      </c>
    </row>
    <row r="314" spans="1:18" x14ac:dyDescent="0.25">
      <c r="A314" s="40" t="s">
        <v>194</v>
      </c>
      <c r="B314" s="40">
        <v>2009</v>
      </c>
      <c r="C314" s="73" t="s">
        <v>193</v>
      </c>
      <c r="D314" s="42">
        <v>0</v>
      </c>
      <c r="E314" s="42">
        <v>0</v>
      </c>
      <c r="F314" s="42">
        <v>0</v>
      </c>
      <c r="G314" s="42">
        <v>2715454</v>
      </c>
      <c r="H314" s="42">
        <v>1792590</v>
      </c>
      <c r="I314" s="42">
        <v>3141660</v>
      </c>
      <c r="J314" s="42">
        <v>1797786</v>
      </c>
      <c r="K314" s="42">
        <v>923015</v>
      </c>
      <c r="L314" s="42">
        <v>2302960</v>
      </c>
      <c r="M314" s="42">
        <v>3302233.09</v>
      </c>
      <c r="N314" s="42">
        <v>3284781.35</v>
      </c>
      <c r="O314" s="42">
        <v>1108327.5</v>
      </c>
      <c r="P314" s="42">
        <v>1390382</v>
      </c>
      <c r="Q314" s="42">
        <v>2549664</v>
      </c>
      <c r="R314" s="42">
        <v>6906841</v>
      </c>
    </row>
    <row r="315" spans="1:18" x14ac:dyDescent="0.25">
      <c r="A315" s="40" t="s">
        <v>187</v>
      </c>
      <c r="B315" s="40">
        <v>2009</v>
      </c>
      <c r="C315" s="73" t="s">
        <v>186</v>
      </c>
      <c r="D315" s="42">
        <v>0</v>
      </c>
      <c r="E315" s="42">
        <v>0</v>
      </c>
      <c r="F315" s="42">
        <v>0</v>
      </c>
      <c r="G315" s="42">
        <v>1669750</v>
      </c>
      <c r="H315" s="42">
        <v>1692000</v>
      </c>
      <c r="I315" s="42">
        <v>1455000</v>
      </c>
      <c r="J315" s="42">
        <v>1262000</v>
      </c>
      <c r="K315" s="42">
        <v>1578000</v>
      </c>
      <c r="L315" s="42">
        <v>1224375</v>
      </c>
      <c r="M315" s="42">
        <v>2093000</v>
      </c>
      <c r="N315" s="42">
        <v>1830502.92</v>
      </c>
      <c r="O315" s="42">
        <v>2530000</v>
      </c>
      <c r="P315" s="42">
        <v>1577000</v>
      </c>
      <c r="Q315" s="42">
        <v>1682000</v>
      </c>
      <c r="R315" s="42">
        <v>917000</v>
      </c>
    </row>
    <row r="316" spans="1:18" x14ac:dyDescent="0.25">
      <c r="A316" s="40" t="s">
        <v>185</v>
      </c>
      <c r="B316" s="40">
        <v>2009</v>
      </c>
      <c r="C316" s="73" t="s">
        <v>184</v>
      </c>
      <c r="D316" s="42">
        <v>0</v>
      </c>
      <c r="E316" s="42">
        <v>0</v>
      </c>
      <c r="F316" s="42">
        <v>0</v>
      </c>
      <c r="G316" s="42">
        <v>7224366.3499999996</v>
      </c>
      <c r="H316" s="42">
        <v>3994262.5</v>
      </c>
      <c r="I316" s="42">
        <v>32453325</v>
      </c>
      <c r="J316" s="42">
        <v>1677911.51</v>
      </c>
      <c r="K316" s="42">
        <v>352281.29</v>
      </c>
      <c r="L316" s="42">
        <v>2889.41</v>
      </c>
      <c r="M316" s="42">
        <v>203325</v>
      </c>
      <c r="N316" s="42">
        <v>43250</v>
      </c>
      <c r="O316" s="42">
        <v>301477.68</v>
      </c>
      <c r="P316" s="42">
        <v>160720.56</v>
      </c>
      <c r="Q316" s="42">
        <v>128225</v>
      </c>
      <c r="R316" s="42">
        <v>39637.5</v>
      </c>
    </row>
    <row r="317" spans="1:18" x14ac:dyDescent="0.25">
      <c r="A317" s="40" t="s">
        <v>511</v>
      </c>
      <c r="B317" s="40">
        <v>2009</v>
      </c>
      <c r="C317" s="73" t="s">
        <v>832</v>
      </c>
      <c r="D317" s="42">
        <v>0</v>
      </c>
      <c r="E317" s="42">
        <v>0</v>
      </c>
      <c r="F317" s="42">
        <v>0</v>
      </c>
      <c r="G317" s="42">
        <v>0</v>
      </c>
      <c r="H317" s="42">
        <v>0</v>
      </c>
      <c r="I317" s="42">
        <v>0</v>
      </c>
      <c r="J317" s="42">
        <v>2250000</v>
      </c>
      <c r="K317" s="42">
        <v>0</v>
      </c>
      <c r="L317" s="42">
        <v>0</v>
      </c>
      <c r="M317" s="42">
        <v>2250000</v>
      </c>
      <c r="N317" s="42">
        <v>0</v>
      </c>
      <c r="O317" s="42">
        <v>0</v>
      </c>
      <c r="P317" s="42">
        <v>0</v>
      </c>
      <c r="Q317" s="42">
        <v>0</v>
      </c>
      <c r="R317" s="42">
        <v>4216437.63</v>
      </c>
    </row>
    <row r="318" spans="1:18" x14ac:dyDescent="0.25">
      <c r="A318" s="40" t="s">
        <v>176</v>
      </c>
      <c r="B318" s="40">
        <v>2009</v>
      </c>
      <c r="C318" s="73" t="s">
        <v>175</v>
      </c>
      <c r="D318" s="42">
        <v>0</v>
      </c>
      <c r="E318" s="42">
        <v>0</v>
      </c>
      <c r="F318" s="42">
        <v>0</v>
      </c>
      <c r="G318" s="42">
        <v>18012572.210000001</v>
      </c>
      <c r="H318" s="42">
        <v>30402184.460000001</v>
      </c>
      <c r="I318" s="42">
        <v>4691977.91</v>
      </c>
      <c r="J318" s="42">
        <v>13648613.43</v>
      </c>
      <c r="K318" s="42">
        <v>11866329.800000001</v>
      </c>
      <c r="L318" s="42">
        <v>24892220.670000002</v>
      </c>
      <c r="M318" s="42">
        <v>9312157.6999999993</v>
      </c>
      <c r="N318" s="42">
        <v>10959091.949999999</v>
      </c>
      <c r="O318" s="42">
        <v>6427800.0199999996</v>
      </c>
      <c r="P318" s="42">
        <v>7820040.2599999998</v>
      </c>
      <c r="Q318" s="42">
        <v>283477692.14999998</v>
      </c>
      <c r="R318" s="42">
        <v>27344130.93</v>
      </c>
    </row>
    <row r="319" spans="1:18" x14ac:dyDescent="0.25">
      <c r="A319" s="40" t="s">
        <v>174</v>
      </c>
      <c r="B319" s="40">
        <v>2009</v>
      </c>
      <c r="C319" s="73" t="s">
        <v>173</v>
      </c>
      <c r="D319" s="42">
        <v>0</v>
      </c>
      <c r="E319" s="42">
        <v>0</v>
      </c>
      <c r="F319" s="42">
        <v>0</v>
      </c>
      <c r="G319" s="42">
        <v>0</v>
      </c>
      <c r="H319" s="42">
        <v>0</v>
      </c>
      <c r="I319" s="42">
        <v>0</v>
      </c>
      <c r="J319" s="42">
        <v>0</v>
      </c>
      <c r="K319" s="42">
        <v>2000</v>
      </c>
      <c r="L319" s="42">
        <v>2000</v>
      </c>
      <c r="M319" s="42">
        <v>282475327.26999998</v>
      </c>
      <c r="N319" s="42">
        <v>0</v>
      </c>
      <c r="O319" s="42">
        <v>0</v>
      </c>
      <c r="P319" s="42">
        <v>0</v>
      </c>
      <c r="Q319" s="42">
        <v>0</v>
      </c>
      <c r="R319" s="42">
        <v>96686789.75</v>
      </c>
    </row>
    <row r="320" spans="1:18" x14ac:dyDescent="0.25">
      <c r="A320" s="40" t="s">
        <v>172</v>
      </c>
      <c r="B320" s="40">
        <v>2009</v>
      </c>
      <c r="C320" s="73" t="s">
        <v>171</v>
      </c>
      <c r="D320" s="42">
        <v>0</v>
      </c>
      <c r="E320" s="42">
        <v>0</v>
      </c>
      <c r="F320" s="42">
        <v>0</v>
      </c>
      <c r="G320" s="42">
        <v>5050189</v>
      </c>
      <c r="H320" s="42">
        <v>1010397.48</v>
      </c>
      <c r="I320" s="42">
        <v>300590.34000000003</v>
      </c>
      <c r="J320" s="42">
        <v>11091054</v>
      </c>
      <c r="K320" s="42">
        <v>120823</v>
      </c>
      <c r="L320" s="42">
        <v>0</v>
      </c>
      <c r="M320" s="42">
        <v>0</v>
      </c>
      <c r="N320" s="42">
        <v>73900</v>
      </c>
      <c r="O320" s="42">
        <v>0</v>
      </c>
      <c r="P320" s="42">
        <v>0</v>
      </c>
      <c r="Q320" s="42">
        <v>0</v>
      </c>
      <c r="R320" s="42">
        <v>2662</v>
      </c>
    </row>
    <row r="321" spans="1:18" x14ac:dyDescent="0.25">
      <c r="A321" s="40" t="s">
        <v>170</v>
      </c>
      <c r="B321" s="40">
        <v>2009</v>
      </c>
      <c r="C321" s="73" t="s">
        <v>168</v>
      </c>
      <c r="D321" s="42">
        <v>0</v>
      </c>
      <c r="E321" s="42">
        <v>0</v>
      </c>
      <c r="F321" s="42">
        <v>0</v>
      </c>
      <c r="G321" s="42">
        <v>9081797.3200000003</v>
      </c>
      <c r="H321" s="42">
        <v>20482167.120000001</v>
      </c>
      <c r="I321" s="42">
        <v>8355242.9299999997</v>
      </c>
      <c r="J321" s="42">
        <v>61328230.210000001</v>
      </c>
      <c r="K321" s="42">
        <v>12471742.75</v>
      </c>
      <c r="L321" s="42">
        <v>16186653.92</v>
      </c>
      <c r="M321" s="42">
        <v>14273428.33</v>
      </c>
      <c r="N321" s="42">
        <v>15274937.23</v>
      </c>
      <c r="O321" s="42">
        <v>8822849.3900000006</v>
      </c>
      <c r="P321" s="42">
        <v>14200305.52</v>
      </c>
      <c r="Q321" s="42">
        <v>13446741.41</v>
      </c>
      <c r="R321" s="42">
        <v>32563517.030000001</v>
      </c>
    </row>
    <row r="322" spans="1:18" x14ac:dyDescent="0.25">
      <c r="A322" s="40" t="s">
        <v>167</v>
      </c>
      <c r="B322" s="40">
        <v>2009</v>
      </c>
      <c r="C322" s="73" t="s">
        <v>166</v>
      </c>
      <c r="D322" s="42">
        <v>0</v>
      </c>
      <c r="E322" s="42">
        <v>0</v>
      </c>
      <c r="F322" s="42">
        <v>0</v>
      </c>
      <c r="G322" s="42">
        <v>157344397</v>
      </c>
      <c r="H322" s="42">
        <v>195431407.56</v>
      </c>
      <c r="I322" s="42">
        <v>389345626</v>
      </c>
      <c r="J322" s="42">
        <v>314038332</v>
      </c>
      <c r="K322" s="42">
        <v>551819472.22000003</v>
      </c>
      <c r="L322" s="42">
        <v>353817945.39999998</v>
      </c>
      <c r="M322" s="42">
        <v>361556503</v>
      </c>
      <c r="N322" s="42">
        <v>258157379</v>
      </c>
      <c r="O322" s="42">
        <v>347223440</v>
      </c>
      <c r="P322" s="42">
        <v>237709198.25</v>
      </c>
      <c r="Q322" s="42">
        <v>323365485</v>
      </c>
      <c r="R322" s="42">
        <v>35664767.729999997</v>
      </c>
    </row>
    <row r="323" spans="1:18" x14ac:dyDescent="0.25">
      <c r="A323" s="40" t="s">
        <v>165</v>
      </c>
      <c r="B323" s="40">
        <v>2009</v>
      </c>
      <c r="C323" s="73" t="s">
        <v>164</v>
      </c>
      <c r="D323" s="42">
        <v>0</v>
      </c>
      <c r="E323" s="42">
        <v>0</v>
      </c>
      <c r="F323" s="42">
        <v>0</v>
      </c>
      <c r="G323" s="42">
        <v>150000</v>
      </c>
      <c r="H323" s="42">
        <v>9136595.8800000008</v>
      </c>
      <c r="I323" s="42">
        <v>2695917.71</v>
      </c>
      <c r="J323" s="42">
        <v>1618134.82</v>
      </c>
      <c r="K323" s="42">
        <v>3954493.96</v>
      </c>
      <c r="L323" s="42">
        <v>11429911.609999999</v>
      </c>
      <c r="M323" s="42">
        <v>3223666.43</v>
      </c>
      <c r="N323" s="42">
        <v>582792.88</v>
      </c>
      <c r="O323" s="42">
        <v>39488.5</v>
      </c>
      <c r="P323" s="42">
        <v>574369.34</v>
      </c>
      <c r="Q323" s="42">
        <v>14805118.609999999</v>
      </c>
      <c r="R323" s="42">
        <v>9561774.4299999997</v>
      </c>
    </row>
    <row r="324" spans="1:18" x14ac:dyDescent="0.25">
      <c r="A324" s="40" t="s">
        <v>445</v>
      </c>
      <c r="B324" s="40">
        <v>2009</v>
      </c>
      <c r="C324" s="73" t="s">
        <v>444</v>
      </c>
      <c r="D324" s="42">
        <v>0</v>
      </c>
      <c r="E324" s="42">
        <v>0</v>
      </c>
      <c r="F324" s="42">
        <v>0</v>
      </c>
      <c r="G324" s="42">
        <v>2884004.5</v>
      </c>
      <c r="H324" s="42">
        <v>2871000</v>
      </c>
      <c r="I324" s="42">
        <v>2871000</v>
      </c>
      <c r="J324" s="42">
        <v>2871000</v>
      </c>
      <c r="K324" s="42">
        <v>2871000</v>
      </c>
      <c r="L324" s="42">
        <v>2871000</v>
      </c>
      <c r="M324" s="42">
        <v>2871000</v>
      </c>
      <c r="N324" s="42">
        <v>0</v>
      </c>
      <c r="O324" s="42">
        <v>2871000</v>
      </c>
      <c r="P324" s="42">
        <v>2871000</v>
      </c>
      <c r="Q324" s="42">
        <v>2871000</v>
      </c>
      <c r="R324" s="42">
        <v>2871000</v>
      </c>
    </row>
    <row r="325" spans="1:18" x14ac:dyDescent="0.25">
      <c r="A325" s="40" t="s">
        <v>163</v>
      </c>
      <c r="B325" s="40">
        <v>2009</v>
      </c>
      <c r="C325" s="73" t="s">
        <v>162</v>
      </c>
      <c r="D325" s="42">
        <v>0</v>
      </c>
      <c r="E325" s="42">
        <v>0</v>
      </c>
      <c r="F325" s="42">
        <v>0</v>
      </c>
      <c r="G325" s="42">
        <v>7078000</v>
      </c>
      <c r="H325" s="42">
        <v>9122000</v>
      </c>
      <c r="I325" s="42">
        <v>6411000</v>
      </c>
      <c r="J325" s="42">
        <v>7904500</v>
      </c>
      <c r="K325" s="42">
        <v>4837500</v>
      </c>
      <c r="L325" s="42">
        <v>6657500</v>
      </c>
      <c r="M325" s="42">
        <v>1905000</v>
      </c>
      <c r="N325" s="42">
        <v>1292500</v>
      </c>
      <c r="O325" s="42">
        <v>1344500</v>
      </c>
      <c r="P325" s="42">
        <v>3684500</v>
      </c>
      <c r="Q325" s="42">
        <v>-2517500</v>
      </c>
      <c r="R325" s="42">
        <v>0</v>
      </c>
    </row>
    <row r="326" spans="1:18" x14ac:dyDescent="0.25">
      <c r="A326" s="40" t="s">
        <v>161</v>
      </c>
      <c r="B326" s="40">
        <v>2009</v>
      </c>
      <c r="C326" s="73" t="s">
        <v>160</v>
      </c>
      <c r="D326" s="42">
        <v>0</v>
      </c>
      <c r="E326" s="42">
        <v>0</v>
      </c>
      <c r="F326" s="42">
        <v>0</v>
      </c>
      <c r="G326" s="42">
        <v>167716.51999999999</v>
      </c>
      <c r="H326" s="42">
        <v>985989.84</v>
      </c>
      <c r="I326" s="42">
        <v>21101512.670000002</v>
      </c>
      <c r="J326" s="42">
        <v>2734379.4</v>
      </c>
      <c r="K326" s="42">
        <v>-9639515.5800000001</v>
      </c>
      <c r="L326" s="42">
        <v>585033.96</v>
      </c>
      <c r="M326" s="42">
        <v>13858403.93</v>
      </c>
      <c r="N326" s="42">
        <v>1194893.48</v>
      </c>
      <c r="O326" s="42">
        <v>317179.34999999998</v>
      </c>
      <c r="P326" s="42">
        <v>4014104.46</v>
      </c>
      <c r="Q326" s="42">
        <v>2420430.3199999998</v>
      </c>
      <c r="R326" s="42">
        <v>29388780.469999999</v>
      </c>
    </row>
    <row r="327" spans="1:18" x14ac:dyDescent="0.25">
      <c r="A327" s="40" t="s">
        <v>153</v>
      </c>
      <c r="B327" s="40">
        <v>2009</v>
      </c>
      <c r="C327" s="73" t="s">
        <v>151</v>
      </c>
      <c r="D327" s="42">
        <v>0</v>
      </c>
      <c r="E327" s="42">
        <v>0</v>
      </c>
      <c r="F327" s="42">
        <v>0</v>
      </c>
      <c r="G327" s="42">
        <v>2885501.52</v>
      </c>
      <c r="H327" s="42">
        <v>0</v>
      </c>
      <c r="I327" s="42">
        <v>0</v>
      </c>
      <c r="J327" s="42">
        <v>0</v>
      </c>
      <c r="K327" s="42">
        <v>13891962.5</v>
      </c>
      <c r="L327" s="42">
        <v>6102546.5599999996</v>
      </c>
      <c r="M327" s="42">
        <v>6509465.9400000004</v>
      </c>
      <c r="N327" s="42">
        <v>47451108.149999999</v>
      </c>
      <c r="O327" s="42">
        <v>865457.5</v>
      </c>
      <c r="P327" s="42">
        <v>392000</v>
      </c>
      <c r="Q327" s="42">
        <v>5029181</v>
      </c>
      <c r="R327" s="42">
        <v>1680224.2</v>
      </c>
    </row>
    <row r="328" spans="1:18" x14ac:dyDescent="0.25">
      <c r="A328" s="40" t="s">
        <v>150</v>
      </c>
      <c r="B328" s="40">
        <v>2009</v>
      </c>
      <c r="C328" s="73" t="s">
        <v>149</v>
      </c>
      <c r="D328" s="42">
        <v>0</v>
      </c>
      <c r="E328" s="42">
        <v>0</v>
      </c>
      <c r="F328" s="42">
        <v>0</v>
      </c>
      <c r="G328" s="42">
        <v>752514.91</v>
      </c>
      <c r="H328" s="42">
        <v>1741363.21</v>
      </c>
      <c r="I328" s="42">
        <v>0</v>
      </c>
      <c r="J328" s="42">
        <v>6105337.0300000003</v>
      </c>
      <c r="K328" s="42">
        <v>5604897.4400000004</v>
      </c>
      <c r="L328" s="42">
        <v>1721145.84</v>
      </c>
      <c r="M328" s="42">
        <v>48532</v>
      </c>
      <c r="N328" s="42">
        <v>1648456.65</v>
      </c>
      <c r="O328" s="42">
        <v>486253.85</v>
      </c>
      <c r="P328" s="42">
        <v>15359318.17</v>
      </c>
      <c r="Q328" s="42">
        <v>25126343.989999998</v>
      </c>
      <c r="R328" s="42">
        <v>2089681.74</v>
      </c>
    </row>
    <row r="329" spans="1:18" x14ac:dyDescent="0.25">
      <c r="A329" s="40" t="s">
        <v>144</v>
      </c>
      <c r="B329" s="40">
        <v>2009</v>
      </c>
      <c r="C329" s="73" t="s">
        <v>143</v>
      </c>
      <c r="D329" s="42">
        <v>0</v>
      </c>
      <c r="E329" s="42">
        <v>0</v>
      </c>
      <c r="F329" s="42">
        <v>0</v>
      </c>
      <c r="G329" s="42">
        <v>37257041.530000001</v>
      </c>
      <c r="H329" s="42">
        <v>93253434.459999993</v>
      </c>
      <c r="I329" s="42">
        <v>73745609.810000002</v>
      </c>
      <c r="J329" s="42">
        <v>54815035.030000001</v>
      </c>
      <c r="K329" s="42">
        <v>30483857.27</v>
      </c>
      <c r="L329" s="42">
        <v>62096865</v>
      </c>
      <c r="M329" s="42">
        <v>58338299.119999997</v>
      </c>
      <c r="N329" s="42">
        <v>33347469.699999999</v>
      </c>
      <c r="O329" s="42">
        <v>35843426.049999997</v>
      </c>
      <c r="P329" s="42">
        <v>46410283.100000001</v>
      </c>
      <c r="Q329" s="42">
        <v>58976591.420000002</v>
      </c>
      <c r="R329" s="42">
        <v>128193133.45999999</v>
      </c>
    </row>
    <row r="330" spans="1:18" x14ac:dyDescent="0.25">
      <c r="A330" s="40" t="s">
        <v>142</v>
      </c>
      <c r="B330" s="40">
        <v>2009</v>
      </c>
      <c r="C330" s="73" t="s">
        <v>141</v>
      </c>
      <c r="D330" s="42">
        <v>0</v>
      </c>
      <c r="E330" s="42">
        <v>0</v>
      </c>
      <c r="F330" s="42">
        <v>0</v>
      </c>
      <c r="G330" s="42">
        <v>53791486.079999998</v>
      </c>
      <c r="H330" s="42">
        <v>63611731.530000001</v>
      </c>
      <c r="I330" s="42">
        <v>85622410.489999995</v>
      </c>
      <c r="J330" s="42">
        <v>81220297.489999995</v>
      </c>
      <c r="K330" s="42">
        <v>31093567.289999999</v>
      </c>
      <c r="L330" s="42">
        <v>67965906.920000002</v>
      </c>
      <c r="M330" s="42">
        <v>67475629.140000001</v>
      </c>
      <c r="N330" s="42">
        <v>41173801.990000002</v>
      </c>
      <c r="O330" s="42">
        <v>38232971.649999999</v>
      </c>
      <c r="P330" s="42">
        <v>26009757.239999998</v>
      </c>
      <c r="Q330" s="42">
        <v>66510887.039999999</v>
      </c>
      <c r="R330" s="42">
        <v>7958946.2800000003</v>
      </c>
    </row>
    <row r="331" spans="1:18" x14ac:dyDescent="0.25">
      <c r="A331" s="40" t="s">
        <v>140</v>
      </c>
      <c r="B331" s="40">
        <v>2009</v>
      </c>
      <c r="C331" s="73" t="s">
        <v>139</v>
      </c>
      <c r="D331" s="42">
        <v>0</v>
      </c>
      <c r="E331" s="42">
        <v>0</v>
      </c>
      <c r="F331" s="42">
        <v>0</v>
      </c>
      <c r="G331" s="42">
        <v>0</v>
      </c>
      <c r="H331" s="42">
        <v>0</v>
      </c>
      <c r="I331" s="42">
        <v>1592729556</v>
      </c>
      <c r="J331" s="42">
        <v>3349914015</v>
      </c>
      <c r="K331" s="42">
        <v>2528064089</v>
      </c>
      <c r="L331" s="42">
        <v>3109340560</v>
      </c>
      <c r="M331" s="42">
        <v>0</v>
      </c>
      <c r="N331" s="42">
        <v>0</v>
      </c>
      <c r="O331" s="42">
        <v>3407815389.0799999</v>
      </c>
      <c r="P331" s="42">
        <v>0</v>
      </c>
      <c r="Q331" s="42">
        <v>1883086157</v>
      </c>
      <c r="R331" s="42">
        <v>3123543239.6799998</v>
      </c>
    </row>
    <row r="332" spans="1:18" x14ac:dyDescent="0.25">
      <c r="A332" s="40" t="s">
        <v>138</v>
      </c>
      <c r="B332" s="40">
        <v>2009</v>
      </c>
      <c r="C332" s="73" t="s">
        <v>137</v>
      </c>
      <c r="D332" s="42">
        <v>0</v>
      </c>
      <c r="E332" s="42">
        <v>0</v>
      </c>
      <c r="F332" s="42">
        <v>0</v>
      </c>
      <c r="G332" s="42">
        <v>0</v>
      </c>
      <c r="H332" s="42">
        <v>0</v>
      </c>
      <c r="I332" s="42">
        <v>0</v>
      </c>
      <c r="J332" s="42">
        <v>0</v>
      </c>
      <c r="K332" s="42">
        <v>0</v>
      </c>
      <c r="L332" s="42">
        <v>228215000</v>
      </c>
      <c r="M332" s="42">
        <v>0</v>
      </c>
      <c r="N332" s="42">
        <v>0</v>
      </c>
      <c r="O332" s="42">
        <v>0</v>
      </c>
      <c r="P332" s="42">
        <v>545746000</v>
      </c>
      <c r="Q332" s="42">
        <v>0</v>
      </c>
      <c r="R332" s="42">
        <v>300000000</v>
      </c>
    </row>
    <row r="333" spans="1:18" x14ac:dyDescent="0.25">
      <c r="A333" s="40" t="s">
        <v>136</v>
      </c>
      <c r="B333" s="40">
        <v>2009</v>
      </c>
      <c r="C333" s="73" t="s">
        <v>135</v>
      </c>
      <c r="D333" s="42">
        <v>0</v>
      </c>
      <c r="E333" s="42">
        <v>0</v>
      </c>
      <c r="F333" s="42">
        <v>0</v>
      </c>
      <c r="G333" s="42">
        <v>0</v>
      </c>
      <c r="H333" s="42">
        <v>0</v>
      </c>
      <c r="I333" s="42">
        <v>0</v>
      </c>
      <c r="J333" s="42">
        <v>0</v>
      </c>
      <c r="K333" s="42">
        <v>0</v>
      </c>
      <c r="L333" s="42">
        <v>646672907.30999994</v>
      </c>
      <c r="M333" s="42">
        <v>0</v>
      </c>
      <c r="N333" s="42">
        <v>0</v>
      </c>
      <c r="O333" s="42">
        <v>0</v>
      </c>
      <c r="P333" s="42">
        <v>478327092.69</v>
      </c>
      <c r="Q333" s="42">
        <v>0</v>
      </c>
      <c r="R333" s="42">
        <v>591484000</v>
      </c>
    </row>
    <row r="334" spans="1:18" x14ac:dyDescent="0.25">
      <c r="A334" s="40" t="s">
        <v>122</v>
      </c>
      <c r="B334" s="40">
        <v>2009</v>
      </c>
      <c r="C334" s="73" t="s">
        <v>121</v>
      </c>
      <c r="D334" s="42">
        <v>0</v>
      </c>
      <c r="E334" s="42">
        <v>0</v>
      </c>
      <c r="F334" s="42">
        <v>0</v>
      </c>
      <c r="G334" s="42">
        <v>93771067.599999994</v>
      </c>
      <c r="H334" s="42">
        <v>370835377.61000001</v>
      </c>
      <c r="I334" s="42">
        <v>215705716.87</v>
      </c>
      <c r="J334" s="42">
        <v>210972744.58000001</v>
      </c>
      <c r="K334" s="42">
        <v>210720923.63</v>
      </c>
      <c r="L334" s="42">
        <v>212181422</v>
      </c>
      <c r="M334" s="42">
        <v>208924839.36000001</v>
      </c>
      <c r="N334" s="42">
        <v>0</v>
      </c>
      <c r="O334" s="42">
        <v>240959292.06999999</v>
      </c>
      <c r="P334" s="42">
        <v>241925429.80000001</v>
      </c>
      <c r="Q334" s="42">
        <v>237400556.09999999</v>
      </c>
      <c r="R334" s="42">
        <v>432000997.37</v>
      </c>
    </row>
    <row r="335" spans="1:18" x14ac:dyDescent="0.25">
      <c r="A335" s="40" t="s">
        <v>115</v>
      </c>
      <c r="B335" s="40">
        <v>2009</v>
      </c>
      <c r="C335" s="73" t="s">
        <v>114</v>
      </c>
      <c r="D335" s="42">
        <v>0</v>
      </c>
      <c r="E335" s="42">
        <v>0</v>
      </c>
      <c r="F335" s="42">
        <v>0</v>
      </c>
      <c r="G335" s="42">
        <v>0</v>
      </c>
      <c r="H335" s="42">
        <v>1219303.27</v>
      </c>
      <c r="I335" s="42">
        <v>0</v>
      </c>
      <c r="J335" s="42">
        <v>0</v>
      </c>
      <c r="K335" s="42">
        <v>0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  <c r="Q335" s="42">
        <v>0</v>
      </c>
      <c r="R335" s="42">
        <v>0</v>
      </c>
    </row>
    <row r="336" spans="1:18" x14ac:dyDescent="0.25">
      <c r="A336" s="40" t="s">
        <v>113</v>
      </c>
      <c r="B336" s="40">
        <v>2009</v>
      </c>
      <c r="C336" s="73" t="s">
        <v>112</v>
      </c>
      <c r="D336" s="42">
        <v>0</v>
      </c>
      <c r="E336" s="42">
        <v>0</v>
      </c>
      <c r="F336" s="42">
        <v>0</v>
      </c>
      <c r="G336" s="42">
        <v>0</v>
      </c>
      <c r="H336" s="42">
        <v>160192.19</v>
      </c>
      <c r="I336" s="42">
        <v>0</v>
      </c>
      <c r="J336" s="42">
        <v>0</v>
      </c>
      <c r="K336" s="42">
        <v>0</v>
      </c>
      <c r="L336" s="42">
        <v>0</v>
      </c>
      <c r="M336" s="42">
        <v>0</v>
      </c>
      <c r="N336" s="42">
        <v>0</v>
      </c>
      <c r="O336" s="42">
        <v>0</v>
      </c>
      <c r="P336" s="42">
        <v>0</v>
      </c>
      <c r="Q336" s="42">
        <v>0</v>
      </c>
      <c r="R336" s="42">
        <v>0</v>
      </c>
    </row>
    <row r="337" spans="1:18" x14ac:dyDescent="0.25">
      <c r="A337" s="40" t="s">
        <v>111</v>
      </c>
      <c r="B337" s="40">
        <v>2009</v>
      </c>
      <c r="C337" s="73" t="s">
        <v>110</v>
      </c>
      <c r="D337" s="42">
        <v>0</v>
      </c>
      <c r="E337" s="42">
        <v>0</v>
      </c>
      <c r="F337" s="42">
        <v>0</v>
      </c>
      <c r="G337" s="42">
        <v>0</v>
      </c>
      <c r="H337" s="42">
        <v>0</v>
      </c>
      <c r="I337" s="42">
        <v>6117228.6100000003</v>
      </c>
      <c r="J337" s="42">
        <v>0</v>
      </c>
      <c r="K337" s="42">
        <v>0</v>
      </c>
      <c r="L337" s="42">
        <v>0</v>
      </c>
      <c r="M337" s="42">
        <v>0</v>
      </c>
      <c r="N337" s="42">
        <v>0</v>
      </c>
      <c r="O337" s="42">
        <v>0</v>
      </c>
      <c r="P337" s="42">
        <v>0</v>
      </c>
      <c r="Q337" s="42">
        <v>0</v>
      </c>
      <c r="R337" s="42">
        <v>0</v>
      </c>
    </row>
    <row r="338" spans="1:18" x14ac:dyDescent="0.25">
      <c r="A338" s="40" t="s">
        <v>109</v>
      </c>
      <c r="B338" s="40">
        <v>2009</v>
      </c>
      <c r="C338" s="73" t="s">
        <v>108</v>
      </c>
      <c r="D338" s="42">
        <v>0</v>
      </c>
      <c r="E338" s="42">
        <v>0</v>
      </c>
      <c r="F338" s="42">
        <v>0</v>
      </c>
      <c r="G338" s="42">
        <v>3389074.3</v>
      </c>
      <c r="H338" s="42">
        <v>0</v>
      </c>
      <c r="I338" s="42">
        <v>5258684.3899999997</v>
      </c>
      <c r="J338" s="42">
        <v>0</v>
      </c>
      <c r="K338" s="42">
        <v>0</v>
      </c>
      <c r="L338" s="42">
        <v>0</v>
      </c>
      <c r="M338" s="42">
        <v>0</v>
      </c>
      <c r="N338" s="42">
        <v>0</v>
      </c>
      <c r="O338" s="42">
        <v>0</v>
      </c>
      <c r="P338" s="42">
        <v>0</v>
      </c>
      <c r="Q338" s="42">
        <v>0</v>
      </c>
      <c r="R338" s="42">
        <v>0</v>
      </c>
    </row>
    <row r="339" spans="1:18" x14ac:dyDescent="0.25">
      <c r="A339" s="40" t="s">
        <v>107</v>
      </c>
      <c r="B339" s="40">
        <v>2009</v>
      </c>
      <c r="C339" s="73" t="s">
        <v>106</v>
      </c>
      <c r="D339" s="42">
        <v>0</v>
      </c>
      <c r="E339" s="42">
        <v>0</v>
      </c>
      <c r="F339" s="42">
        <v>0</v>
      </c>
      <c r="G339" s="42">
        <v>0</v>
      </c>
      <c r="H339" s="42">
        <v>8859738</v>
      </c>
      <c r="I339" s="42">
        <v>0</v>
      </c>
      <c r="J339" s="42">
        <v>0</v>
      </c>
      <c r="K339" s="42">
        <v>0</v>
      </c>
      <c r="L339" s="42">
        <v>0</v>
      </c>
      <c r="M339" s="42">
        <v>0</v>
      </c>
      <c r="N339" s="42">
        <v>0</v>
      </c>
      <c r="O339" s="42">
        <v>0</v>
      </c>
      <c r="P339" s="42">
        <v>0</v>
      </c>
      <c r="Q339" s="42">
        <v>0</v>
      </c>
      <c r="R339" s="42">
        <v>0</v>
      </c>
    </row>
    <row r="340" spans="1:18" x14ac:dyDescent="0.25">
      <c r="A340" s="40" t="s">
        <v>105</v>
      </c>
      <c r="B340" s="40">
        <v>2009</v>
      </c>
      <c r="C340" s="73" t="s">
        <v>104</v>
      </c>
      <c r="D340" s="42">
        <v>0</v>
      </c>
      <c r="E340" s="42">
        <v>0</v>
      </c>
      <c r="F340" s="42">
        <v>0</v>
      </c>
      <c r="G340" s="42">
        <v>23984173.600000001</v>
      </c>
      <c r="H340" s="42">
        <v>0</v>
      </c>
      <c r="I340" s="42">
        <v>0</v>
      </c>
      <c r="J340" s="42">
        <v>0</v>
      </c>
      <c r="K340" s="42">
        <v>0</v>
      </c>
      <c r="L340" s="42">
        <v>0</v>
      </c>
      <c r="M340" s="42">
        <v>0</v>
      </c>
      <c r="N340" s="42">
        <v>0</v>
      </c>
      <c r="O340" s="42">
        <v>0</v>
      </c>
      <c r="P340" s="42">
        <v>0</v>
      </c>
      <c r="Q340" s="42">
        <v>0</v>
      </c>
      <c r="R340" s="42">
        <v>0</v>
      </c>
    </row>
    <row r="341" spans="1:18" x14ac:dyDescent="0.25">
      <c r="A341" s="40" t="s">
        <v>103</v>
      </c>
      <c r="B341" s="40">
        <v>2009</v>
      </c>
      <c r="C341" s="73" t="s">
        <v>102</v>
      </c>
      <c r="D341" s="42">
        <v>0</v>
      </c>
      <c r="E341" s="42">
        <v>0</v>
      </c>
      <c r="F341" s="42">
        <v>0</v>
      </c>
      <c r="G341" s="42">
        <v>0</v>
      </c>
      <c r="H341" s="42">
        <v>42366</v>
      </c>
      <c r="I341" s="42">
        <v>0</v>
      </c>
      <c r="J341" s="42">
        <v>0</v>
      </c>
      <c r="K341" s="42">
        <v>0</v>
      </c>
      <c r="L341" s="42">
        <v>0</v>
      </c>
      <c r="M341" s="42">
        <v>0</v>
      </c>
      <c r="N341" s="42">
        <v>0</v>
      </c>
      <c r="O341" s="42">
        <v>0</v>
      </c>
      <c r="P341" s="42">
        <v>0</v>
      </c>
      <c r="Q341" s="42">
        <v>0</v>
      </c>
      <c r="R341" s="42">
        <v>0</v>
      </c>
    </row>
    <row r="342" spans="1:18" x14ac:dyDescent="0.25">
      <c r="A342" s="40" t="s">
        <v>101</v>
      </c>
      <c r="B342" s="40">
        <v>2009</v>
      </c>
      <c r="C342" s="73" t="s">
        <v>100</v>
      </c>
      <c r="D342" s="42">
        <v>0</v>
      </c>
      <c r="E342" s="42">
        <v>0</v>
      </c>
      <c r="F342" s="42">
        <v>0</v>
      </c>
      <c r="G342" s="42">
        <v>0</v>
      </c>
      <c r="H342" s="42">
        <v>0</v>
      </c>
      <c r="I342" s="42">
        <v>0</v>
      </c>
      <c r="J342" s="42">
        <v>0</v>
      </c>
      <c r="K342" s="42">
        <v>0</v>
      </c>
      <c r="L342" s="42">
        <v>0</v>
      </c>
      <c r="M342" s="42">
        <v>0</v>
      </c>
      <c r="N342" s="42">
        <v>0</v>
      </c>
      <c r="O342" s="42">
        <v>3322693.42</v>
      </c>
      <c r="P342" s="42">
        <v>0</v>
      </c>
      <c r="Q342" s="42">
        <v>0</v>
      </c>
      <c r="R342" s="42">
        <v>0</v>
      </c>
    </row>
    <row r="343" spans="1:18" x14ac:dyDescent="0.25">
      <c r="A343" s="40" t="s">
        <v>99</v>
      </c>
      <c r="B343" s="40">
        <v>2009</v>
      </c>
      <c r="C343" s="73" t="s">
        <v>98</v>
      </c>
      <c r="D343" s="42">
        <v>0</v>
      </c>
      <c r="E343" s="42">
        <v>0</v>
      </c>
      <c r="F343" s="42">
        <v>0</v>
      </c>
      <c r="G343" s="42">
        <v>0</v>
      </c>
      <c r="H343" s="42">
        <v>5608934.6100000003</v>
      </c>
      <c r="I343" s="42">
        <v>0</v>
      </c>
      <c r="J343" s="42">
        <v>0</v>
      </c>
      <c r="K343" s="42">
        <v>0</v>
      </c>
      <c r="L343" s="42">
        <v>0</v>
      </c>
      <c r="M343" s="42">
        <v>0</v>
      </c>
      <c r="N343" s="42">
        <v>0</v>
      </c>
      <c r="O343" s="42">
        <v>0</v>
      </c>
      <c r="P343" s="42">
        <v>0</v>
      </c>
      <c r="Q343" s="42">
        <v>0</v>
      </c>
      <c r="R343" s="42">
        <v>0</v>
      </c>
    </row>
    <row r="344" spans="1:18" x14ac:dyDescent="0.25">
      <c r="A344" s="40" t="s">
        <v>95</v>
      </c>
      <c r="B344" s="40">
        <v>2009</v>
      </c>
      <c r="C344" s="73" t="s">
        <v>94</v>
      </c>
      <c r="D344" s="42">
        <v>0</v>
      </c>
      <c r="E344" s="42">
        <v>0</v>
      </c>
      <c r="F344" s="42">
        <v>0</v>
      </c>
      <c r="G344" s="42">
        <v>0</v>
      </c>
      <c r="H344" s="42">
        <v>0</v>
      </c>
      <c r="I344" s="42">
        <v>0</v>
      </c>
      <c r="J344" s="42">
        <v>0</v>
      </c>
      <c r="K344" s="42">
        <v>0</v>
      </c>
      <c r="L344" s="42">
        <v>35581911.289999999</v>
      </c>
      <c r="M344" s="42">
        <v>0</v>
      </c>
      <c r="N344" s="42">
        <v>0</v>
      </c>
      <c r="O344" s="42">
        <v>0</v>
      </c>
      <c r="P344" s="42">
        <v>0</v>
      </c>
      <c r="Q344" s="42">
        <v>0</v>
      </c>
      <c r="R344" s="42">
        <v>0</v>
      </c>
    </row>
    <row r="345" spans="1:18" x14ac:dyDescent="0.25">
      <c r="A345" s="40" t="s">
        <v>93</v>
      </c>
      <c r="B345" s="40">
        <v>2009</v>
      </c>
      <c r="C345" s="73" t="s">
        <v>92</v>
      </c>
      <c r="D345" s="42">
        <v>0</v>
      </c>
      <c r="E345" s="42">
        <v>0</v>
      </c>
      <c r="F345" s="42">
        <v>0</v>
      </c>
      <c r="G345" s="42">
        <v>0</v>
      </c>
      <c r="H345" s="42">
        <v>0</v>
      </c>
      <c r="I345" s="42">
        <v>0</v>
      </c>
      <c r="J345" s="42">
        <v>0</v>
      </c>
      <c r="K345" s="42">
        <v>0</v>
      </c>
      <c r="L345" s="42">
        <v>0</v>
      </c>
      <c r="M345" s="42">
        <v>1168037.6599999999</v>
      </c>
      <c r="N345" s="42">
        <v>0</v>
      </c>
      <c r="O345" s="42">
        <v>0</v>
      </c>
      <c r="P345" s="42">
        <v>0</v>
      </c>
      <c r="Q345" s="42">
        <v>0</v>
      </c>
      <c r="R345" s="42">
        <v>0</v>
      </c>
    </row>
    <row r="346" spans="1:18" x14ac:dyDescent="0.25">
      <c r="A346" s="40" t="s">
        <v>91</v>
      </c>
      <c r="B346" s="40">
        <v>2009</v>
      </c>
      <c r="C346" s="73" t="s">
        <v>90</v>
      </c>
      <c r="D346" s="42">
        <v>0</v>
      </c>
      <c r="E346" s="42">
        <v>0</v>
      </c>
      <c r="F346" s="42">
        <v>0</v>
      </c>
      <c r="G346" s="42">
        <v>0</v>
      </c>
      <c r="H346" s="42">
        <v>80000000</v>
      </c>
      <c r="I346" s="42">
        <v>0</v>
      </c>
      <c r="J346" s="42">
        <v>0</v>
      </c>
      <c r="K346" s="42">
        <v>0</v>
      </c>
      <c r="L346" s="42">
        <v>0</v>
      </c>
      <c r="M346" s="42">
        <v>0</v>
      </c>
      <c r="N346" s="42">
        <v>0</v>
      </c>
      <c r="O346" s="42">
        <v>2881400000</v>
      </c>
      <c r="P346" s="42">
        <v>0</v>
      </c>
      <c r="Q346" s="42">
        <v>0</v>
      </c>
      <c r="R346" s="42">
        <v>0</v>
      </c>
    </row>
    <row r="347" spans="1:18" x14ac:dyDescent="0.25">
      <c r="A347" s="40" t="s">
        <v>89</v>
      </c>
      <c r="B347" s="40">
        <v>2009</v>
      </c>
      <c r="C347" s="73" t="s">
        <v>88</v>
      </c>
      <c r="D347" s="42">
        <v>0</v>
      </c>
      <c r="E347" s="42">
        <v>0</v>
      </c>
      <c r="F347" s="42">
        <v>0</v>
      </c>
      <c r="G347" s="42">
        <v>0</v>
      </c>
      <c r="H347" s="42">
        <v>0</v>
      </c>
      <c r="I347" s="42">
        <v>0</v>
      </c>
      <c r="J347" s="42">
        <v>0</v>
      </c>
      <c r="K347" s="42">
        <v>14511588.4</v>
      </c>
      <c r="L347" s="42">
        <v>0</v>
      </c>
      <c r="M347" s="42">
        <v>0</v>
      </c>
      <c r="N347" s="42">
        <v>0</v>
      </c>
      <c r="O347" s="42">
        <v>80000000</v>
      </c>
      <c r="P347" s="42">
        <v>0</v>
      </c>
      <c r="Q347" s="42">
        <v>126407560.42</v>
      </c>
      <c r="R347" s="42">
        <v>0</v>
      </c>
    </row>
    <row r="348" spans="1:18" x14ac:dyDescent="0.25">
      <c r="A348" s="40" t="s">
        <v>83</v>
      </c>
      <c r="B348" s="40">
        <v>2009</v>
      </c>
      <c r="C348" s="73" t="s">
        <v>82</v>
      </c>
      <c r="D348" s="42">
        <v>0</v>
      </c>
      <c r="E348" s="42">
        <v>0</v>
      </c>
      <c r="F348" s="42">
        <v>0</v>
      </c>
      <c r="G348" s="42">
        <v>28322142.039999999</v>
      </c>
      <c r="H348" s="42">
        <v>39206059.479999997</v>
      </c>
      <c r="I348" s="42">
        <v>10187379.67</v>
      </c>
      <c r="J348" s="42">
        <v>13272939.460000001</v>
      </c>
      <c r="K348" s="42">
        <v>23396811.68</v>
      </c>
      <c r="L348" s="42">
        <v>19202036.5</v>
      </c>
      <c r="M348" s="42">
        <v>26006710.73</v>
      </c>
      <c r="N348" s="42">
        <v>8777074.6600000001</v>
      </c>
      <c r="O348" s="42">
        <v>11495713.210000001</v>
      </c>
      <c r="P348" s="42">
        <v>17021486.079999998</v>
      </c>
      <c r="Q348" s="42">
        <v>20666758.390000001</v>
      </c>
      <c r="R348" s="42">
        <v>56469938.380000003</v>
      </c>
    </row>
    <row r="349" spans="1:18" x14ac:dyDescent="0.25">
      <c r="A349" s="40" t="s">
        <v>80</v>
      </c>
      <c r="B349" s="40">
        <v>2009</v>
      </c>
      <c r="C349" s="73" t="s">
        <v>79</v>
      </c>
      <c r="D349" s="42">
        <v>0</v>
      </c>
      <c r="E349" s="42">
        <v>0</v>
      </c>
      <c r="F349" s="42">
        <v>0</v>
      </c>
      <c r="G349" s="42">
        <v>24074506.27</v>
      </c>
      <c r="H349" s="42">
        <v>0</v>
      </c>
      <c r="I349" s="42">
        <v>0</v>
      </c>
      <c r="J349" s="42">
        <v>0</v>
      </c>
      <c r="K349" s="42">
        <v>0</v>
      </c>
      <c r="L349" s="42">
        <v>0</v>
      </c>
      <c r="M349" s="42">
        <v>0</v>
      </c>
      <c r="N349" s="42">
        <v>0</v>
      </c>
      <c r="O349" s="42">
        <v>0</v>
      </c>
      <c r="P349" s="42">
        <v>0</v>
      </c>
      <c r="Q349" s="42">
        <v>0</v>
      </c>
      <c r="R349" s="42">
        <v>0</v>
      </c>
    </row>
    <row r="350" spans="1:18" x14ac:dyDescent="0.25">
      <c r="A350" s="40" t="s">
        <v>78</v>
      </c>
      <c r="B350" s="40">
        <v>2009</v>
      </c>
      <c r="C350" s="73" t="s">
        <v>77</v>
      </c>
      <c r="D350" s="42">
        <v>0</v>
      </c>
      <c r="E350" s="42">
        <v>0</v>
      </c>
      <c r="F350" s="42">
        <v>0</v>
      </c>
      <c r="G350" s="42">
        <v>0</v>
      </c>
      <c r="H350" s="42">
        <v>0</v>
      </c>
      <c r="I350" s="42">
        <v>76401750.010000005</v>
      </c>
      <c r="J350" s="42">
        <v>0</v>
      </c>
      <c r="K350" s="42">
        <v>0</v>
      </c>
      <c r="L350" s="42">
        <v>0</v>
      </c>
      <c r="M350" s="42">
        <v>0</v>
      </c>
      <c r="N350" s="42">
        <v>0</v>
      </c>
      <c r="O350" s="42">
        <v>0</v>
      </c>
      <c r="P350" s="42">
        <v>0</v>
      </c>
      <c r="Q350" s="42">
        <v>0</v>
      </c>
      <c r="R350" s="42">
        <v>0</v>
      </c>
    </row>
    <row r="351" spans="1:18" x14ac:dyDescent="0.25">
      <c r="A351" s="40" t="s">
        <v>74</v>
      </c>
      <c r="B351" s="40">
        <v>2009</v>
      </c>
      <c r="C351" s="73" t="s">
        <v>73</v>
      </c>
      <c r="D351" s="42">
        <v>0</v>
      </c>
      <c r="E351" s="42">
        <v>0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2">
        <v>23187894.809999999</v>
      </c>
      <c r="L351" s="42">
        <v>0</v>
      </c>
      <c r="M351" s="42">
        <v>0</v>
      </c>
      <c r="N351" s="42">
        <v>0</v>
      </c>
      <c r="O351" s="42">
        <v>0</v>
      </c>
      <c r="P351" s="42">
        <v>0</v>
      </c>
      <c r="Q351" s="42">
        <v>0</v>
      </c>
      <c r="R351" s="42">
        <v>0</v>
      </c>
    </row>
    <row r="352" spans="1:18" x14ac:dyDescent="0.25">
      <c r="A352" s="40" t="s">
        <v>72</v>
      </c>
      <c r="B352" s="40">
        <v>2009</v>
      </c>
      <c r="C352" s="73" t="s">
        <v>71</v>
      </c>
      <c r="D352" s="42">
        <v>0</v>
      </c>
      <c r="E352" s="42">
        <v>0</v>
      </c>
      <c r="F352" s="42">
        <v>0</v>
      </c>
      <c r="G352" s="42">
        <v>12332337.189999999</v>
      </c>
      <c r="H352" s="42">
        <v>0</v>
      </c>
      <c r="I352" s="42">
        <v>0</v>
      </c>
      <c r="J352" s="42">
        <v>0</v>
      </c>
      <c r="K352" s="42">
        <v>0</v>
      </c>
      <c r="L352" s="42">
        <v>0</v>
      </c>
      <c r="M352" s="42">
        <v>0</v>
      </c>
      <c r="N352" s="42">
        <v>0</v>
      </c>
      <c r="O352" s="42">
        <v>0</v>
      </c>
      <c r="P352" s="42">
        <v>0</v>
      </c>
      <c r="Q352" s="42">
        <v>0</v>
      </c>
      <c r="R352" s="42">
        <v>0</v>
      </c>
    </row>
    <row r="353" spans="1:18" x14ac:dyDescent="0.25">
      <c r="A353" s="40" t="s">
        <v>68</v>
      </c>
      <c r="B353" s="40">
        <v>2009</v>
      </c>
      <c r="C353" s="73" t="s">
        <v>67</v>
      </c>
      <c r="D353" s="42">
        <v>0</v>
      </c>
      <c r="E353" s="42">
        <v>0</v>
      </c>
      <c r="F353" s="42">
        <v>0</v>
      </c>
      <c r="G353" s="42">
        <v>0</v>
      </c>
      <c r="H353" s="42">
        <v>0</v>
      </c>
      <c r="I353" s="42">
        <v>0</v>
      </c>
      <c r="J353" s="42">
        <v>0</v>
      </c>
      <c r="K353" s="42">
        <v>0</v>
      </c>
      <c r="L353" s="42">
        <v>0</v>
      </c>
      <c r="M353" s="42">
        <v>0</v>
      </c>
      <c r="N353" s="42">
        <v>0</v>
      </c>
      <c r="O353" s="42">
        <v>0</v>
      </c>
      <c r="P353" s="42">
        <v>0</v>
      </c>
      <c r="Q353" s="42">
        <v>250953833.21000001</v>
      </c>
      <c r="R353" s="42">
        <v>0</v>
      </c>
    </row>
    <row r="354" spans="1:18" x14ac:dyDescent="0.25">
      <c r="A354" s="40" t="s">
        <v>66</v>
      </c>
      <c r="B354" s="40">
        <v>2009</v>
      </c>
      <c r="C354" s="73" t="s">
        <v>65</v>
      </c>
      <c r="D354" s="42">
        <v>0</v>
      </c>
      <c r="E354" s="42">
        <v>0</v>
      </c>
      <c r="F354" s="42">
        <v>0</v>
      </c>
      <c r="G354" s="42">
        <v>4624766.37</v>
      </c>
      <c r="H354" s="42">
        <v>4624766.37</v>
      </c>
      <c r="I354" s="42">
        <v>4624766.37</v>
      </c>
      <c r="J354" s="42">
        <v>4624766.37</v>
      </c>
      <c r="K354" s="42">
        <v>4624766.37</v>
      </c>
      <c r="L354" s="42">
        <v>4624766.37</v>
      </c>
      <c r="M354" s="42">
        <v>4624766.37</v>
      </c>
      <c r="N354" s="42">
        <v>4624766.37</v>
      </c>
      <c r="O354" s="42">
        <v>4624766.37</v>
      </c>
      <c r="P354" s="42">
        <v>4624766.37</v>
      </c>
      <c r="Q354" s="42">
        <v>4624766.37</v>
      </c>
      <c r="R354" s="42">
        <v>4624766.37</v>
      </c>
    </row>
    <row r="355" spans="1:18" x14ac:dyDescent="0.25">
      <c r="A355" s="40" t="s">
        <v>64</v>
      </c>
      <c r="B355" s="40">
        <v>2009</v>
      </c>
      <c r="C355" s="73" t="s">
        <v>63</v>
      </c>
      <c r="D355" s="42">
        <v>0</v>
      </c>
      <c r="E355" s="42">
        <v>0</v>
      </c>
      <c r="F355" s="42">
        <v>0</v>
      </c>
      <c r="G355" s="42">
        <v>0</v>
      </c>
      <c r="H355" s="42">
        <v>0</v>
      </c>
      <c r="I355" s="42">
        <v>0</v>
      </c>
      <c r="J355" s="42">
        <v>0</v>
      </c>
      <c r="K355" s="42">
        <v>0</v>
      </c>
      <c r="L355" s="42">
        <v>0</v>
      </c>
      <c r="M355" s="42">
        <v>0</v>
      </c>
      <c r="N355" s="42">
        <v>0</v>
      </c>
      <c r="O355" s="42">
        <v>154898066.08000001</v>
      </c>
      <c r="P355" s="42">
        <v>0</v>
      </c>
      <c r="Q355" s="42">
        <v>0</v>
      </c>
      <c r="R355" s="42">
        <v>0</v>
      </c>
    </row>
    <row r="356" spans="1:18" x14ac:dyDescent="0.25">
      <c r="A356" s="40" t="s">
        <v>60</v>
      </c>
      <c r="B356" s="40">
        <v>2009</v>
      </c>
      <c r="C356" s="73" t="s">
        <v>59</v>
      </c>
      <c r="D356" s="42">
        <v>0</v>
      </c>
      <c r="E356" s="42">
        <v>0</v>
      </c>
      <c r="F356" s="42">
        <v>0</v>
      </c>
      <c r="G356" s="42">
        <v>0</v>
      </c>
      <c r="H356" s="42">
        <v>5399259.5</v>
      </c>
      <c r="I356" s="42">
        <v>0</v>
      </c>
      <c r="J356" s="42">
        <v>0</v>
      </c>
      <c r="K356" s="42">
        <v>0</v>
      </c>
      <c r="L356" s="42">
        <v>0</v>
      </c>
      <c r="M356" s="42">
        <v>0</v>
      </c>
      <c r="N356" s="42">
        <v>0</v>
      </c>
      <c r="O356" s="42">
        <v>0</v>
      </c>
      <c r="P356" s="42">
        <v>0</v>
      </c>
      <c r="Q356" s="42">
        <v>0</v>
      </c>
      <c r="R356" s="42">
        <v>0</v>
      </c>
    </row>
    <row r="357" spans="1:18" x14ac:dyDescent="0.25">
      <c r="A357" s="40" t="s">
        <v>505</v>
      </c>
      <c r="B357" s="40">
        <v>2009</v>
      </c>
      <c r="C357" s="73" t="s">
        <v>504</v>
      </c>
      <c r="D357" s="42">
        <v>0</v>
      </c>
      <c r="E357" s="42">
        <v>0</v>
      </c>
      <c r="F357" s="42">
        <v>0</v>
      </c>
      <c r="G357" s="42">
        <v>29845026.66</v>
      </c>
      <c r="H357" s="42">
        <v>39548401.770000003</v>
      </c>
      <c r="I357" s="42">
        <v>41324095.439999998</v>
      </c>
      <c r="J357" s="42">
        <v>44303815.810000002</v>
      </c>
      <c r="K357" s="42">
        <v>35791427.030000001</v>
      </c>
      <c r="L357" s="42">
        <v>43723395.18</v>
      </c>
      <c r="M357" s="42">
        <v>49745858.560000002</v>
      </c>
      <c r="N357" s="42">
        <v>51471683.07</v>
      </c>
      <c r="O357" s="42">
        <v>44912956.93</v>
      </c>
      <c r="P357" s="42">
        <v>47683271.159999996</v>
      </c>
      <c r="Q357" s="42">
        <v>43385876.600000001</v>
      </c>
      <c r="R357" s="42">
        <v>186320037.56</v>
      </c>
    </row>
    <row r="358" spans="1:18" x14ac:dyDescent="0.25">
      <c r="A358" s="40" t="s">
        <v>502</v>
      </c>
      <c r="B358" s="40">
        <v>2009</v>
      </c>
      <c r="C358" s="73" t="s">
        <v>501</v>
      </c>
      <c r="D358" s="42">
        <v>0</v>
      </c>
      <c r="E358" s="42">
        <v>0</v>
      </c>
      <c r="F358" s="42">
        <v>0</v>
      </c>
      <c r="G358" s="42">
        <v>0</v>
      </c>
      <c r="H358" s="42">
        <v>0</v>
      </c>
      <c r="I358" s="42">
        <v>0</v>
      </c>
      <c r="J358" s="42">
        <v>0</v>
      </c>
      <c r="K358" s="42">
        <v>0</v>
      </c>
      <c r="L358" s="42">
        <v>0</v>
      </c>
      <c r="M358" s="42">
        <v>0</v>
      </c>
      <c r="N358" s="42">
        <v>0</v>
      </c>
      <c r="O358" s="42">
        <v>0</v>
      </c>
      <c r="P358" s="42">
        <v>0</v>
      </c>
      <c r="Q358" s="42">
        <v>1436740000</v>
      </c>
      <c r="R358" s="42">
        <v>2645795000</v>
      </c>
    </row>
    <row r="359" spans="1:18" x14ac:dyDescent="0.25">
      <c r="A359" s="40" t="s">
        <v>461</v>
      </c>
      <c r="B359" s="40">
        <v>2009</v>
      </c>
      <c r="C359" s="73" t="s">
        <v>460</v>
      </c>
      <c r="D359" s="42">
        <v>0</v>
      </c>
      <c r="E359" s="42">
        <v>0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2">
        <v>0</v>
      </c>
      <c r="L359" s="42">
        <v>0</v>
      </c>
      <c r="M359" s="42">
        <v>0</v>
      </c>
      <c r="N359" s="42">
        <v>0</v>
      </c>
      <c r="O359" s="42">
        <v>0</v>
      </c>
      <c r="P359" s="42">
        <v>0</v>
      </c>
      <c r="Q359" s="42">
        <v>45000000</v>
      </c>
      <c r="R359" s="42">
        <v>0</v>
      </c>
    </row>
    <row r="360" spans="1:18" x14ac:dyDescent="0.25">
      <c r="A360" s="40" t="s">
        <v>49</v>
      </c>
      <c r="B360" s="40">
        <v>2009</v>
      </c>
      <c r="C360" s="73" t="s">
        <v>48</v>
      </c>
      <c r="D360" s="42">
        <v>0</v>
      </c>
      <c r="E360" s="42">
        <v>0</v>
      </c>
      <c r="F360" s="42">
        <v>0</v>
      </c>
      <c r="G360" s="42">
        <v>24072010650.470001</v>
      </c>
      <c r="H360" s="42">
        <v>41255875689.360001</v>
      </c>
      <c r="I360" s="42">
        <v>45142649480.480003</v>
      </c>
      <c r="J360" s="42">
        <v>26816221518.66</v>
      </c>
      <c r="K360" s="42">
        <v>0</v>
      </c>
      <c r="L360" s="42">
        <v>645439018.38999999</v>
      </c>
      <c r="M360" s="42">
        <v>13000519077.93</v>
      </c>
      <c r="N360" s="42">
        <v>28486038814.029999</v>
      </c>
      <c r="O360" s="42">
        <v>7373998961.5600004</v>
      </c>
      <c r="P360" s="42">
        <v>28860427992.419998</v>
      </c>
      <c r="Q360" s="42">
        <v>56320083913.089996</v>
      </c>
      <c r="R360" s="42">
        <v>155355038317.03</v>
      </c>
    </row>
    <row r="361" spans="1:18" x14ac:dyDescent="0.25">
      <c r="A361" s="40" t="s">
        <v>47</v>
      </c>
      <c r="B361" s="40">
        <v>2009</v>
      </c>
      <c r="C361" s="73" t="s">
        <v>46</v>
      </c>
      <c r="D361" s="42">
        <v>0</v>
      </c>
      <c r="E361" s="42">
        <v>0</v>
      </c>
      <c r="F361" s="42">
        <v>0</v>
      </c>
      <c r="G361" s="42">
        <v>0</v>
      </c>
      <c r="H361" s="42">
        <v>0</v>
      </c>
      <c r="I361" s="42">
        <v>0</v>
      </c>
      <c r="J361" s="42">
        <v>0</v>
      </c>
      <c r="K361" s="42">
        <v>0</v>
      </c>
      <c r="L361" s="42">
        <v>0</v>
      </c>
      <c r="M361" s="42">
        <v>0</v>
      </c>
      <c r="N361" s="42">
        <v>0</v>
      </c>
      <c r="O361" s="42">
        <v>0</v>
      </c>
      <c r="P361" s="42">
        <v>0</v>
      </c>
      <c r="Q361" s="42">
        <v>17174926340</v>
      </c>
      <c r="R361" s="42">
        <v>4684070820</v>
      </c>
    </row>
    <row r="362" spans="1:18" x14ac:dyDescent="0.25">
      <c r="A362" s="40" t="s">
        <v>43</v>
      </c>
      <c r="B362" s="40">
        <v>2009</v>
      </c>
      <c r="C362" s="73" t="s">
        <v>42</v>
      </c>
      <c r="D362" s="42">
        <v>0</v>
      </c>
      <c r="E362" s="42">
        <v>0</v>
      </c>
      <c r="F362" s="42">
        <v>0</v>
      </c>
      <c r="G362" s="42">
        <v>15044800000</v>
      </c>
      <c r="H362" s="42">
        <v>109466873660</v>
      </c>
      <c r="I362" s="42">
        <v>99789285620</v>
      </c>
      <c r="J362" s="42">
        <v>73474091960</v>
      </c>
      <c r="K362" s="42">
        <v>146215576190</v>
      </c>
      <c r="L362" s="42">
        <v>86035070000</v>
      </c>
      <c r="M362" s="42">
        <v>86723043032.369995</v>
      </c>
      <c r="N362" s="42">
        <v>121122768340.94</v>
      </c>
      <c r="O362" s="42">
        <v>142782089680</v>
      </c>
      <c r="P362" s="42">
        <v>27543850000</v>
      </c>
      <c r="Q362" s="42">
        <v>128635242632</v>
      </c>
      <c r="R362" s="42">
        <v>18775287807.91</v>
      </c>
    </row>
    <row r="363" spans="1:18" x14ac:dyDescent="0.25">
      <c r="A363" s="40" t="s">
        <v>457</v>
      </c>
      <c r="B363" s="40">
        <v>2009</v>
      </c>
      <c r="C363" s="73" t="s">
        <v>456</v>
      </c>
      <c r="D363" s="42">
        <v>0</v>
      </c>
      <c r="E363" s="42">
        <v>0</v>
      </c>
      <c r="F363" s="42">
        <v>0</v>
      </c>
      <c r="G363" s="42">
        <v>0</v>
      </c>
      <c r="H363" s="42">
        <v>191948813.53999999</v>
      </c>
      <c r="I363" s="42">
        <v>1821546279.47</v>
      </c>
      <c r="J363" s="42">
        <v>0</v>
      </c>
      <c r="K363" s="42">
        <v>1068967937.27</v>
      </c>
      <c r="L363" s="42">
        <v>564215488.5</v>
      </c>
      <c r="M363" s="42">
        <v>0</v>
      </c>
      <c r="N363" s="42">
        <v>1599394828.97</v>
      </c>
      <c r="O363" s="42">
        <v>0</v>
      </c>
      <c r="P363" s="42">
        <v>0</v>
      </c>
      <c r="Q363" s="42">
        <v>1920984939.72</v>
      </c>
      <c r="R363" s="42">
        <v>536137077.17000002</v>
      </c>
    </row>
    <row r="364" spans="1:18" x14ac:dyDescent="0.25">
      <c r="A364" s="40" t="s">
        <v>41</v>
      </c>
      <c r="B364" s="40">
        <v>2009</v>
      </c>
      <c r="C364" s="73" t="s">
        <v>40</v>
      </c>
      <c r="D364" s="42">
        <v>0</v>
      </c>
      <c r="E364" s="42">
        <v>0</v>
      </c>
      <c r="F364" s="42">
        <v>0</v>
      </c>
      <c r="G364" s="42">
        <v>0</v>
      </c>
      <c r="H364" s="42">
        <v>0</v>
      </c>
      <c r="I364" s="42">
        <v>0</v>
      </c>
      <c r="J364" s="42">
        <v>0</v>
      </c>
      <c r="K364" s="42">
        <v>0</v>
      </c>
      <c r="L364" s="42">
        <v>0</v>
      </c>
      <c r="M364" s="42">
        <v>0</v>
      </c>
      <c r="N364" s="42">
        <v>0</v>
      </c>
      <c r="O364" s="42">
        <v>0</v>
      </c>
      <c r="P364" s="42">
        <v>0</v>
      </c>
      <c r="Q364" s="42">
        <v>0</v>
      </c>
      <c r="R364" s="42">
        <v>49203445.979999997</v>
      </c>
    </row>
    <row r="365" spans="1:18" x14ac:dyDescent="0.25">
      <c r="A365" s="40" t="s">
        <v>419</v>
      </c>
      <c r="B365" s="40">
        <v>2009</v>
      </c>
      <c r="C365" s="73" t="s">
        <v>418</v>
      </c>
      <c r="D365" s="42">
        <v>0</v>
      </c>
      <c r="E365" s="42">
        <v>0</v>
      </c>
      <c r="F365" s="42">
        <v>0</v>
      </c>
      <c r="G365" s="42">
        <v>0</v>
      </c>
      <c r="H365" s="42">
        <v>774727632.51999998</v>
      </c>
      <c r="I365" s="42">
        <v>304907693.99000001</v>
      </c>
      <c r="J365" s="42">
        <v>0</v>
      </c>
      <c r="K365" s="42">
        <v>841314885.58000004</v>
      </c>
      <c r="L365" s="42">
        <v>535191869.97000003</v>
      </c>
      <c r="M365" s="42">
        <v>0</v>
      </c>
      <c r="N365" s="42">
        <v>1390107988.4100001</v>
      </c>
      <c r="O365" s="42">
        <v>0</v>
      </c>
      <c r="P365" s="42">
        <v>0</v>
      </c>
      <c r="Q365" s="42">
        <v>2240807544.77</v>
      </c>
      <c r="R365" s="42">
        <v>833037375.28999996</v>
      </c>
    </row>
    <row r="366" spans="1:18" x14ac:dyDescent="0.25">
      <c r="A366" s="40" t="s">
        <v>455</v>
      </c>
      <c r="B366" s="40">
        <v>2009</v>
      </c>
      <c r="C366" s="73" t="s">
        <v>454</v>
      </c>
      <c r="D366" s="42">
        <v>0</v>
      </c>
      <c r="E366" s="42">
        <v>0</v>
      </c>
      <c r="F366" s="42">
        <v>0</v>
      </c>
      <c r="G366" s="42">
        <v>0</v>
      </c>
      <c r="H366" s="42">
        <v>0</v>
      </c>
      <c r="I366" s="42">
        <v>32935939.219999999</v>
      </c>
      <c r="J366" s="42">
        <v>0</v>
      </c>
      <c r="K366" s="42">
        <v>189400131.62</v>
      </c>
      <c r="L366" s="42">
        <v>155873700</v>
      </c>
      <c r="M366" s="42">
        <v>0</v>
      </c>
      <c r="N366" s="42">
        <v>384679799.25</v>
      </c>
      <c r="O366" s="42">
        <v>0</v>
      </c>
      <c r="P366" s="42">
        <v>0</v>
      </c>
      <c r="Q366" s="42">
        <v>645447850.66999996</v>
      </c>
      <c r="R366" s="42">
        <v>265989778.43000001</v>
      </c>
    </row>
    <row r="367" spans="1:18" x14ac:dyDescent="0.25">
      <c r="A367" s="40" t="s">
        <v>478</v>
      </c>
      <c r="B367" s="40">
        <v>2009</v>
      </c>
      <c r="C367" s="73" t="s">
        <v>477</v>
      </c>
      <c r="D367" s="42">
        <v>0</v>
      </c>
      <c r="E367" s="42">
        <v>0</v>
      </c>
      <c r="F367" s="42">
        <v>0</v>
      </c>
      <c r="G367" s="42">
        <v>0</v>
      </c>
      <c r="H367" s="42">
        <v>196334869</v>
      </c>
      <c r="I367" s="42">
        <v>139783234.34999999</v>
      </c>
      <c r="J367" s="42">
        <v>0</v>
      </c>
      <c r="K367" s="42">
        <v>397139424.23000002</v>
      </c>
      <c r="L367" s="42">
        <v>93994623</v>
      </c>
      <c r="M367" s="42">
        <v>0</v>
      </c>
      <c r="N367" s="42">
        <v>423557649.10000002</v>
      </c>
      <c r="O367" s="42">
        <v>0</v>
      </c>
      <c r="P367" s="42">
        <v>0</v>
      </c>
      <c r="Q367" s="42">
        <v>552456224.30999994</v>
      </c>
      <c r="R367" s="42">
        <v>376132555.64999998</v>
      </c>
    </row>
    <row r="368" spans="1:18" x14ac:dyDescent="0.25">
      <c r="A368" s="40" t="s">
        <v>37</v>
      </c>
      <c r="B368" s="40">
        <v>2009</v>
      </c>
      <c r="C368" s="73" t="s">
        <v>36</v>
      </c>
      <c r="D368" s="42">
        <v>0</v>
      </c>
      <c r="E368" s="42">
        <v>0</v>
      </c>
      <c r="F368" s="42">
        <v>0</v>
      </c>
      <c r="G368" s="42">
        <v>0</v>
      </c>
      <c r="H368" s="42">
        <v>0</v>
      </c>
      <c r="I368" s="42">
        <v>0</v>
      </c>
      <c r="J368" s="42">
        <v>0</v>
      </c>
      <c r="K368" s="42">
        <v>0</v>
      </c>
      <c r="L368" s="42">
        <v>0</v>
      </c>
      <c r="M368" s="42">
        <v>0</v>
      </c>
      <c r="N368" s="42">
        <v>943182.4</v>
      </c>
      <c r="O368" s="42">
        <v>0</v>
      </c>
      <c r="P368" s="42">
        <v>0</v>
      </c>
      <c r="Q368" s="42">
        <v>2033431.54</v>
      </c>
      <c r="R368" s="42">
        <v>330738.56</v>
      </c>
    </row>
    <row r="369" spans="1:21" x14ac:dyDescent="0.25">
      <c r="A369" s="40" t="s">
        <v>476</v>
      </c>
      <c r="B369" s="40">
        <v>2009</v>
      </c>
      <c r="C369" s="73" t="s">
        <v>475</v>
      </c>
      <c r="D369" s="42">
        <v>0</v>
      </c>
      <c r="E369" s="42">
        <v>0</v>
      </c>
      <c r="F369" s="42">
        <v>0</v>
      </c>
      <c r="G369" s="42">
        <v>0</v>
      </c>
      <c r="H369" s="42">
        <v>608274390.38</v>
      </c>
      <c r="I369" s="42">
        <v>0</v>
      </c>
      <c r="J369" s="42">
        <v>0</v>
      </c>
      <c r="K369" s="42">
        <v>411018048.75999999</v>
      </c>
      <c r="L369" s="42">
        <v>239618206</v>
      </c>
      <c r="M369" s="42">
        <v>0</v>
      </c>
      <c r="N369" s="42">
        <v>513690834.17000002</v>
      </c>
      <c r="O369" s="42">
        <v>0</v>
      </c>
      <c r="P369" s="42">
        <v>0</v>
      </c>
      <c r="Q369" s="42">
        <v>1019790164.0599999</v>
      </c>
      <c r="R369" s="42">
        <v>-63015010.509999998</v>
      </c>
    </row>
    <row r="370" spans="1:21" x14ac:dyDescent="0.25">
      <c r="A370" s="40" t="s">
        <v>383</v>
      </c>
      <c r="B370" s="40">
        <v>2009</v>
      </c>
      <c r="C370" s="73" t="s">
        <v>382</v>
      </c>
      <c r="D370" s="42">
        <v>0</v>
      </c>
      <c r="E370" s="42">
        <v>0</v>
      </c>
      <c r="F370" s="42">
        <v>0</v>
      </c>
      <c r="G370" s="42">
        <v>0</v>
      </c>
      <c r="H370" s="42">
        <v>247572288.28</v>
      </c>
      <c r="I370" s="42">
        <v>0</v>
      </c>
      <c r="J370" s="42">
        <v>0</v>
      </c>
      <c r="K370" s="42">
        <v>0</v>
      </c>
      <c r="L370" s="42">
        <v>333750405.62</v>
      </c>
      <c r="M370" s="42">
        <v>0</v>
      </c>
      <c r="N370" s="42">
        <v>624671324.40999997</v>
      </c>
      <c r="O370" s="42">
        <v>0</v>
      </c>
      <c r="P370" s="42">
        <v>0</v>
      </c>
      <c r="Q370" s="42">
        <v>4255358.2</v>
      </c>
      <c r="R370" s="42">
        <v>0</v>
      </c>
    </row>
    <row r="371" spans="1:21" x14ac:dyDescent="0.25">
      <c r="A371" s="40" t="s">
        <v>381</v>
      </c>
      <c r="B371" s="40">
        <v>2009</v>
      </c>
      <c r="C371" s="73" t="s">
        <v>380</v>
      </c>
      <c r="D371" s="42">
        <v>0</v>
      </c>
      <c r="E371" s="42">
        <v>0</v>
      </c>
      <c r="F371" s="42">
        <v>0</v>
      </c>
      <c r="G371" s="42">
        <v>0</v>
      </c>
      <c r="H371" s="42">
        <v>0</v>
      </c>
      <c r="I371" s="42">
        <v>0</v>
      </c>
      <c r="J371" s="42">
        <v>0</v>
      </c>
      <c r="K371" s="42">
        <v>0</v>
      </c>
      <c r="L371" s="42">
        <v>0</v>
      </c>
      <c r="M371" s="42">
        <v>0</v>
      </c>
      <c r="N371" s="42">
        <v>1772220000</v>
      </c>
      <c r="O371" s="42">
        <v>0</v>
      </c>
      <c r="P371" s="42">
        <v>0</v>
      </c>
      <c r="Q371" s="42">
        <v>0</v>
      </c>
      <c r="R371" s="42">
        <v>0</v>
      </c>
    </row>
    <row r="372" spans="1:21" x14ac:dyDescent="0.25">
      <c r="A372" s="40" t="s">
        <v>15</v>
      </c>
      <c r="B372" s="40">
        <v>2009</v>
      </c>
      <c r="C372" s="73" t="s">
        <v>14</v>
      </c>
      <c r="D372" s="42">
        <v>0</v>
      </c>
      <c r="E372" s="42">
        <v>0</v>
      </c>
      <c r="F372" s="42">
        <v>0</v>
      </c>
      <c r="G372" s="42">
        <v>0</v>
      </c>
      <c r="H372" s="42">
        <v>0</v>
      </c>
      <c r="I372" s="42">
        <v>0</v>
      </c>
      <c r="J372" s="42">
        <v>0</v>
      </c>
      <c r="K372" s="42">
        <v>0</v>
      </c>
      <c r="L372" s="42">
        <v>6600000000</v>
      </c>
      <c r="M372" s="42">
        <v>0</v>
      </c>
      <c r="N372" s="42">
        <v>0</v>
      </c>
      <c r="O372" s="42">
        <v>0</v>
      </c>
      <c r="P372" s="42">
        <v>0</v>
      </c>
      <c r="Q372" s="42">
        <v>0</v>
      </c>
      <c r="R372" s="42">
        <v>1803224000</v>
      </c>
    </row>
    <row r="373" spans="1:21" x14ac:dyDescent="0.25">
      <c r="A373" s="40" t="s">
        <v>453</v>
      </c>
      <c r="B373" s="40">
        <v>2009</v>
      </c>
      <c r="C373" s="73" t="s">
        <v>452</v>
      </c>
      <c r="D373" s="42">
        <v>0</v>
      </c>
      <c r="E373" s="42">
        <v>0</v>
      </c>
      <c r="F373" s="42">
        <v>0</v>
      </c>
      <c r="G373" s="42">
        <v>0</v>
      </c>
      <c r="H373" s="42">
        <v>315079652.95999998</v>
      </c>
      <c r="I373" s="42">
        <v>202655871.16</v>
      </c>
      <c r="J373" s="42">
        <v>0</v>
      </c>
      <c r="K373" s="42">
        <v>538036308.59000003</v>
      </c>
      <c r="L373" s="42">
        <v>737631598.62</v>
      </c>
      <c r="M373" s="42">
        <v>0</v>
      </c>
      <c r="N373" s="42">
        <v>673122883.58000004</v>
      </c>
      <c r="O373" s="42">
        <v>0</v>
      </c>
      <c r="P373" s="42">
        <v>0</v>
      </c>
      <c r="Q373" s="42">
        <v>1248277888.8399999</v>
      </c>
      <c r="R373" s="42">
        <v>813551818.60000002</v>
      </c>
    </row>
    <row r="374" spans="1:21" x14ac:dyDescent="0.25">
      <c r="A374" s="40" t="s">
        <v>3</v>
      </c>
      <c r="B374" s="40">
        <v>2009</v>
      </c>
      <c r="C374" s="73" t="s">
        <v>0</v>
      </c>
      <c r="D374" s="42">
        <v>0</v>
      </c>
      <c r="E374" s="42">
        <v>0</v>
      </c>
      <c r="F374" s="42">
        <v>0</v>
      </c>
      <c r="G374" s="42">
        <v>0</v>
      </c>
      <c r="H374" s="42">
        <v>0</v>
      </c>
      <c r="I374" s="42">
        <v>0</v>
      </c>
      <c r="J374" s="42">
        <v>0</v>
      </c>
      <c r="K374" s="42">
        <v>0</v>
      </c>
      <c r="L374" s="42">
        <v>29179560.960000001</v>
      </c>
      <c r="M374" s="42">
        <v>0</v>
      </c>
      <c r="N374" s="42">
        <v>58271832</v>
      </c>
      <c r="O374" s="42">
        <v>0</v>
      </c>
      <c r="P374" s="42">
        <v>0</v>
      </c>
      <c r="Q374" s="42">
        <v>107271699.39</v>
      </c>
      <c r="R374" s="42">
        <v>1204976099.5</v>
      </c>
    </row>
    <row r="375" spans="1:21" x14ac:dyDescent="0.25">
      <c r="A375" s="40" t="s">
        <v>833</v>
      </c>
      <c r="B375" s="40">
        <v>2009</v>
      </c>
      <c r="C375" s="73" t="s">
        <v>834</v>
      </c>
      <c r="D375" s="42">
        <v>0</v>
      </c>
      <c r="E375" s="42">
        <v>0</v>
      </c>
      <c r="F375" s="42">
        <v>0</v>
      </c>
      <c r="G375" s="42">
        <v>0</v>
      </c>
      <c r="H375" s="42">
        <v>0</v>
      </c>
      <c r="I375" s="42">
        <v>187765281</v>
      </c>
      <c r="J375" s="42">
        <v>785741125</v>
      </c>
      <c r="K375" s="42">
        <v>0</v>
      </c>
      <c r="L375" s="42">
        <v>0</v>
      </c>
      <c r="M375" s="42">
        <v>0</v>
      </c>
      <c r="N375" s="42">
        <v>0</v>
      </c>
      <c r="O375" s="42">
        <v>0</v>
      </c>
      <c r="P375" s="42">
        <v>0</v>
      </c>
      <c r="Q375" s="42">
        <v>0</v>
      </c>
      <c r="R375" s="42">
        <v>-730530776.79999995</v>
      </c>
    </row>
    <row r="376" spans="1:21" x14ac:dyDescent="0.25">
      <c r="A376" s="25" t="s">
        <v>360</v>
      </c>
      <c r="B376" s="26">
        <v>2010</v>
      </c>
      <c r="C376" s="74" t="s">
        <v>359</v>
      </c>
      <c r="D376" s="41">
        <v>0</v>
      </c>
      <c r="E376" s="53">
        <v>116000000000</v>
      </c>
      <c r="F376" s="53">
        <v>116000000000</v>
      </c>
      <c r="G376" s="53">
        <v>7387889385.2399998</v>
      </c>
      <c r="H376" s="53">
        <v>10263433698.77</v>
      </c>
      <c r="I376" s="53">
        <v>7828177485.5699997</v>
      </c>
      <c r="J376" s="53">
        <v>9393159913.2900009</v>
      </c>
      <c r="K376" s="53">
        <v>8448214980.1899996</v>
      </c>
      <c r="L376" s="53">
        <v>10659086028.049999</v>
      </c>
      <c r="M376" s="53">
        <v>8835581312.3899994</v>
      </c>
      <c r="N376" s="53">
        <v>10202266093.889999</v>
      </c>
      <c r="O376" s="53">
        <v>10405981846.639999</v>
      </c>
      <c r="P376" s="53">
        <v>9799304824.5300007</v>
      </c>
      <c r="Q376" s="53">
        <v>9715365020.8099995</v>
      </c>
      <c r="R376" s="53">
        <v>7369766556.9499998</v>
      </c>
      <c r="U376" s="17"/>
    </row>
    <row r="377" spans="1:21" x14ac:dyDescent="0.25">
      <c r="A377" s="25" t="s">
        <v>358</v>
      </c>
      <c r="B377" s="26">
        <v>2010</v>
      </c>
      <c r="C377" s="74" t="s">
        <v>357</v>
      </c>
      <c r="D377" s="27">
        <v>0</v>
      </c>
      <c r="E377" s="53">
        <v>72000000000</v>
      </c>
      <c r="F377" s="53">
        <v>72000000000</v>
      </c>
      <c r="G377" s="53">
        <v>5014331231.25</v>
      </c>
      <c r="H377" s="53">
        <v>7737596737.6199999</v>
      </c>
      <c r="I377" s="53">
        <v>4654464137.5200005</v>
      </c>
      <c r="J377" s="53">
        <v>6964825507.1499996</v>
      </c>
      <c r="K377" s="53">
        <v>4589507022.8000002</v>
      </c>
      <c r="L377" s="53">
        <v>10819937067.33</v>
      </c>
      <c r="M377" s="53">
        <v>3986058083.9400001</v>
      </c>
      <c r="N377" s="53">
        <v>4460157075.8999996</v>
      </c>
      <c r="O377" s="53">
        <v>4885794215.3999996</v>
      </c>
      <c r="P377" s="53">
        <v>7685628236.4300003</v>
      </c>
      <c r="Q377" s="53">
        <v>4881700140.7700005</v>
      </c>
      <c r="R377" s="53">
        <v>9930833148.8799992</v>
      </c>
      <c r="U377" s="17"/>
    </row>
    <row r="378" spans="1:21" x14ac:dyDescent="0.25">
      <c r="A378" s="25" t="s">
        <v>356</v>
      </c>
      <c r="B378" s="26">
        <v>2010</v>
      </c>
      <c r="C378" s="74" t="s">
        <v>355</v>
      </c>
      <c r="D378" s="27">
        <v>0</v>
      </c>
      <c r="E378" s="53">
        <v>11000000000</v>
      </c>
      <c r="F378" s="53">
        <v>11000000000</v>
      </c>
      <c r="G378" s="53">
        <v>0</v>
      </c>
      <c r="H378" s="53">
        <v>508145552.30000001</v>
      </c>
      <c r="I378" s="53">
        <v>17802160.079999998</v>
      </c>
      <c r="J378" s="53">
        <v>1965232703.05</v>
      </c>
      <c r="K378" s="53">
        <v>732468820.62</v>
      </c>
      <c r="L378" s="53">
        <v>306826464.52999997</v>
      </c>
      <c r="M378" s="53">
        <v>136540</v>
      </c>
      <c r="N378" s="53">
        <v>2414209455.3200002</v>
      </c>
      <c r="O378" s="53">
        <v>271725771.77999997</v>
      </c>
      <c r="P378" s="53">
        <v>3574968462.0500002</v>
      </c>
      <c r="Q378" s="53">
        <v>-1031108519.09</v>
      </c>
      <c r="R378" s="53">
        <v>8169140035.6599998</v>
      </c>
      <c r="U378" s="17"/>
    </row>
    <row r="379" spans="1:21" x14ac:dyDescent="0.25">
      <c r="A379" s="25" t="s">
        <v>353</v>
      </c>
      <c r="B379" s="26">
        <v>2010</v>
      </c>
      <c r="C379" s="74" t="s">
        <v>352</v>
      </c>
      <c r="D379" s="27">
        <v>0</v>
      </c>
      <c r="E379" s="53">
        <v>25000000000</v>
      </c>
      <c r="F379" s="53">
        <v>25000000000</v>
      </c>
      <c r="G379" s="53">
        <v>5087925084</v>
      </c>
      <c r="H379" s="53">
        <v>1185759646.1900001</v>
      </c>
      <c r="I379" s="53">
        <v>5611244492.7700005</v>
      </c>
      <c r="J379" s="53">
        <v>2597744271.27</v>
      </c>
      <c r="K379" s="53">
        <v>1848923494.9200001</v>
      </c>
      <c r="L379" s="53">
        <v>4795736697.5100002</v>
      </c>
      <c r="M379" s="53">
        <v>5586909602.6800003</v>
      </c>
      <c r="N379" s="53">
        <v>2154357723.2600002</v>
      </c>
      <c r="O379" s="53">
        <v>6776943939.9200001</v>
      </c>
      <c r="P379" s="53">
        <v>4521475877.7700005</v>
      </c>
      <c r="Q379" s="53">
        <v>28972570868.119999</v>
      </c>
      <c r="R379" s="53">
        <v>10929518018.35</v>
      </c>
      <c r="U379" s="17"/>
    </row>
    <row r="380" spans="1:21" x14ac:dyDescent="0.25">
      <c r="A380" s="25" t="s">
        <v>351</v>
      </c>
      <c r="B380" s="26">
        <v>2010</v>
      </c>
      <c r="C380" s="74" t="s">
        <v>350</v>
      </c>
      <c r="D380" s="27">
        <v>0</v>
      </c>
      <c r="E380" s="53">
        <v>375000000000</v>
      </c>
      <c r="F380" s="53">
        <v>375000000000</v>
      </c>
      <c r="G380" s="53">
        <v>14751141772.01</v>
      </c>
      <c r="H380" s="53">
        <v>2048440074.0599999</v>
      </c>
      <c r="I380" s="53">
        <v>82507002304.350006</v>
      </c>
      <c r="J380" s="53">
        <v>19715296841</v>
      </c>
      <c r="K380" s="53">
        <v>3110466770.0500002</v>
      </c>
      <c r="L380" s="53">
        <v>39202937633.669998</v>
      </c>
      <c r="M380" s="53">
        <v>38361357325.449997</v>
      </c>
      <c r="N380" s="53">
        <v>-1030134488.0700001</v>
      </c>
      <c r="O380" s="53">
        <v>64065940726.580002</v>
      </c>
      <c r="P380" s="53">
        <v>37373862547.029999</v>
      </c>
      <c r="Q380" s="53">
        <v>-24018836536.43</v>
      </c>
      <c r="R380" s="53">
        <v>93797952248</v>
      </c>
      <c r="U380" s="17"/>
    </row>
    <row r="381" spans="1:21" x14ac:dyDescent="0.25">
      <c r="A381" s="25" t="s">
        <v>348</v>
      </c>
      <c r="B381" s="26">
        <v>2010</v>
      </c>
      <c r="C381" s="74" t="s">
        <v>344</v>
      </c>
      <c r="D381" s="27">
        <v>0</v>
      </c>
      <c r="E381" s="53">
        <v>0</v>
      </c>
      <c r="F381" s="53">
        <v>0</v>
      </c>
      <c r="G381" s="53">
        <v>4583696</v>
      </c>
      <c r="H381" s="53">
        <v>194472989.58000001</v>
      </c>
      <c r="I381" s="53">
        <v>1681332.52</v>
      </c>
      <c r="J381" s="53">
        <v>2274852</v>
      </c>
      <c r="K381" s="53">
        <v>2735468</v>
      </c>
      <c r="L381" s="53">
        <v>2307283.91</v>
      </c>
      <c r="M381" s="53">
        <v>2639993</v>
      </c>
      <c r="N381" s="53">
        <v>4858846.3099999996</v>
      </c>
      <c r="O381" s="53">
        <v>3116658</v>
      </c>
      <c r="P381" s="53">
        <v>5159888.04</v>
      </c>
      <c r="Q381" s="53">
        <v>3911192</v>
      </c>
      <c r="R381" s="53">
        <v>9674624</v>
      </c>
      <c r="U381" s="17"/>
    </row>
    <row r="382" spans="1:21" x14ac:dyDescent="0.25">
      <c r="A382" s="25" t="s">
        <v>347</v>
      </c>
      <c r="B382" s="26">
        <v>2010</v>
      </c>
      <c r="C382" s="74" t="s">
        <v>342</v>
      </c>
      <c r="D382" s="27">
        <v>0</v>
      </c>
      <c r="E382" s="53">
        <v>12000000000</v>
      </c>
      <c r="F382" s="53">
        <v>12000000000</v>
      </c>
      <c r="G382" s="53">
        <v>624334200.59000003</v>
      </c>
      <c r="H382" s="53">
        <v>170785889.31999999</v>
      </c>
      <c r="I382" s="53">
        <v>630418706.27999997</v>
      </c>
      <c r="J382" s="53">
        <v>829452353.96000004</v>
      </c>
      <c r="K382" s="53">
        <v>1531743506.0899999</v>
      </c>
      <c r="L382" s="53">
        <v>1582757423.5599999</v>
      </c>
      <c r="M382" s="53">
        <v>457049731.38</v>
      </c>
      <c r="N382" s="53">
        <v>875906097.20000005</v>
      </c>
      <c r="O382" s="53">
        <v>1079028739.02</v>
      </c>
      <c r="P382" s="53">
        <v>862903741.67999995</v>
      </c>
      <c r="Q382" s="53">
        <v>471598344.25999999</v>
      </c>
      <c r="R382" s="53">
        <v>2763639645.8699999</v>
      </c>
      <c r="U382" s="17"/>
    </row>
    <row r="383" spans="1:21" x14ac:dyDescent="0.25">
      <c r="A383" s="25" t="s">
        <v>345</v>
      </c>
      <c r="B383" s="26">
        <v>2010</v>
      </c>
      <c r="C383" s="74" t="s">
        <v>344</v>
      </c>
      <c r="D383" s="27">
        <v>0</v>
      </c>
      <c r="E383" s="53">
        <v>46000000000</v>
      </c>
      <c r="F383" s="53">
        <v>46000000000</v>
      </c>
      <c r="G383" s="53">
        <v>721556681.78999996</v>
      </c>
      <c r="H383" s="53">
        <v>207344007.08000001</v>
      </c>
      <c r="I383" s="53">
        <v>4048144373.4699998</v>
      </c>
      <c r="J383" s="53">
        <v>1001290831.25</v>
      </c>
      <c r="K383" s="53">
        <v>1171011522.6700001</v>
      </c>
      <c r="L383" s="53">
        <v>3531739946.27</v>
      </c>
      <c r="M383" s="53">
        <v>562345373.45000005</v>
      </c>
      <c r="N383" s="53">
        <v>5911908684.2600002</v>
      </c>
      <c r="O383" s="53">
        <v>3617347302.98</v>
      </c>
      <c r="P383" s="53">
        <v>-645985591.80999994</v>
      </c>
      <c r="Q383" s="53">
        <v>8254644863.2600002</v>
      </c>
      <c r="R383" s="53">
        <v>1125937859.1500001</v>
      </c>
      <c r="U383" s="17"/>
    </row>
    <row r="384" spans="1:21" x14ac:dyDescent="0.25">
      <c r="A384" s="25" t="s">
        <v>343</v>
      </c>
      <c r="B384" s="26">
        <v>2010</v>
      </c>
      <c r="C384" s="74" t="s">
        <v>342</v>
      </c>
      <c r="D384" s="27">
        <v>0</v>
      </c>
      <c r="E384" s="53">
        <v>8000000000</v>
      </c>
      <c r="F384" s="53">
        <v>8000000000</v>
      </c>
      <c r="G384" s="53">
        <v>1153268478.8499999</v>
      </c>
      <c r="H384" s="53">
        <v>1085461037.55</v>
      </c>
      <c r="I384" s="53">
        <v>731185704.5</v>
      </c>
      <c r="J384" s="53">
        <v>635930837.96000004</v>
      </c>
      <c r="K384" s="53">
        <v>520621116.51999998</v>
      </c>
      <c r="L384" s="53">
        <v>550612594.30999994</v>
      </c>
      <c r="M384" s="53">
        <v>600704826.89999998</v>
      </c>
      <c r="N384" s="53">
        <v>609634248.53999996</v>
      </c>
      <c r="O384" s="53">
        <v>639425558.65999997</v>
      </c>
      <c r="P384" s="53">
        <v>729057078.52999997</v>
      </c>
      <c r="Q384" s="53">
        <v>689166037.37</v>
      </c>
      <c r="R384" s="53">
        <v>616805981.51999998</v>
      </c>
      <c r="U384" s="17"/>
    </row>
    <row r="385" spans="1:21" x14ac:dyDescent="0.25">
      <c r="A385" s="25" t="s">
        <v>500</v>
      </c>
      <c r="B385" s="26">
        <v>2010</v>
      </c>
      <c r="C385" s="74" t="s">
        <v>339</v>
      </c>
      <c r="D385" s="27">
        <v>0</v>
      </c>
      <c r="E385" s="53">
        <v>35000000000</v>
      </c>
      <c r="F385" s="53">
        <v>35000000000</v>
      </c>
      <c r="G385" s="53">
        <v>4591003567.1000004</v>
      </c>
      <c r="H385" s="53">
        <v>2288381999.9299998</v>
      </c>
      <c r="I385" s="53">
        <v>3744891211.4400001</v>
      </c>
      <c r="J385" s="53">
        <v>4200157963.0799999</v>
      </c>
      <c r="K385" s="53">
        <v>4225849369.1799998</v>
      </c>
      <c r="L385" s="53">
        <v>2571487551.3699999</v>
      </c>
      <c r="M385" s="53">
        <v>3597232224.77</v>
      </c>
      <c r="N385" s="53">
        <v>2868816217.79</v>
      </c>
      <c r="O385" s="53">
        <v>3583231221.8400002</v>
      </c>
      <c r="P385" s="53">
        <v>4326587899.2299995</v>
      </c>
      <c r="Q385" s="53">
        <v>3418028299.5900002</v>
      </c>
      <c r="R385" s="53">
        <v>5330670598.1000004</v>
      </c>
      <c r="U385" s="17"/>
    </row>
    <row r="386" spans="1:21" x14ac:dyDescent="0.25">
      <c r="A386" s="25" t="s">
        <v>520</v>
      </c>
      <c r="B386" s="26">
        <v>2010</v>
      </c>
      <c r="C386" s="74" t="s">
        <v>337</v>
      </c>
      <c r="D386" s="27">
        <v>0</v>
      </c>
      <c r="E386" s="53">
        <v>0</v>
      </c>
      <c r="F386" s="53">
        <v>0</v>
      </c>
      <c r="G386" s="53">
        <v>357885135</v>
      </c>
      <c r="H386" s="53">
        <v>0</v>
      </c>
      <c r="I386" s="53">
        <v>9000</v>
      </c>
      <c r="J386" s="53">
        <v>0</v>
      </c>
      <c r="K386" s="53">
        <v>0</v>
      </c>
      <c r="L386" s="53">
        <v>0</v>
      </c>
      <c r="M386" s="53">
        <v>5320</v>
      </c>
      <c r="N386" s="53">
        <v>0</v>
      </c>
      <c r="O386" s="53">
        <v>6500</v>
      </c>
      <c r="P386" s="53">
        <v>0</v>
      </c>
      <c r="Q386" s="53">
        <v>0</v>
      </c>
      <c r="R386" s="53">
        <v>0</v>
      </c>
      <c r="U386" s="17"/>
    </row>
    <row r="387" spans="1:21" x14ac:dyDescent="0.25">
      <c r="A387" s="25" t="s">
        <v>335</v>
      </c>
      <c r="B387" s="26">
        <v>2010</v>
      </c>
      <c r="C387" s="74" t="s">
        <v>334</v>
      </c>
      <c r="D387" s="27">
        <v>0</v>
      </c>
      <c r="E387" s="53">
        <v>10000000000</v>
      </c>
      <c r="F387" s="53">
        <v>10000000000</v>
      </c>
      <c r="G387" s="53">
        <v>3095396080.5100002</v>
      </c>
      <c r="H387" s="53">
        <v>64439272.740000002</v>
      </c>
      <c r="I387" s="53">
        <v>30218807.73</v>
      </c>
      <c r="J387" s="53">
        <v>18213407.300000001</v>
      </c>
      <c r="K387" s="53">
        <v>11590100.52</v>
      </c>
      <c r="L387" s="53">
        <v>6020118</v>
      </c>
      <c r="M387" s="53">
        <v>18520576</v>
      </c>
      <c r="N387" s="53">
        <v>3185636.5</v>
      </c>
      <c r="O387" s="53">
        <v>3154096</v>
      </c>
      <c r="P387" s="53">
        <v>2195555.7799999998</v>
      </c>
      <c r="Q387" s="53">
        <v>20150581.760000002</v>
      </c>
      <c r="R387" s="53">
        <v>253575823.08000001</v>
      </c>
      <c r="U387" s="17"/>
    </row>
    <row r="388" spans="1:21" x14ac:dyDescent="0.25">
      <c r="A388" s="25" t="s">
        <v>332</v>
      </c>
      <c r="B388" s="26">
        <v>2010</v>
      </c>
      <c r="C388" s="74" t="s">
        <v>331</v>
      </c>
      <c r="D388" s="27">
        <v>0</v>
      </c>
      <c r="E388" s="53">
        <v>84000000000</v>
      </c>
      <c r="F388" s="53">
        <v>84000000000</v>
      </c>
      <c r="G388" s="53">
        <v>18027005730</v>
      </c>
      <c r="H388" s="53">
        <v>2738233835</v>
      </c>
      <c r="I388" s="53">
        <v>1758951328</v>
      </c>
      <c r="J388" s="53">
        <v>1463063274</v>
      </c>
      <c r="K388" s="53">
        <v>1407711928.02</v>
      </c>
      <c r="L388" s="53">
        <v>1087176628.1600001</v>
      </c>
      <c r="M388" s="53">
        <v>983417869</v>
      </c>
      <c r="N388" s="53">
        <v>825198430</v>
      </c>
      <c r="O388" s="53">
        <v>844289381.42999995</v>
      </c>
      <c r="P388" s="53">
        <v>661402130</v>
      </c>
      <c r="Q388" s="53">
        <v>480111196</v>
      </c>
      <c r="R388" s="53">
        <v>63824912253</v>
      </c>
      <c r="U388" s="17"/>
    </row>
    <row r="389" spans="1:21" x14ac:dyDescent="0.25">
      <c r="A389" s="25" t="s">
        <v>329</v>
      </c>
      <c r="B389" s="26">
        <v>2010</v>
      </c>
      <c r="C389" s="74" t="s">
        <v>328</v>
      </c>
      <c r="D389" s="27">
        <v>0</v>
      </c>
      <c r="E389" s="53">
        <v>121000000</v>
      </c>
      <c r="F389" s="53">
        <v>121000000</v>
      </c>
      <c r="G389" s="53">
        <v>28568183</v>
      </c>
      <c r="H389" s="53">
        <v>5088294</v>
      </c>
      <c r="I389" s="53">
        <v>2821794</v>
      </c>
      <c r="J389" s="53">
        <v>2187039</v>
      </c>
      <c r="K389" s="53">
        <v>1805031</v>
      </c>
      <c r="L389" s="53">
        <v>1568584</v>
      </c>
      <c r="M389" s="53">
        <v>1370068</v>
      </c>
      <c r="N389" s="53">
        <v>1214522</v>
      </c>
      <c r="O389" s="53">
        <v>1243890</v>
      </c>
      <c r="P389" s="53">
        <v>1126978</v>
      </c>
      <c r="Q389" s="53">
        <v>951949</v>
      </c>
      <c r="R389" s="53">
        <v>87611246</v>
      </c>
      <c r="U389" s="17"/>
    </row>
    <row r="390" spans="1:21" x14ac:dyDescent="0.25">
      <c r="A390" s="25" t="s">
        <v>325</v>
      </c>
      <c r="B390" s="26">
        <v>2010</v>
      </c>
      <c r="C390" s="74" t="s">
        <v>324</v>
      </c>
      <c r="D390" s="27">
        <v>0</v>
      </c>
      <c r="E390" s="53">
        <v>1750000000</v>
      </c>
      <c r="F390" s="53">
        <v>1750000000</v>
      </c>
      <c r="G390" s="53">
        <v>21831164.510000002</v>
      </c>
      <c r="H390" s="53">
        <v>21169206.16</v>
      </c>
      <c r="I390" s="53">
        <v>25538480.699999999</v>
      </c>
      <c r="J390" s="53">
        <v>235992527.97999999</v>
      </c>
      <c r="K390" s="53">
        <v>66826338.450000003</v>
      </c>
      <c r="L390" s="53">
        <v>8367192.8600000003</v>
      </c>
      <c r="M390" s="53">
        <v>9403741.8900000006</v>
      </c>
      <c r="N390" s="53">
        <v>11295111.939999999</v>
      </c>
      <c r="O390" s="53">
        <v>9104965.2899999991</v>
      </c>
      <c r="P390" s="53">
        <v>17477831.760000002</v>
      </c>
      <c r="Q390" s="53">
        <v>12419813.15</v>
      </c>
      <c r="R390" s="53">
        <v>19798217.260000002</v>
      </c>
      <c r="U390" s="17"/>
    </row>
    <row r="391" spans="1:21" x14ac:dyDescent="0.25">
      <c r="A391" s="25" t="s">
        <v>320</v>
      </c>
      <c r="B391" s="26">
        <v>2010</v>
      </c>
      <c r="C391" s="74" t="s">
        <v>319</v>
      </c>
      <c r="D391" s="27">
        <v>0</v>
      </c>
      <c r="E391" s="53">
        <v>13000000000</v>
      </c>
      <c r="F391" s="53">
        <v>13000000000</v>
      </c>
      <c r="G391" s="53">
        <v>931369841</v>
      </c>
      <c r="H391" s="53">
        <v>872709998</v>
      </c>
      <c r="I391" s="53">
        <v>1206712249</v>
      </c>
      <c r="J391" s="53">
        <v>1140872940</v>
      </c>
      <c r="K391" s="53">
        <v>1499976031</v>
      </c>
      <c r="L391" s="53">
        <v>1209097471</v>
      </c>
      <c r="M391" s="53">
        <v>1270189178</v>
      </c>
      <c r="N391" s="53">
        <v>1230046365</v>
      </c>
      <c r="O391" s="53">
        <v>1298791153</v>
      </c>
      <c r="P391" s="53">
        <v>1213640938</v>
      </c>
      <c r="Q391" s="53">
        <v>1410933265</v>
      </c>
      <c r="R391" s="53">
        <v>1459097898</v>
      </c>
      <c r="U391" s="17"/>
    </row>
    <row r="392" spans="1:21" x14ac:dyDescent="0.25">
      <c r="A392" s="25" t="s">
        <v>317</v>
      </c>
      <c r="B392" s="26">
        <v>2010</v>
      </c>
      <c r="C392" s="74" t="s">
        <v>316</v>
      </c>
      <c r="D392" s="27">
        <v>0</v>
      </c>
      <c r="E392" s="53">
        <v>11500000000</v>
      </c>
      <c r="F392" s="53">
        <v>11500000000</v>
      </c>
      <c r="G392" s="53">
        <v>897653600</v>
      </c>
      <c r="H392" s="53">
        <v>1007266820</v>
      </c>
      <c r="I392" s="53">
        <v>1064392520</v>
      </c>
      <c r="J392" s="53">
        <v>962046245</v>
      </c>
      <c r="K392" s="53">
        <v>1090634881</v>
      </c>
      <c r="L392" s="53">
        <v>1078822202</v>
      </c>
      <c r="M392" s="53">
        <v>1058415911</v>
      </c>
      <c r="N392" s="53">
        <v>1021545276</v>
      </c>
      <c r="O392" s="53">
        <v>1000902705</v>
      </c>
      <c r="P392" s="53">
        <v>976356537</v>
      </c>
      <c r="Q392" s="53">
        <v>1082585093</v>
      </c>
      <c r="R392" s="53">
        <v>1070218127</v>
      </c>
      <c r="U392" s="17"/>
    </row>
    <row r="393" spans="1:21" x14ac:dyDescent="0.25">
      <c r="A393" s="25" t="s">
        <v>313</v>
      </c>
      <c r="B393" s="26">
        <v>2010</v>
      </c>
      <c r="C393" s="74" t="s">
        <v>312</v>
      </c>
      <c r="D393" s="27">
        <v>0</v>
      </c>
      <c r="E393" s="53">
        <v>521000000000</v>
      </c>
      <c r="F393" s="53">
        <v>521000000000</v>
      </c>
      <c r="G393" s="53">
        <v>50677882317.82</v>
      </c>
      <c r="H393" s="53">
        <v>40454030992.279999</v>
      </c>
      <c r="I393" s="53">
        <v>38871999593.57</v>
      </c>
      <c r="J393" s="53">
        <v>41431500522.360001</v>
      </c>
      <c r="K393" s="53">
        <v>37540370044.870003</v>
      </c>
      <c r="L393" s="53">
        <v>37860877115.690002</v>
      </c>
      <c r="M393" s="53">
        <v>38485272679.550003</v>
      </c>
      <c r="N393" s="53">
        <v>40123264906.68</v>
      </c>
      <c r="O393" s="53">
        <v>39683632609.559998</v>
      </c>
      <c r="P393" s="53">
        <v>38009493835.889999</v>
      </c>
      <c r="Q393" s="53">
        <v>40347638503.550003</v>
      </c>
      <c r="R393" s="53">
        <v>43114209834.07</v>
      </c>
      <c r="U393" s="17"/>
    </row>
    <row r="394" spans="1:21" x14ac:dyDescent="0.25">
      <c r="A394" s="25" t="s">
        <v>310</v>
      </c>
      <c r="B394" s="26">
        <v>2010</v>
      </c>
      <c r="C394" s="74" t="s">
        <v>309</v>
      </c>
      <c r="D394" s="27">
        <v>0</v>
      </c>
      <c r="E394" s="53">
        <v>467000000000</v>
      </c>
      <c r="F394" s="53">
        <v>467000000000</v>
      </c>
      <c r="G394" s="53">
        <v>31656192461.75</v>
      </c>
      <c r="H394" s="53">
        <v>33135171162.900002</v>
      </c>
      <c r="I394" s="53">
        <v>39404382089.889999</v>
      </c>
      <c r="J394" s="53">
        <v>33405636332.959999</v>
      </c>
      <c r="K394" s="53">
        <v>37066663385.970001</v>
      </c>
      <c r="L394" s="53">
        <v>35501581783.610001</v>
      </c>
      <c r="M394" s="53">
        <v>37046049324.440002</v>
      </c>
      <c r="N394" s="53">
        <v>36738462877.650002</v>
      </c>
      <c r="O394" s="53">
        <v>33694043938.119999</v>
      </c>
      <c r="P394" s="53">
        <v>34465800983</v>
      </c>
      <c r="Q394" s="53">
        <v>42299868586.440002</v>
      </c>
      <c r="R394" s="53">
        <v>39283708682.040001</v>
      </c>
      <c r="U394" s="17"/>
    </row>
    <row r="395" spans="1:21" x14ac:dyDescent="0.25">
      <c r="A395" s="25" t="s">
        <v>306</v>
      </c>
      <c r="B395" s="26">
        <v>2010</v>
      </c>
      <c r="C395" s="74" t="s">
        <v>305</v>
      </c>
      <c r="D395" s="27">
        <v>0</v>
      </c>
      <c r="E395" s="53">
        <v>30000000000</v>
      </c>
      <c r="F395" s="53">
        <v>30000000000</v>
      </c>
      <c r="G395" s="53">
        <v>2770529617.27</v>
      </c>
      <c r="H395" s="53">
        <v>1660881095.5699999</v>
      </c>
      <c r="I395" s="53">
        <v>1945756939.4400001</v>
      </c>
      <c r="J395" s="53">
        <v>2505478411.4200001</v>
      </c>
      <c r="K395" s="53">
        <v>1817423936.0799999</v>
      </c>
      <c r="L395" s="53">
        <v>1934444208.4200001</v>
      </c>
      <c r="M395" s="53">
        <v>1985719053.8199999</v>
      </c>
      <c r="N395" s="53">
        <v>1968926384.5999999</v>
      </c>
      <c r="O395" s="53">
        <v>1950016725.27</v>
      </c>
      <c r="P395" s="53">
        <v>2362223282.5900002</v>
      </c>
      <c r="Q395" s="53">
        <v>2024657334.3099999</v>
      </c>
      <c r="R395" s="53">
        <v>1797563559.0999999</v>
      </c>
      <c r="U395" s="17"/>
    </row>
    <row r="396" spans="1:21" x14ac:dyDescent="0.25">
      <c r="A396" s="25" t="s">
        <v>303</v>
      </c>
      <c r="B396" s="26">
        <v>2010</v>
      </c>
      <c r="C396" s="74" t="s">
        <v>302</v>
      </c>
      <c r="D396" s="27">
        <v>0</v>
      </c>
      <c r="E396" s="53">
        <v>115000000000</v>
      </c>
      <c r="F396" s="53">
        <v>115000000000</v>
      </c>
      <c r="G396" s="53">
        <v>7810545610.5200005</v>
      </c>
      <c r="H396" s="53">
        <v>8435829143.9799995</v>
      </c>
      <c r="I396" s="53">
        <v>11442415415.16</v>
      </c>
      <c r="J396" s="53">
        <v>9671821108.0200005</v>
      </c>
      <c r="K396" s="53">
        <v>9638357577.2800007</v>
      </c>
      <c r="L396" s="53">
        <v>9375212562.9200001</v>
      </c>
      <c r="M396" s="53">
        <v>11305786172.26</v>
      </c>
      <c r="N396" s="53">
        <v>9971321001.7999992</v>
      </c>
      <c r="O396" s="53">
        <v>9407459452.2900009</v>
      </c>
      <c r="P396" s="53">
        <v>10261130402.52</v>
      </c>
      <c r="Q396" s="53">
        <v>12564312053.200001</v>
      </c>
      <c r="R396" s="53">
        <v>12226442785.15</v>
      </c>
      <c r="U396" s="17"/>
    </row>
    <row r="397" spans="1:21" x14ac:dyDescent="0.25">
      <c r="A397" s="25" t="s">
        <v>472</v>
      </c>
      <c r="B397" s="26">
        <v>2010</v>
      </c>
      <c r="C397" s="74" t="s">
        <v>471</v>
      </c>
      <c r="D397" s="27">
        <v>0</v>
      </c>
      <c r="E397" s="53">
        <v>100000</v>
      </c>
      <c r="F397" s="53">
        <v>100000</v>
      </c>
      <c r="G397" s="53">
        <v>0</v>
      </c>
      <c r="H397" s="53">
        <v>0</v>
      </c>
      <c r="I397" s="53">
        <v>0</v>
      </c>
      <c r="J397" s="53">
        <v>0</v>
      </c>
      <c r="K397" s="53">
        <v>0</v>
      </c>
      <c r="L397" s="53">
        <v>0</v>
      </c>
      <c r="M397" s="53">
        <v>0</v>
      </c>
      <c r="N397" s="53">
        <v>0</v>
      </c>
      <c r="O397" s="53">
        <v>0</v>
      </c>
      <c r="P397" s="53">
        <v>0</v>
      </c>
      <c r="Q397" s="53">
        <v>0</v>
      </c>
      <c r="R397" s="53">
        <v>0</v>
      </c>
      <c r="U397" s="17"/>
    </row>
    <row r="398" spans="1:21" x14ac:dyDescent="0.25">
      <c r="A398" s="25" t="s">
        <v>499</v>
      </c>
      <c r="B398" s="26">
        <v>2010</v>
      </c>
      <c r="C398" s="74" t="s">
        <v>498</v>
      </c>
      <c r="D398" s="27">
        <v>0</v>
      </c>
      <c r="E398" s="53">
        <v>0</v>
      </c>
      <c r="F398" s="53">
        <v>0</v>
      </c>
      <c r="G398" s="53">
        <v>0</v>
      </c>
      <c r="H398" s="53">
        <v>3000</v>
      </c>
      <c r="I398" s="53">
        <v>0</v>
      </c>
      <c r="J398" s="53">
        <v>0</v>
      </c>
      <c r="K398" s="53">
        <v>0</v>
      </c>
      <c r="L398" s="53">
        <v>0</v>
      </c>
      <c r="M398" s="53">
        <v>0</v>
      </c>
      <c r="N398" s="53">
        <v>0</v>
      </c>
      <c r="O398" s="53">
        <v>0</v>
      </c>
      <c r="P398" s="53">
        <v>0</v>
      </c>
      <c r="Q398" s="53">
        <v>0</v>
      </c>
      <c r="R398" s="53">
        <v>0</v>
      </c>
      <c r="U398" s="17"/>
    </row>
    <row r="399" spans="1:21" x14ac:dyDescent="0.25">
      <c r="A399" s="25" t="s">
        <v>298</v>
      </c>
      <c r="B399" s="26">
        <v>2010</v>
      </c>
      <c r="C399" s="74" t="s">
        <v>281</v>
      </c>
      <c r="D399" s="27">
        <v>0</v>
      </c>
      <c r="E399" s="53">
        <v>206600000000</v>
      </c>
      <c r="F399" s="53">
        <v>206600000000</v>
      </c>
      <c r="G399" s="53">
        <v>15406618462</v>
      </c>
      <c r="H399" s="53">
        <v>14119408761</v>
      </c>
      <c r="I399" s="53">
        <v>18560869637</v>
      </c>
      <c r="J399" s="53">
        <v>13454658108</v>
      </c>
      <c r="K399" s="53">
        <v>17481712316</v>
      </c>
      <c r="L399" s="53">
        <v>16881966551</v>
      </c>
      <c r="M399" s="53">
        <v>10218154794</v>
      </c>
      <c r="N399" s="53">
        <v>24334246363</v>
      </c>
      <c r="O399" s="53">
        <v>21048574407</v>
      </c>
      <c r="P399" s="53">
        <v>8697752163</v>
      </c>
      <c r="Q399" s="53">
        <v>22553260718</v>
      </c>
      <c r="R399" s="53">
        <v>1985146056</v>
      </c>
      <c r="U399" s="17"/>
    </row>
    <row r="400" spans="1:21" x14ac:dyDescent="0.25">
      <c r="A400" s="25" t="s">
        <v>297</v>
      </c>
      <c r="B400" s="26">
        <v>2010</v>
      </c>
      <c r="C400" s="74" t="s">
        <v>287</v>
      </c>
      <c r="D400" s="27">
        <v>0</v>
      </c>
      <c r="E400" s="53">
        <v>134400000000</v>
      </c>
      <c r="F400" s="53">
        <v>134400000000</v>
      </c>
      <c r="G400" s="53">
        <v>11248071559.959999</v>
      </c>
      <c r="H400" s="53">
        <v>11535338572.530001</v>
      </c>
      <c r="I400" s="53">
        <v>17188632488.860001</v>
      </c>
      <c r="J400" s="53">
        <v>7688564015.8900003</v>
      </c>
      <c r="K400" s="53">
        <v>12899954134.860001</v>
      </c>
      <c r="L400" s="53">
        <v>7771698837.1899996</v>
      </c>
      <c r="M400" s="53">
        <v>11235161398.719999</v>
      </c>
      <c r="N400" s="53">
        <v>8113022417.6899996</v>
      </c>
      <c r="O400" s="53">
        <v>8346755793.8900003</v>
      </c>
      <c r="P400" s="53">
        <v>12596376542.870001</v>
      </c>
      <c r="Q400" s="53">
        <v>9922824855.4899998</v>
      </c>
      <c r="R400" s="53">
        <v>17349002025.84</v>
      </c>
      <c r="U400" s="17"/>
    </row>
    <row r="401" spans="1:21" x14ac:dyDescent="0.25">
      <c r="A401" s="25" t="s">
        <v>295</v>
      </c>
      <c r="B401" s="26">
        <v>2010</v>
      </c>
      <c r="C401" s="74" t="s">
        <v>281</v>
      </c>
      <c r="D401" s="27">
        <v>0</v>
      </c>
      <c r="E401" s="53">
        <v>29000000000</v>
      </c>
      <c r="F401" s="53">
        <v>29000000000</v>
      </c>
      <c r="G401" s="53">
        <v>3542532550</v>
      </c>
      <c r="H401" s="53">
        <v>1582452292.3499999</v>
      </c>
      <c r="I401" s="53">
        <v>1624068970.4300001</v>
      </c>
      <c r="J401" s="53">
        <v>2024263542</v>
      </c>
      <c r="K401" s="53">
        <v>1747642148.1500001</v>
      </c>
      <c r="L401" s="53">
        <v>1718973461.3800001</v>
      </c>
      <c r="M401" s="53">
        <v>1626489160</v>
      </c>
      <c r="N401" s="53">
        <v>1610339402</v>
      </c>
      <c r="O401" s="53">
        <v>1493670464.0799999</v>
      </c>
      <c r="P401" s="53">
        <v>1989654107.1099999</v>
      </c>
      <c r="Q401" s="53">
        <v>1714799902.8299999</v>
      </c>
      <c r="R401" s="53">
        <v>2090798831</v>
      </c>
      <c r="U401" s="17"/>
    </row>
    <row r="402" spans="1:21" x14ac:dyDescent="0.25">
      <c r="A402" s="25" t="s">
        <v>294</v>
      </c>
      <c r="B402" s="26">
        <v>2010</v>
      </c>
      <c r="C402" s="74" t="s">
        <v>287</v>
      </c>
      <c r="D402" s="27">
        <v>0</v>
      </c>
      <c r="E402" s="53">
        <v>4000000000</v>
      </c>
      <c r="F402" s="53">
        <v>4000000000</v>
      </c>
      <c r="G402" s="53">
        <v>309445840.17000002</v>
      </c>
      <c r="H402" s="53">
        <v>360061305.69999999</v>
      </c>
      <c r="I402" s="53">
        <v>411457201.16000003</v>
      </c>
      <c r="J402" s="53">
        <v>341134759.82999998</v>
      </c>
      <c r="K402" s="53">
        <v>462862728.12</v>
      </c>
      <c r="L402" s="53">
        <v>306869304.31999999</v>
      </c>
      <c r="M402" s="53">
        <v>355552622.94</v>
      </c>
      <c r="N402" s="53">
        <v>420597569.05000001</v>
      </c>
      <c r="O402" s="53">
        <v>355226798.30000001</v>
      </c>
      <c r="P402" s="53">
        <v>537651155.23000002</v>
      </c>
      <c r="Q402" s="53">
        <v>739777980.20000005</v>
      </c>
      <c r="R402" s="53">
        <v>668573750.54999995</v>
      </c>
      <c r="U402" s="17"/>
    </row>
    <row r="403" spans="1:21" x14ac:dyDescent="0.25">
      <c r="A403" s="25" t="s">
        <v>292</v>
      </c>
      <c r="B403" s="26">
        <v>2010</v>
      </c>
      <c r="C403" s="74" t="s">
        <v>281</v>
      </c>
      <c r="D403" s="27">
        <v>0</v>
      </c>
      <c r="E403" s="53">
        <v>26400000000</v>
      </c>
      <c r="F403" s="53">
        <v>26400000000</v>
      </c>
      <c r="G403" s="53">
        <v>2548355066</v>
      </c>
      <c r="H403" s="53">
        <v>1862844853</v>
      </c>
      <c r="I403" s="53">
        <v>1955043757</v>
      </c>
      <c r="J403" s="53">
        <v>2208127635</v>
      </c>
      <c r="K403" s="53">
        <v>2129099605.54</v>
      </c>
      <c r="L403" s="53">
        <v>2015568692.29</v>
      </c>
      <c r="M403" s="53">
        <v>2056875090</v>
      </c>
      <c r="N403" s="53">
        <v>2009985743.4100001</v>
      </c>
      <c r="O403" s="53">
        <v>1998462814.5</v>
      </c>
      <c r="P403" s="53">
        <v>1988715657.5</v>
      </c>
      <c r="Q403" s="53">
        <v>1979978763.97</v>
      </c>
      <c r="R403" s="53">
        <v>2166368681.8800001</v>
      </c>
      <c r="U403" s="17"/>
    </row>
    <row r="404" spans="1:21" x14ac:dyDescent="0.25">
      <c r="A404" s="25" t="s">
        <v>291</v>
      </c>
      <c r="B404" s="26">
        <v>2010</v>
      </c>
      <c r="C404" s="74" t="s">
        <v>287</v>
      </c>
      <c r="D404" s="27">
        <v>0</v>
      </c>
      <c r="E404" s="53">
        <v>1325000000</v>
      </c>
      <c r="F404" s="53">
        <v>1325000000</v>
      </c>
      <c r="G404" s="53">
        <v>97282064.939999998</v>
      </c>
      <c r="H404" s="53">
        <v>123250378.91</v>
      </c>
      <c r="I404" s="53">
        <v>156975047.38999999</v>
      </c>
      <c r="J404" s="53">
        <v>145361369.55000001</v>
      </c>
      <c r="K404" s="53">
        <v>168866029.06999999</v>
      </c>
      <c r="L404" s="53">
        <v>131411733.56999999</v>
      </c>
      <c r="M404" s="53">
        <v>152625090.37</v>
      </c>
      <c r="N404" s="53">
        <v>147549502.86000001</v>
      </c>
      <c r="O404" s="53">
        <v>134457108.08000001</v>
      </c>
      <c r="P404" s="53">
        <v>109707457.31</v>
      </c>
      <c r="Q404" s="53">
        <v>122166167.86</v>
      </c>
      <c r="R404" s="53">
        <v>156565409.68000001</v>
      </c>
      <c r="U404" s="17"/>
    </row>
    <row r="405" spans="1:21" x14ac:dyDescent="0.25">
      <c r="A405" s="25" t="s">
        <v>289</v>
      </c>
      <c r="B405" s="26">
        <v>2010</v>
      </c>
      <c r="C405" s="74" t="s">
        <v>287</v>
      </c>
      <c r="D405" s="27">
        <v>0</v>
      </c>
      <c r="E405" s="53">
        <v>1215000000</v>
      </c>
      <c r="F405" s="53">
        <v>1215000000</v>
      </c>
      <c r="G405" s="53">
        <v>78823960.140000001</v>
      </c>
      <c r="H405" s="53">
        <v>108330813.23</v>
      </c>
      <c r="I405" s="53">
        <v>104080315.65000001</v>
      </c>
      <c r="J405" s="53">
        <v>106217324.43000001</v>
      </c>
      <c r="K405" s="53">
        <v>108149607.67</v>
      </c>
      <c r="L405" s="53">
        <v>108800406.95</v>
      </c>
      <c r="M405" s="53">
        <v>108827351.8</v>
      </c>
      <c r="N405" s="53">
        <v>115999744.25</v>
      </c>
      <c r="O405" s="53">
        <v>125551458.79000001</v>
      </c>
      <c r="P405" s="53">
        <v>113701257.83</v>
      </c>
      <c r="Q405" s="53">
        <v>120153786.06</v>
      </c>
      <c r="R405" s="53">
        <v>118495959.67</v>
      </c>
      <c r="U405" s="17"/>
    </row>
    <row r="406" spans="1:21" x14ac:dyDescent="0.25">
      <c r="A406" s="25" t="s">
        <v>286</v>
      </c>
      <c r="B406" s="26">
        <v>2010</v>
      </c>
      <c r="C406" s="74" t="s">
        <v>285</v>
      </c>
      <c r="D406" s="27">
        <v>0</v>
      </c>
      <c r="E406" s="53">
        <v>270000000</v>
      </c>
      <c r="F406" s="53">
        <v>270000000</v>
      </c>
      <c r="G406" s="53">
        <v>18252598.559999999</v>
      </c>
      <c r="H406" s="53">
        <v>16069453.060000001</v>
      </c>
      <c r="I406" s="53">
        <v>17465775.899999999</v>
      </c>
      <c r="J406" s="53">
        <v>18341960.260000002</v>
      </c>
      <c r="K406" s="53">
        <v>19828759.43</v>
      </c>
      <c r="L406" s="53">
        <v>18677949.449999999</v>
      </c>
      <c r="M406" s="53">
        <v>19553534.010000002</v>
      </c>
      <c r="N406" s="53">
        <v>20159683.460000001</v>
      </c>
      <c r="O406" s="53">
        <v>21249350.32</v>
      </c>
      <c r="P406" s="53">
        <v>19950183.059999999</v>
      </c>
      <c r="Q406" s="53">
        <v>18644981.66</v>
      </c>
      <c r="R406" s="53">
        <v>18937026.140000001</v>
      </c>
      <c r="U406" s="17"/>
    </row>
    <row r="407" spans="1:21" x14ac:dyDescent="0.25">
      <c r="A407" s="25" t="s">
        <v>276</v>
      </c>
      <c r="B407" s="26">
        <v>2010</v>
      </c>
      <c r="C407" s="74" t="s">
        <v>275</v>
      </c>
      <c r="D407" s="27">
        <v>0</v>
      </c>
      <c r="E407" s="53">
        <v>675000000</v>
      </c>
      <c r="F407" s="53">
        <v>675000000</v>
      </c>
      <c r="G407" s="53">
        <v>24445448.170000002</v>
      </c>
      <c r="H407" s="53">
        <v>27042666.140000001</v>
      </c>
      <c r="I407" s="53">
        <v>103027999.31999999</v>
      </c>
      <c r="J407" s="53">
        <v>62192230.899999999</v>
      </c>
      <c r="K407" s="53">
        <v>21647713.469999999</v>
      </c>
      <c r="L407" s="53">
        <v>35691601.659999996</v>
      </c>
      <c r="M407" s="53">
        <v>47935341.810000002</v>
      </c>
      <c r="N407" s="53">
        <v>40722191.450000003</v>
      </c>
      <c r="O407" s="53">
        <v>10034327.73</v>
      </c>
      <c r="P407" s="53">
        <v>20063955.890000001</v>
      </c>
      <c r="Q407" s="53">
        <v>13684095.9</v>
      </c>
      <c r="R407" s="53">
        <v>38247565.619999997</v>
      </c>
      <c r="U407" s="17"/>
    </row>
    <row r="408" spans="1:21" x14ac:dyDescent="0.25">
      <c r="A408" s="25" t="s">
        <v>268</v>
      </c>
      <c r="B408" s="26">
        <v>2010</v>
      </c>
      <c r="C408" s="74" t="s">
        <v>267</v>
      </c>
      <c r="D408" s="27">
        <v>0</v>
      </c>
      <c r="E408" s="53">
        <v>120000000000</v>
      </c>
      <c r="F408" s="53">
        <v>120000000000</v>
      </c>
      <c r="G408" s="53">
        <v>6983396021.4499998</v>
      </c>
      <c r="H408" s="53">
        <v>7019817761.7600002</v>
      </c>
      <c r="I408" s="53">
        <v>8647242184.5100002</v>
      </c>
      <c r="J408" s="53">
        <v>7120257763.4300003</v>
      </c>
      <c r="K408" s="53">
        <v>7656688724.0799999</v>
      </c>
      <c r="L408" s="53">
        <v>8299002360.1599998</v>
      </c>
      <c r="M408" s="53">
        <v>8264546171.7299995</v>
      </c>
      <c r="N408" s="53">
        <v>8929912847.3999996</v>
      </c>
      <c r="O408" s="53">
        <v>8831136131.7099991</v>
      </c>
      <c r="P408" s="53">
        <v>9927674610.1599998</v>
      </c>
      <c r="Q408" s="53">
        <v>11277630084.4</v>
      </c>
      <c r="R408" s="53">
        <v>10893206792.18</v>
      </c>
      <c r="U408" s="17"/>
    </row>
    <row r="409" spans="1:21" x14ac:dyDescent="0.25">
      <c r="A409" s="25" t="s">
        <v>264</v>
      </c>
      <c r="B409" s="26">
        <v>2010</v>
      </c>
      <c r="C409" s="74" t="s">
        <v>263</v>
      </c>
      <c r="D409" s="27">
        <v>0</v>
      </c>
      <c r="E409" s="53">
        <v>29000000000</v>
      </c>
      <c r="F409" s="53">
        <v>29000000000</v>
      </c>
      <c r="G409" s="53">
        <v>1611924215.28</v>
      </c>
      <c r="H409" s="53">
        <v>1804714951.29</v>
      </c>
      <c r="I409" s="53">
        <v>2046002842.04</v>
      </c>
      <c r="J409" s="53">
        <v>1766538356.8099999</v>
      </c>
      <c r="K409" s="53">
        <v>1841519810.8199999</v>
      </c>
      <c r="L409" s="53">
        <v>1880228749.3599999</v>
      </c>
      <c r="M409" s="53">
        <v>1891302243.1700001</v>
      </c>
      <c r="N409" s="53">
        <v>2036626619.3599999</v>
      </c>
      <c r="O409" s="53">
        <v>1667559763.6500001</v>
      </c>
      <c r="P409" s="53">
        <v>1898849957.0699999</v>
      </c>
      <c r="Q409" s="53">
        <v>1951531085.73</v>
      </c>
      <c r="R409" s="53">
        <v>1887113992.45</v>
      </c>
      <c r="U409" s="17"/>
    </row>
    <row r="410" spans="1:21" x14ac:dyDescent="0.25">
      <c r="A410" s="25" t="s">
        <v>260</v>
      </c>
      <c r="B410" s="26">
        <v>2010</v>
      </c>
      <c r="C410" s="74" t="s">
        <v>259</v>
      </c>
      <c r="D410" s="27">
        <v>0</v>
      </c>
      <c r="E410" s="53">
        <v>4500000000</v>
      </c>
      <c r="F410" s="53">
        <v>4500000000</v>
      </c>
      <c r="G410" s="53">
        <v>355269389.58999997</v>
      </c>
      <c r="H410" s="53">
        <v>323734458.68000001</v>
      </c>
      <c r="I410" s="53">
        <v>337500174.04000002</v>
      </c>
      <c r="J410" s="53">
        <v>267862747.72999999</v>
      </c>
      <c r="K410" s="53">
        <v>331550252.99000001</v>
      </c>
      <c r="L410" s="53">
        <v>291924627.10000002</v>
      </c>
      <c r="M410" s="53">
        <v>303054614.13999999</v>
      </c>
      <c r="N410" s="53">
        <v>344207140.06999999</v>
      </c>
      <c r="O410" s="53">
        <v>328188604.69</v>
      </c>
      <c r="P410" s="53">
        <v>333950367.38999999</v>
      </c>
      <c r="Q410" s="53">
        <v>333049916.47000003</v>
      </c>
      <c r="R410" s="53">
        <v>265298647.71000001</v>
      </c>
      <c r="U410" s="17"/>
    </row>
    <row r="411" spans="1:21" x14ac:dyDescent="0.25">
      <c r="A411" s="25" t="s">
        <v>258</v>
      </c>
      <c r="B411" s="26">
        <v>2010</v>
      </c>
      <c r="C411" s="74" t="s">
        <v>257</v>
      </c>
      <c r="D411" s="27">
        <v>0</v>
      </c>
      <c r="E411" s="53">
        <v>157500000</v>
      </c>
      <c r="F411" s="53">
        <v>157500000</v>
      </c>
      <c r="G411" s="53">
        <v>13769534.699999999</v>
      </c>
      <c r="H411" s="53">
        <v>12539877</v>
      </c>
      <c r="I411" s="53">
        <v>13522360.5</v>
      </c>
      <c r="J411" s="53">
        <v>11370837</v>
      </c>
      <c r="K411" s="53">
        <v>13520284.57</v>
      </c>
      <c r="L411" s="53">
        <v>11764713</v>
      </c>
      <c r="M411" s="53">
        <v>12537735</v>
      </c>
      <c r="N411" s="53">
        <v>14567478</v>
      </c>
      <c r="O411" s="53">
        <v>13975340</v>
      </c>
      <c r="P411" s="53">
        <v>14420880</v>
      </c>
      <c r="Q411" s="53">
        <v>13988068.5</v>
      </c>
      <c r="R411" s="53">
        <v>11276697</v>
      </c>
      <c r="U411" s="17"/>
    </row>
    <row r="412" spans="1:21" x14ac:dyDescent="0.25">
      <c r="A412" s="25" t="s">
        <v>519</v>
      </c>
      <c r="B412" s="26">
        <v>2010</v>
      </c>
      <c r="C412" s="74" t="s">
        <v>518</v>
      </c>
      <c r="D412" s="27">
        <v>0</v>
      </c>
      <c r="E412" s="53">
        <v>0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3">
        <v>-454432.86</v>
      </c>
      <c r="L412" s="53">
        <v>454748</v>
      </c>
      <c r="M412" s="53">
        <v>0</v>
      </c>
      <c r="N412" s="53">
        <v>0</v>
      </c>
      <c r="O412" s="53">
        <v>0</v>
      </c>
      <c r="P412" s="53">
        <v>526.39</v>
      </c>
      <c r="Q412" s="53">
        <v>0</v>
      </c>
      <c r="R412" s="53">
        <v>0</v>
      </c>
      <c r="U412" s="17"/>
    </row>
    <row r="413" spans="1:21" x14ac:dyDescent="0.25">
      <c r="A413" s="25" t="s">
        <v>253</v>
      </c>
      <c r="B413" s="26">
        <v>2010</v>
      </c>
      <c r="C413" s="74" t="s">
        <v>252</v>
      </c>
      <c r="D413" s="27">
        <v>0</v>
      </c>
      <c r="E413" s="53">
        <v>28000000000</v>
      </c>
      <c r="F413" s="53">
        <v>28000000000</v>
      </c>
      <c r="G413" s="53">
        <v>2563655405.23</v>
      </c>
      <c r="H413" s="53">
        <v>2200077277.8400002</v>
      </c>
      <c r="I413" s="53">
        <v>2863677973.8200002</v>
      </c>
      <c r="J413" s="53">
        <v>2164456092.77</v>
      </c>
      <c r="K413" s="53">
        <v>1662684223.75</v>
      </c>
      <c r="L413" s="53">
        <v>2067749731.0599999</v>
      </c>
      <c r="M413" s="53">
        <v>2144596225.46</v>
      </c>
      <c r="N413" s="53">
        <v>2276926420.3600001</v>
      </c>
      <c r="O413" s="53">
        <v>1412493355.55</v>
      </c>
      <c r="P413" s="53">
        <v>1264786730.48</v>
      </c>
      <c r="Q413" s="53">
        <v>1767344459.1500001</v>
      </c>
      <c r="R413" s="53">
        <v>1933498693.1500001</v>
      </c>
      <c r="U413" s="17"/>
    </row>
    <row r="414" spans="1:21" x14ac:dyDescent="0.25">
      <c r="A414" s="25" t="s">
        <v>249</v>
      </c>
      <c r="B414" s="26">
        <v>2010</v>
      </c>
      <c r="C414" s="74" t="s">
        <v>248</v>
      </c>
      <c r="D414" s="27">
        <v>0</v>
      </c>
      <c r="E414" s="53">
        <v>7000000000</v>
      </c>
      <c r="F414" s="53">
        <v>7000000000</v>
      </c>
      <c r="G414" s="53">
        <v>458134459.79000002</v>
      </c>
      <c r="H414" s="53">
        <v>542590335.08000004</v>
      </c>
      <c r="I414" s="53">
        <v>374191508.79000002</v>
      </c>
      <c r="J414" s="53">
        <v>801490415.09000003</v>
      </c>
      <c r="K414" s="53">
        <v>443234486.44</v>
      </c>
      <c r="L414" s="53">
        <v>459501998.30000001</v>
      </c>
      <c r="M414" s="53">
        <v>613464617.07000005</v>
      </c>
      <c r="N414" s="53">
        <v>266026812.19999999</v>
      </c>
      <c r="O414" s="53">
        <v>835757071.25999999</v>
      </c>
      <c r="P414" s="53">
        <v>476500355.60000002</v>
      </c>
      <c r="Q414" s="53">
        <v>29623592.609999999</v>
      </c>
      <c r="R414" s="53">
        <v>578076448.59000003</v>
      </c>
      <c r="U414" s="17"/>
    </row>
    <row r="415" spans="1:21" x14ac:dyDescent="0.25">
      <c r="A415" s="25" t="s">
        <v>497</v>
      </c>
      <c r="B415" s="26">
        <v>2010</v>
      </c>
      <c r="C415" s="74" t="s">
        <v>496</v>
      </c>
      <c r="D415" s="27">
        <v>0</v>
      </c>
      <c r="E415" s="53">
        <v>5000000000</v>
      </c>
      <c r="F415" s="53">
        <v>5000000000</v>
      </c>
      <c r="G415" s="53">
        <v>90027529.040000007</v>
      </c>
      <c r="H415" s="53">
        <v>183730757.13999999</v>
      </c>
      <c r="I415" s="53">
        <v>994668270.28999996</v>
      </c>
      <c r="J415" s="53">
        <v>122571446.93000001</v>
      </c>
      <c r="K415" s="53">
        <v>1103330338.04</v>
      </c>
      <c r="L415" s="53">
        <v>742105893.35000002</v>
      </c>
      <c r="M415" s="53">
        <v>787276284.99000001</v>
      </c>
      <c r="N415" s="53">
        <v>880887228.92999995</v>
      </c>
      <c r="O415" s="53">
        <v>945787054.60000002</v>
      </c>
      <c r="P415" s="53">
        <v>845841261.62</v>
      </c>
      <c r="Q415" s="53">
        <v>836545673.80999994</v>
      </c>
      <c r="R415" s="53">
        <v>1617550678.22</v>
      </c>
      <c r="U415" s="17"/>
    </row>
    <row r="416" spans="1:21" x14ac:dyDescent="0.25">
      <c r="A416" s="25" t="s">
        <v>240</v>
      </c>
      <c r="B416" s="26">
        <v>2010</v>
      </c>
      <c r="C416" s="74" t="s">
        <v>239</v>
      </c>
      <c r="D416" s="27">
        <v>0</v>
      </c>
      <c r="E416" s="53">
        <v>950000000</v>
      </c>
      <c r="F416" s="53">
        <v>950000000</v>
      </c>
      <c r="G416" s="53">
        <v>40893562.719999999</v>
      </c>
      <c r="H416" s="53">
        <v>51007940.670000002</v>
      </c>
      <c r="I416" s="53">
        <v>48037380.719999999</v>
      </c>
      <c r="J416" s="53">
        <v>35794179.259999998</v>
      </c>
      <c r="K416" s="53">
        <v>58869170.490000002</v>
      </c>
      <c r="L416" s="53">
        <v>70585307.299999997</v>
      </c>
      <c r="M416" s="53">
        <v>68550890.439999998</v>
      </c>
      <c r="N416" s="53">
        <v>66472762.200000003</v>
      </c>
      <c r="O416" s="53">
        <v>66154565.479999997</v>
      </c>
      <c r="P416" s="53">
        <v>55736466.539999999</v>
      </c>
      <c r="Q416" s="53">
        <v>54901279.640000001</v>
      </c>
      <c r="R416" s="53">
        <v>50622820.229999997</v>
      </c>
      <c r="U416" s="17"/>
    </row>
    <row r="417" spans="1:21" x14ac:dyDescent="0.25">
      <c r="A417" s="25" t="s">
        <v>236</v>
      </c>
      <c r="B417" s="26">
        <v>2010</v>
      </c>
      <c r="C417" s="74" t="s">
        <v>235</v>
      </c>
      <c r="D417" s="27">
        <v>0</v>
      </c>
      <c r="E417" s="53">
        <v>4500000000</v>
      </c>
      <c r="F417" s="53">
        <v>4500000000</v>
      </c>
      <c r="G417" s="53">
        <v>169650519.91999999</v>
      </c>
      <c r="H417" s="53">
        <v>297235518.01999998</v>
      </c>
      <c r="I417" s="53">
        <v>322272619.25</v>
      </c>
      <c r="J417" s="53">
        <v>221752934.69999999</v>
      </c>
      <c r="K417" s="53">
        <v>234920578.16999999</v>
      </c>
      <c r="L417" s="53">
        <v>217494192.31</v>
      </c>
      <c r="M417" s="53">
        <v>309769916.64999998</v>
      </c>
      <c r="N417" s="53">
        <v>356029642.12</v>
      </c>
      <c r="O417" s="53">
        <v>397608785</v>
      </c>
      <c r="P417" s="53">
        <v>324764871.17000002</v>
      </c>
      <c r="Q417" s="53">
        <v>358920623.37</v>
      </c>
      <c r="R417" s="53">
        <v>491762555.75</v>
      </c>
      <c r="U417" s="17"/>
    </row>
    <row r="418" spans="1:21" x14ac:dyDescent="0.25">
      <c r="A418" s="25" t="s">
        <v>234</v>
      </c>
      <c r="B418" s="26">
        <v>2010</v>
      </c>
      <c r="C418" s="74" t="s">
        <v>233</v>
      </c>
      <c r="D418" s="27">
        <v>0</v>
      </c>
      <c r="E418" s="53">
        <v>60000000</v>
      </c>
      <c r="F418" s="53">
        <v>60000000</v>
      </c>
      <c r="G418" s="53">
        <v>10800336.800000001</v>
      </c>
      <c r="H418" s="53">
        <v>4446423.7</v>
      </c>
      <c r="I418" s="53">
        <v>7114236.7000000002</v>
      </c>
      <c r="J418" s="53">
        <v>8196500.5999999996</v>
      </c>
      <c r="K418" s="53">
        <v>8488580.5999999996</v>
      </c>
      <c r="L418" s="53">
        <v>9977174</v>
      </c>
      <c r="M418" s="53">
        <v>9097622.9000000004</v>
      </c>
      <c r="N418" s="53">
        <v>8717500.9000000004</v>
      </c>
      <c r="O418" s="53">
        <v>8952866.1999999993</v>
      </c>
      <c r="P418" s="53">
        <v>8580738.0999999996</v>
      </c>
      <c r="Q418" s="53">
        <v>9648277.1999999993</v>
      </c>
      <c r="R418" s="53">
        <v>28929</v>
      </c>
      <c r="U418" s="17"/>
    </row>
    <row r="419" spans="1:21" x14ac:dyDescent="0.25">
      <c r="A419" s="25" t="s">
        <v>517</v>
      </c>
      <c r="B419" s="26">
        <v>2010</v>
      </c>
      <c r="C419" s="74" t="s">
        <v>516</v>
      </c>
      <c r="D419" s="27">
        <v>0</v>
      </c>
      <c r="E419" s="53">
        <v>0</v>
      </c>
      <c r="F419" s="53">
        <v>0</v>
      </c>
      <c r="G419" s="53">
        <v>0</v>
      </c>
      <c r="H419" s="53">
        <v>-15857989.710000001</v>
      </c>
      <c r="I419" s="53">
        <v>15857989.710000001</v>
      </c>
      <c r="J419" s="53">
        <v>0</v>
      </c>
      <c r="K419" s="53">
        <v>0</v>
      </c>
      <c r="L419" s="53">
        <v>0</v>
      </c>
      <c r="M419" s="53">
        <v>0</v>
      </c>
      <c r="N419" s="53">
        <v>0</v>
      </c>
      <c r="O419" s="53">
        <v>0</v>
      </c>
      <c r="P419" s="53">
        <v>0</v>
      </c>
      <c r="Q419" s="53">
        <v>0</v>
      </c>
      <c r="R419" s="53">
        <v>0</v>
      </c>
      <c r="U419" s="17"/>
    </row>
    <row r="420" spans="1:21" x14ac:dyDescent="0.25">
      <c r="A420" s="25" t="s">
        <v>515</v>
      </c>
      <c r="B420" s="26">
        <v>2010</v>
      </c>
      <c r="C420" s="74" t="s">
        <v>514</v>
      </c>
      <c r="D420" s="27">
        <v>0</v>
      </c>
      <c r="E420" s="53">
        <v>0</v>
      </c>
      <c r="F420" s="53">
        <v>0</v>
      </c>
      <c r="G420" s="53">
        <v>0</v>
      </c>
      <c r="H420" s="53">
        <v>0</v>
      </c>
      <c r="I420" s="53">
        <v>0</v>
      </c>
      <c r="J420" s="53">
        <v>0</v>
      </c>
      <c r="K420" s="53">
        <v>0</v>
      </c>
      <c r="L420" s="53">
        <v>0</v>
      </c>
      <c r="M420" s="53">
        <v>0</v>
      </c>
      <c r="N420" s="53">
        <v>0</v>
      </c>
      <c r="O420" s="53">
        <v>0</v>
      </c>
      <c r="P420" s="53">
        <v>0</v>
      </c>
      <c r="Q420" s="53">
        <v>0</v>
      </c>
      <c r="R420" s="53">
        <v>0</v>
      </c>
      <c r="U420" s="17"/>
    </row>
    <row r="421" spans="1:21" x14ac:dyDescent="0.25">
      <c r="A421" s="25" t="s">
        <v>230</v>
      </c>
      <c r="B421" s="26">
        <v>2010</v>
      </c>
      <c r="C421" s="74" t="s">
        <v>229</v>
      </c>
      <c r="D421" s="27">
        <v>0</v>
      </c>
      <c r="E421" s="53">
        <v>15500000000</v>
      </c>
      <c r="F421" s="53">
        <v>15500000000</v>
      </c>
      <c r="G421" s="53">
        <v>1814822512.74</v>
      </c>
      <c r="H421" s="53">
        <v>1048860836.58</v>
      </c>
      <c r="I421" s="53">
        <v>2131607168.51</v>
      </c>
      <c r="J421" s="53">
        <v>1026638577.9299999</v>
      </c>
      <c r="K421" s="53">
        <v>1348768456.1600001</v>
      </c>
      <c r="L421" s="53">
        <v>1360597345.1900001</v>
      </c>
      <c r="M421" s="53">
        <v>1374619895.3399999</v>
      </c>
      <c r="N421" s="53">
        <v>1360133253.0999999</v>
      </c>
      <c r="O421" s="53">
        <v>1447648205.72</v>
      </c>
      <c r="P421" s="53">
        <v>1390859189.3099999</v>
      </c>
      <c r="Q421" s="53">
        <v>1499248120.71</v>
      </c>
      <c r="R421" s="53">
        <v>1962374455.5999999</v>
      </c>
      <c r="U421" s="17"/>
    </row>
    <row r="422" spans="1:21" x14ac:dyDescent="0.25">
      <c r="A422" s="25" t="s">
        <v>228</v>
      </c>
      <c r="B422" s="26">
        <v>2010</v>
      </c>
      <c r="C422" s="74" t="s">
        <v>227</v>
      </c>
      <c r="D422" s="27">
        <v>0</v>
      </c>
      <c r="E422" s="53">
        <v>34000000000</v>
      </c>
      <c r="F422" s="53">
        <v>34000000000</v>
      </c>
      <c r="G422" s="53">
        <v>2569499712.3000002</v>
      </c>
      <c r="H422" s="53">
        <v>2569214694.6999998</v>
      </c>
      <c r="I422" s="53">
        <v>2767832061.9499998</v>
      </c>
      <c r="J422" s="53">
        <v>2617696955.8000002</v>
      </c>
      <c r="K422" s="53">
        <v>2610056710.8000002</v>
      </c>
      <c r="L422" s="53">
        <v>2664816598.4000001</v>
      </c>
      <c r="M422" s="53">
        <v>2773226502.3099999</v>
      </c>
      <c r="N422" s="53">
        <v>2706112950.75</v>
      </c>
      <c r="O422" s="53">
        <v>3638891287.0999999</v>
      </c>
      <c r="P422" s="53">
        <v>2852804118.0999999</v>
      </c>
      <c r="Q422" s="53">
        <v>3055160973.6500001</v>
      </c>
      <c r="R422" s="53">
        <v>2952579874.9499998</v>
      </c>
      <c r="U422" s="17"/>
    </row>
    <row r="423" spans="1:21" x14ac:dyDescent="0.25">
      <c r="A423" s="25" t="s">
        <v>226</v>
      </c>
      <c r="B423" s="26">
        <v>2010</v>
      </c>
      <c r="C423" s="74" t="s">
        <v>225</v>
      </c>
      <c r="D423" s="27">
        <v>0</v>
      </c>
      <c r="E423" s="53">
        <v>10000000000</v>
      </c>
      <c r="F423" s="53">
        <v>10000000000</v>
      </c>
      <c r="G423" s="53">
        <v>896497782.37</v>
      </c>
      <c r="H423" s="53">
        <v>766644642.26999998</v>
      </c>
      <c r="I423" s="53">
        <v>768877888.79999995</v>
      </c>
      <c r="J423" s="53">
        <v>752051089.62</v>
      </c>
      <c r="K423" s="53">
        <v>779081462.00999999</v>
      </c>
      <c r="L423" s="53">
        <v>773234425.14999998</v>
      </c>
      <c r="M423" s="53">
        <v>781450475.15999997</v>
      </c>
      <c r="N423" s="53">
        <v>781280167.59000003</v>
      </c>
      <c r="O423" s="53">
        <v>861236427.28999996</v>
      </c>
      <c r="P423" s="53">
        <v>849632882.84000003</v>
      </c>
      <c r="Q423" s="53">
        <v>836430675.63999999</v>
      </c>
      <c r="R423" s="53">
        <v>802235688.96000004</v>
      </c>
      <c r="U423" s="17"/>
    </row>
    <row r="424" spans="1:21" x14ac:dyDescent="0.25">
      <c r="A424" s="25" t="s">
        <v>449</v>
      </c>
      <c r="B424" s="26">
        <v>2010</v>
      </c>
      <c r="C424" s="74" t="s">
        <v>448</v>
      </c>
      <c r="D424" s="27">
        <v>0</v>
      </c>
      <c r="E424" s="53">
        <v>160000000</v>
      </c>
      <c r="F424" s="53">
        <v>160000000</v>
      </c>
      <c r="G424" s="53">
        <v>0</v>
      </c>
      <c r="H424" s="53">
        <v>0</v>
      </c>
      <c r="I424" s="53">
        <v>5571454</v>
      </c>
      <c r="J424" s="53">
        <v>0</v>
      </c>
      <c r="K424" s="53">
        <v>4927477</v>
      </c>
      <c r="L424" s="53">
        <v>1835742.63</v>
      </c>
      <c r="M424" s="53">
        <v>2387240</v>
      </c>
      <c r="N424" s="53">
        <v>2091070</v>
      </c>
      <c r="O424" s="53">
        <v>4223033.75</v>
      </c>
      <c r="P424" s="53">
        <v>1566077.2</v>
      </c>
      <c r="Q424" s="53">
        <v>1862244.02</v>
      </c>
      <c r="R424" s="53">
        <v>-6861557.5</v>
      </c>
      <c r="U424" s="17"/>
    </row>
    <row r="425" spans="1:21" x14ac:dyDescent="0.25">
      <c r="A425" s="25" t="s">
        <v>222</v>
      </c>
      <c r="B425" s="26">
        <v>2010</v>
      </c>
      <c r="C425" s="74" t="s">
        <v>221</v>
      </c>
      <c r="D425" s="27">
        <v>0</v>
      </c>
      <c r="E425" s="53">
        <v>0</v>
      </c>
      <c r="F425" s="53">
        <v>0</v>
      </c>
      <c r="G425" s="53">
        <v>11511.37</v>
      </c>
      <c r="H425" s="53">
        <v>16277.22</v>
      </c>
      <c r="I425" s="53">
        <v>43372.02</v>
      </c>
      <c r="J425" s="53">
        <v>22369.03</v>
      </c>
      <c r="K425" s="53">
        <v>-477924.57</v>
      </c>
      <c r="L425" s="53">
        <v>590837.39</v>
      </c>
      <c r="M425" s="53">
        <v>103362.59</v>
      </c>
      <c r="N425" s="53">
        <v>7298475.5300000003</v>
      </c>
      <c r="O425" s="53">
        <v>0</v>
      </c>
      <c r="P425" s="53">
        <v>7987404.2699999996</v>
      </c>
      <c r="Q425" s="53">
        <v>119139.88</v>
      </c>
      <c r="R425" s="53">
        <v>3312.86</v>
      </c>
      <c r="U425" s="17"/>
    </row>
    <row r="426" spans="1:21" x14ac:dyDescent="0.25">
      <c r="A426" s="25" t="s">
        <v>215</v>
      </c>
      <c r="B426" s="26">
        <v>2010</v>
      </c>
      <c r="C426" s="74" t="s">
        <v>214</v>
      </c>
      <c r="D426" s="27">
        <v>0</v>
      </c>
      <c r="E426" s="53">
        <v>17800000</v>
      </c>
      <c r="F426" s="53">
        <v>17800000</v>
      </c>
      <c r="G426" s="53">
        <v>505000</v>
      </c>
      <c r="H426" s="53">
        <v>355000</v>
      </c>
      <c r="I426" s="53">
        <v>250000</v>
      </c>
      <c r="J426" s="53">
        <v>250000</v>
      </c>
      <c r="K426" s="53">
        <v>250000</v>
      </c>
      <c r="L426" s="53">
        <v>1015000</v>
      </c>
      <c r="M426" s="53">
        <v>585000</v>
      </c>
      <c r="N426" s="53">
        <v>280000</v>
      </c>
      <c r="O426" s="53">
        <v>280000</v>
      </c>
      <c r="P426" s="53">
        <v>348340</v>
      </c>
      <c r="Q426" s="53">
        <v>280000</v>
      </c>
      <c r="R426" s="53">
        <v>1280000</v>
      </c>
      <c r="U426" s="17"/>
    </row>
    <row r="427" spans="1:21" x14ac:dyDescent="0.25">
      <c r="A427" s="25" t="s">
        <v>447</v>
      </c>
      <c r="B427" s="26">
        <v>2010</v>
      </c>
      <c r="C427" s="74" t="s">
        <v>446</v>
      </c>
      <c r="D427" s="27">
        <v>0</v>
      </c>
      <c r="E427" s="53">
        <v>15800000</v>
      </c>
      <c r="F427" s="53">
        <v>15800000</v>
      </c>
      <c r="G427" s="53">
        <v>0</v>
      </c>
      <c r="H427" s="53">
        <v>0</v>
      </c>
      <c r="I427" s="53">
        <v>0</v>
      </c>
      <c r="J427" s="53">
        <v>0</v>
      </c>
      <c r="K427" s="53">
        <v>0</v>
      </c>
      <c r="L427" s="53">
        <v>0</v>
      </c>
      <c r="M427" s="53">
        <v>0</v>
      </c>
      <c r="N427" s="53">
        <v>0</v>
      </c>
      <c r="O427" s="53">
        <v>0</v>
      </c>
      <c r="P427" s="53">
        <v>0</v>
      </c>
      <c r="Q427" s="53">
        <v>0</v>
      </c>
      <c r="R427" s="53">
        <v>0</v>
      </c>
      <c r="U427" s="17"/>
    </row>
    <row r="428" spans="1:21" x14ac:dyDescent="0.25">
      <c r="A428" s="25" t="s">
        <v>213</v>
      </c>
      <c r="B428" s="26">
        <v>2010</v>
      </c>
      <c r="C428" s="74" t="s">
        <v>212</v>
      </c>
      <c r="D428" s="27">
        <v>0</v>
      </c>
      <c r="E428" s="53">
        <v>179500000</v>
      </c>
      <c r="F428" s="53">
        <v>179500000</v>
      </c>
      <c r="G428" s="53">
        <v>6691315.6299999999</v>
      </c>
      <c r="H428" s="53">
        <v>6584496.5199999996</v>
      </c>
      <c r="I428" s="53">
        <v>3013625.84</v>
      </c>
      <c r="J428" s="53">
        <v>6387916.1900000004</v>
      </c>
      <c r="K428" s="53">
        <v>4968305.26</v>
      </c>
      <c r="L428" s="53">
        <v>4128656.22</v>
      </c>
      <c r="M428" s="53">
        <v>8457390.7599999998</v>
      </c>
      <c r="N428" s="53">
        <v>4795613.3899999997</v>
      </c>
      <c r="O428" s="53">
        <v>6582176.8600000003</v>
      </c>
      <c r="P428" s="53">
        <v>4628211.5599999996</v>
      </c>
      <c r="Q428" s="53">
        <v>3595775.7</v>
      </c>
      <c r="R428" s="53">
        <v>2320798.19</v>
      </c>
      <c r="U428" s="17"/>
    </row>
    <row r="429" spans="1:21" x14ac:dyDescent="0.25">
      <c r="A429" s="25" t="s">
        <v>211</v>
      </c>
      <c r="B429" s="26">
        <v>2010</v>
      </c>
      <c r="C429" s="74" t="s">
        <v>210</v>
      </c>
      <c r="D429" s="27">
        <v>0</v>
      </c>
      <c r="E429" s="53">
        <v>115000000</v>
      </c>
      <c r="F429" s="53">
        <v>115000000</v>
      </c>
      <c r="G429" s="53">
        <v>6162450.4900000002</v>
      </c>
      <c r="H429" s="53">
        <v>6504723.1900000004</v>
      </c>
      <c r="I429" s="53">
        <v>21806830.969999999</v>
      </c>
      <c r="J429" s="53">
        <v>21112955.030000001</v>
      </c>
      <c r="K429" s="53">
        <v>34344713.18</v>
      </c>
      <c r="L429" s="53">
        <v>19019482.68</v>
      </c>
      <c r="M429" s="53">
        <v>24759553.59</v>
      </c>
      <c r="N429" s="53">
        <v>23743690.879999999</v>
      </c>
      <c r="O429" s="53">
        <v>20028860.949999999</v>
      </c>
      <c r="P429" s="53">
        <v>29668286.34</v>
      </c>
      <c r="Q429" s="53">
        <v>206040148.13999999</v>
      </c>
      <c r="R429" s="53">
        <v>32003065.030000001</v>
      </c>
      <c r="U429" s="17"/>
    </row>
    <row r="430" spans="1:21" x14ac:dyDescent="0.25">
      <c r="A430" s="25" t="s">
        <v>433</v>
      </c>
      <c r="B430" s="26">
        <v>2010</v>
      </c>
      <c r="C430" s="74" t="s">
        <v>432</v>
      </c>
      <c r="D430" s="27">
        <v>0</v>
      </c>
      <c r="E430" s="53">
        <v>3200000000</v>
      </c>
      <c r="F430" s="53">
        <v>3200000000</v>
      </c>
      <c r="G430" s="53">
        <v>75334325.599999994</v>
      </c>
      <c r="H430" s="53">
        <v>162288003.69</v>
      </c>
      <c r="I430" s="53">
        <v>225355757.83000001</v>
      </c>
      <c r="J430" s="53">
        <v>155179420.69999999</v>
      </c>
      <c r="K430" s="53">
        <v>308115868.24000001</v>
      </c>
      <c r="L430" s="53">
        <v>240855738.34</v>
      </c>
      <c r="M430" s="53">
        <v>265871333.66</v>
      </c>
      <c r="N430" s="53">
        <v>238766822.88</v>
      </c>
      <c r="O430" s="53">
        <v>238229147.08000001</v>
      </c>
      <c r="P430" s="53">
        <v>295108517.94999999</v>
      </c>
      <c r="Q430" s="53">
        <v>242618554.34999999</v>
      </c>
      <c r="R430" s="53">
        <v>389561590.07999998</v>
      </c>
      <c r="U430" s="17"/>
    </row>
    <row r="431" spans="1:21" x14ac:dyDescent="0.25">
      <c r="A431" s="25" t="s">
        <v>407</v>
      </c>
      <c r="B431" s="26">
        <v>2010</v>
      </c>
      <c r="C431" s="74" t="s">
        <v>406</v>
      </c>
      <c r="D431" s="27">
        <v>0</v>
      </c>
      <c r="E431" s="53">
        <v>8000000</v>
      </c>
      <c r="F431" s="53">
        <v>8000000</v>
      </c>
      <c r="G431" s="53">
        <v>0</v>
      </c>
      <c r="H431" s="53">
        <v>0</v>
      </c>
      <c r="I431" s="53">
        <v>0</v>
      </c>
      <c r="J431" s="53">
        <v>97386.12</v>
      </c>
      <c r="K431" s="53">
        <v>0</v>
      </c>
      <c r="L431" s="53">
        <v>0</v>
      </c>
      <c r="M431" s="53">
        <v>0</v>
      </c>
      <c r="N431" s="53">
        <v>0</v>
      </c>
      <c r="O431" s="53">
        <v>0</v>
      </c>
      <c r="P431" s="53">
        <v>0</v>
      </c>
      <c r="Q431" s="53">
        <v>0</v>
      </c>
      <c r="R431" s="53">
        <v>14525492.5</v>
      </c>
      <c r="U431" s="17"/>
    </row>
    <row r="432" spans="1:21" x14ac:dyDescent="0.25">
      <c r="A432" s="25" t="s">
        <v>374</v>
      </c>
      <c r="B432" s="26">
        <v>2010</v>
      </c>
      <c r="C432" s="74" t="s">
        <v>405</v>
      </c>
      <c r="D432" s="27">
        <v>0</v>
      </c>
      <c r="E432" s="53">
        <v>535000000</v>
      </c>
      <c r="F432" s="53">
        <v>535000000</v>
      </c>
      <c r="G432" s="53">
        <v>80775</v>
      </c>
      <c r="H432" s="53">
        <v>69050</v>
      </c>
      <c r="I432" s="53">
        <v>58583</v>
      </c>
      <c r="J432" s="53">
        <v>60600</v>
      </c>
      <c r="K432" s="53">
        <v>20200</v>
      </c>
      <c r="L432" s="53">
        <v>13950</v>
      </c>
      <c r="M432" s="53">
        <v>19000</v>
      </c>
      <c r="N432" s="53">
        <v>4900</v>
      </c>
      <c r="O432" s="53">
        <v>14600</v>
      </c>
      <c r="P432" s="53">
        <v>16650</v>
      </c>
      <c r="Q432" s="53">
        <v>19150</v>
      </c>
      <c r="R432" s="53">
        <v>2999489882.6900001</v>
      </c>
      <c r="U432" s="17"/>
    </row>
    <row r="433" spans="1:21" x14ac:dyDescent="0.25">
      <c r="A433" s="25" t="s">
        <v>203</v>
      </c>
      <c r="B433" s="26">
        <v>2010</v>
      </c>
      <c r="C433" s="74" t="s">
        <v>202</v>
      </c>
      <c r="D433" s="27">
        <v>0</v>
      </c>
      <c r="E433" s="53">
        <v>2673000000</v>
      </c>
      <c r="F433" s="53">
        <v>2673000000</v>
      </c>
      <c r="G433" s="53">
        <v>793613584.08000004</v>
      </c>
      <c r="H433" s="53">
        <v>76358751.890000001</v>
      </c>
      <c r="I433" s="53">
        <v>50465076.829999998</v>
      </c>
      <c r="J433" s="53">
        <v>36658662.270000003</v>
      </c>
      <c r="K433" s="53">
        <v>24639019.41</v>
      </c>
      <c r="L433" s="53">
        <v>20680599.489999998</v>
      </c>
      <c r="M433" s="53">
        <v>23619773.739999998</v>
      </c>
      <c r="N433" s="53">
        <v>16238136.51</v>
      </c>
      <c r="O433" s="53">
        <v>15573083.359999999</v>
      </c>
      <c r="P433" s="53">
        <v>8422373.9800000004</v>
      </c>
      <c r="Q433" s="53">
        <v>19749482.73</v>
      </c>
      <c r="R433" s="53">
        <v>2425306837.8200002</v>
      </c>
      <c r="U433" s="17"/>
    </row>
    <row r="434" spans="1:21" x14ac:dyDescent="0.25">
      <c r="A434" s="25" t="s">
        <v>200</v>
      </c>
      <c r="B434" s="26">
        <v>2010</v>
      </c>
      <c r="C434" s="74" t="s">
        <v>199</v>
      </c>
      <c r="D434" s="27">
        <v>0</v>
      </c>
      <c r="E434" s="53">
        <v>40000000</v>
      </c>
      <c r="F434" s="53">
        <v>40000000</v>
      </c>
      <c r="G434" s="53">
        <v>5452229.9400000004</v>
      </c>
      <c r="H434" s="53">
        <v>3310590.4</v>
      </c>
      <c r="I434" s="53">
        <v>4007585.96</v>
      </c>
      <c r="J434" s="53">
        <v>2836659.84</v>
      </c>
      <c r="K434" s="53">
        <v>5315931.5999999996</v>
      </c>
      <c r="L434" s="53">
        <v>4312483.74</v>
      </c>
      <c r="M434" s="53">
        <v>3734207.22</v>
      </c>
      <c r="N434" s="53">
        <v>2641242.2000000002</v>
      </c>
      <c r="O434" s="53">
        <v>4580636.41</v>
      </c>
      <c r="P434" s="53">
        <v>3851673.48</v>
      </c>
      <c r="Q434" s="53">
        <v>4164354.18</v>
      </c>
      <c r="R434" s="53">
        <v>3440560.98</v>
      </c>
      <c r="U434" s="17"/>
    </row>
    <row r="435" spans="1:21" x14ac:dyDescent="0.25">
      <c r="A435" s="25" t="s">
        <v>198</v>
      </c>
      <c r="B435" s="26">
        <v>2010</v>
      </c>
      <c r="C435" s="74" t="s">
        <v>197</v>
      </c>
      <c r="D435" s="27">
        <v>0</v>
      </c>
      <c r="E435" s="53">
        <v>5000000</v>
      </c>
      <c r="F435" s="53">
        <v>5000000</v>
      </c>
      <c r="G435" s="53">
        <v>104940</v>
      </c>
      <c r="H435" s="53">
        <v>216110</v>
      </c>
      <c r="I435" s="53">
        <v>243320</v>
      </c>
      <c r="J435" s="53">
        <v>263549</v>
      </c>
      <c r="K435" s="53">
        <v>122710</v>
      </c>
      <c r="L435" s="53">
        <v>148340</v>
      </c>
      <c r="M435" s="53">
        <v>229110</v>
      </c>
      <c r="N435" s="53">
        <v>214451</v>
      </c>
      <c r="O435" s="53">
        <v>185573</v>
      </c>
      <c r="P435" s="53">
        <v>419085</v>
      </c>
      <c r="Q435" s="53">
        <v>257870</v>
      </c>
      <c r="R435" s="53">
        <v>52890</v>
      </c>
      <c r="U435" s="17"/>
    </row>
    <row r="436" spans="1:21" x14ac:dyDescent="0.25">
      <c r="A436" s="25" t="s">
        <v>196</v>
      </c>
      <c r="B436" s="26">
        <v>2010</v>
      </c>
      <c r="C436" s="74" t="s">
        <v>195</v>
      </c>
      <c r="D436" s="27">
        <v>0</v>
      </c>
      <c r="E436" s="53">
        <v>120000000</v>
      </c>
      <c r="F436" s="53">
        <v>120000000</v>
      </c>
      <c r="G436" s="53">
        <v>10621974.77</v>
      </c>
      <c r="H436" s="53">
        <v>13112120.800000001</v>
      </c>
      <c r="I436" s="53">
        <v>11144248.5</v>
      </c>
      <c r="J436" s="53">
        <v>9077200.1999999993</v>
      </c>
      <c r="K436" s="53">
        <v>8632124.5</v>
      </c>
      <c r="L436" s="53">
        <v>7828101.5</v>
      </c>
      <c r="M436" s="53">
        <v>8015531</v>
      </c>
      <c r="N436" s="53">
        <v>7767572</v>
      </c>
      <c r="O436" s="53">
        <v>6990927.1799999997</v>
      </c>
      <c r="P436" s="53">
        <v>7181221.5</v>
      </c>
      <c r="Q436" s="53">
        <v>8030401.3499999996</v>
      </c>
      <c r="R436" s="53">
        <v>9817930.9100000001</v>
      </c>
      <c r="U436" s="17"/>
    </row>
    <row r="437" spans="1:21" x14ac:dyDescent="0.25">
      <c r="A437" s="25" t="s">
        <v>194</v>
      </c>
      <c r="B437" s="26">
        <v>2010</v>
      </c>
      <c r="C437" s="74" t="s">
        <v>193</v>
      </c>
      <c r="D437" s="27">
        <v>0</v>
      </c>
      <c r="E437" s="53">
        <v>33000000</v>
      </c>
      <c r="F437" s="53">
        <v>33000000</v>
      </c>
      <c r="G437" s="53">
        <v>3192016</v>
      </c>
      <c r="H437" s="53">
        <v>1288837</v>
      </c>
      <c r="I437" s="53">
        <v>4993329</v>
      </c>
      <c r="J437" s="53">
        <v>2226039</v>
      </c>
      <c r="K437" s="53">
        <v>1287276</v>
      </c>
      <c r="L437" s="53">
        <v>3074316</v>
      </c>
      <c r="M437" s="53">
        <v>3885009</v>
      </c>
      <c r="N437" s="53">
        <v>3031552</v>
      </c>
      <c r="O437" s="53">
        <v>2848850</v>
      </c>
      <c r="P437" s="53">
        <v>2122258</v>
      </c>
      <c r="Q437" s="53">
        <v>3112878</v>
      </c>
      <c r="R437" s="53">
        <v>7927898</v>
      </c>
      <c r="U437" s="17"/>
    </row>
    <row r="438" spans="1:21" x14ac:dyDescent="0.25">
      <c r="A438" s="25" t="s">
        <v>187</v>
      </c>
      <c r="B438" s="26">
        <v>2010</v>
      </c>
      <c r="C438" s="74" t="s">
        <v>186</v>
      </c>
      <c r="D438" s="27">
        <v>0</v>
      </c>
      <c r="E438" s="53">
        <v>70000000</v>
      </c>
      <c r="F438" s="53">
        <v>70000000</v>
      </c>
      <c r="G438" s="53">
        <v>981000</v>
      </c>
      <c r="H438" s="53">
        <v>1226000</v>
      </c>
      <c r="I438" s="53">
        <v>1881000</v>
      </c>
      <c r="J438" s="53">
        <v>1171000</v>
      </c>
      <c r="K438" s="53">
        <v>1927000</v>
      </c>
      <c r="L438" s="53">
        <v>1883000</v>
      </c>
      <c r="M438" s="53">
        <v>1241836</v>
      </c>
      <c r="N438" s="53">
        <v>1080000</v>
      </c>
      <c r="O438" s="53">
        <v>1888000</v>
      </c>
      <c r="P438" s="53">
        <v>1586000</v>
      </c>
      <c r="Q438" s="53">
        <v>1387000</v>
      </c>
      <c r="R438" s="53">
        <v>1433000</v>
      </c>
      <c r="U438" s="17"/>
    </row>
    <row r="439" spans="1:21" x14ac:dyDescent="0.25">
      <c r="A439" s="25" t="s">
        <v>185</v>
      </c>
      <c r="B439" s="26">
        <v>2010</v>
      </c>
      <c r="C439" s="74" t="s">
        <v>184</v>
      </c>
      <c r="D439" s="27">
        <v>0</v>
      </c>
      <c r="E439" s="53">
        <v>100000000</v>
      </c>
      <c r="F439" s="53">
        <v>100000000</v>
      </c>
      <c r="G439" s="53">
        <v>12555054.220000001</v>
      </c>
      <c r="H439" s="53">
        <v>12061562.35</v>
      </c>
      <c r="I439" s="53">
        <v>7211499.2999999998</v>
      </c>
      <c r="J439" s="53">
        <v>240125</v>
      </c>
      <c r="K439" s="53">
        <v>280747.93</v>
      </c>
      <c r="L439" s="53">
        <v>600426.96</v>
      </c>
      <c r="M439" s="53">
        <v>501582</v>
      </c>
      <c r="N439" s="53">
        <v>2080000</v>
      </c>
      <c r="O439" s="53">
        <v>1061488.67</v>
      </c>
      <c r="P439" s="53">
        <v>86768.51</v>
      </c>
      <c r="Q439" s="53">
        <v>2114537.04</v>
      </c>
      <c r="R439" s="53">
        <v>620000</v>
      </c>
      <c r="U439" s="17"/>
    </row>
    <row r="440" spans="1:21" x14ac:dyDescent="0.25">
      <c r="A440" s="25" t="s">
        <v>513</v>
      </c>
      <c r="B440" s="26">
        <v>2010</v>
      </c>
      <c r="C440" s="74" t="s">
        <v>20</v>
      </c>
      <c r="D440" s="27">
        <v>0</v>
      </c>
      <c r="E440" s="53">
        <v>16400000</v>
      </c>
      <c r="F440" s="53">
        <v>16400000</v>
      </c>
      <c r="G440" s="53">
        <v>0</v>
      </c>
      <c r="H440" s="53">
        <v>0</v>
      </c>
      <c r="I440" s="53">
        <v>0</v>
      </c>
      <c r="J440" s="53">
        <v>0</v>
      </c>
      <c r="K440" s="53">
        <v>0</v>
      </c>
      <c r="L440" s="53">
        <v>0</v>
      </c>
      <c r="M440" s="53">
        <v>0</v>
      </c>
      <c r="N440" s="53">
        <v>0</v>
      </c>
      <c r="O440" s="53">
        <v>0</v>
      </c>
      <c r="P440" s="53">
        <v>0</v>
      </c>
      <c r="Q440" s="53">
        <v>0</v>
      </c>
      <c r="R440" s="53">
        <v>0</v>
      </c>
      <c r="U440" s="17"/>
    </row>
    <row r="441" spans="1:21" x14ac:dyDescent="0.25">
      <c r="A441" s="25" t="s">
        <v>511</v>
      </c>
      <c r="B441" s="26">
        <v>2010</v>
      </c>
      <c r="C441" s="74" t="s">
        <v>20</v>
      </c>
      <c r="D441" s="27">
        <v>0</v>
      </c>
      <c r="E441" s="53">
        <v>12200000</v>
      </c>
      <c r="F441" s="53">
        <v>12200000</v>
      </c>
      <c r="G441" s="53">
        <v>0</v>
      </c>
      <c r="H441" s="53">
        <v>0</v>
      </c>
      <c r="I441" s="53">
        <v>0</v>
      </c>
      <c r="J441" s="53">
        <v>0</v>
      </c>
      <c r="K441" s="53">
        <v>0</v>
      </c>
      <c r="L441" s="53">
        <v>0</v>
      </c>
      <c r="M441" s="53">
        <v>0</v>
      </c>
      <c r="N441" s="53">
        <v>0</v>
      </c>
      <c r="O441" s="53">
        <v>0</v>
      </c>
      <c r="P441" s="53">
        <v>0</v>
      </c>
      <c r="Q441" s="53">
        <v>0</v>
      </c>
      <c r="R441" s="53">
        <v>0</v>
      </c>
      <c r="U441" s="17"/>
    </row>
    <row r="442" spans="1:21" x14ac:dyDescent="0.25">
      <c r="A442" s="25" t="s">
        <v>176</v>
      </c>
      <c r="B442" s="26">
        <v>2010</v>
      </c>
      <c r="C442" s="74" t="s">
        <v>175</v>
      </c>
      <c r="D442" s="27">
        <v>0</v>
      </c>
      <c r="E442" s="53">
        <v>260000000</v>
      </c>
      <c r="F442" s="53">
        <v>260000000</v>
      </c>
      <c r="G442" s="53">
        <v>36546225.259999998</v>
      </c>
      <c r="H442" s="53">
        <v>9689384.6999999993</v>
      </c>
      <c r="I442" s="53">
        <v>30674624.739999998</v>
      </c>
      <c r="J442" s="53">
        <v>13958421.75</v>
      </c>
      <c r="K442" s="53">
        <v>16220282.59</v>
      </c>
      <c r="L442" s="53">
        <v>10043947.140000001</v>
      </c>
      <c r="M442" s="53">
        <v>1744375.76</v>
      </c>
      <c r="N442" s="53">
        <v>8492588.6799999997</v>
      </c>
      <c r="O442" s="53">
        <v>16856131.43</v>
      </c>
      <c r="P442" s="53">
        <v>6886360.8499999996</v>
      </c>
      <c r="Q442" s="53">
        <v>6853931.2800000003</v>
      </c>
      <c r="R442" s="53">
        <v>90765276.349999994</v>
      </c>
      <c r="U442" s="17"/>
    </row>
    <row r="443" spans="1:21" x14ac:dyDescent="0.25">
      <c r="A443" s="25" t="s">
        <v>174</v>
      </c>
      <c r="B443" s="26">
        <v>2010</v>
      </c>
      <c r="C443" s="74" t="s">
        <v>173</v>
      </c>
      <c r="D443" s="27">
        <v>0</v>
      </c>
      <c r="E443" s="53">
        <v>500000000</v>
      </c>
      <c r="F443" s="53">
        <v>500000000</v>
      </c>
      <c r="G443" s="53">
        <v>54319586.409999996</v>
      </c>
      <c r="H443" s="53">
        <v>0</v>
      </c>
      <c r="I443" s="53">
        <v>294000</v>
      </c>
      <c r="J443" s="53">
        <v>55970</v>
      </c>
      <c r="K443" s="53">
        <v>49670</v>
      </c>
      <c r="L443" s="53">
        <v>7500</v>
      </c>
      <c r="M443" s="53">
        <v>329413020.35000002</v>
      </c>
      <c r="N443" s="53">
        <v>0</v>
      </c>
      <c r="O443" s="53">
        <v>0</v>
      </c>
      <c r="P443" s="53">
        <v>41600</v>
      </c>
      <c r="Q443" s="53">
        <v>0</v>
      </c>
      <c r="R443" s="53">
        <v>916607090.38</v>
      </c>
      <c r="U443" s="17"/>
    </row>
    <row r="444" spans="1:21" x14ac:dyDescent="0.25">
      <c r="A444" s="25" t="s">
        <v>172</v>
      </c>
      <c r="B444" s="26">
        <v>2010</v>
      </c>
      <c r="C444" s="74" t="s">
        <v>171</v>
      </c>
      <c r="D444" s="27">
        <v>0</v>
      </c>
      <c r="E444" s="53">
        <v>45000000</v>
      </c>
      <c r="F444" s="53">
        <v>45000000</v>
      </c>
      <c r="G444" s="53">
        <v>0</v>
      </c>
      <c r="H444" s="53">
        <v>0</v>
      </c>
      <c r="I444" s="53">
        <v>1215928</v>
      </c>
      <c r="J444" s="53">
        <v>0</v>
      </c>
      <c r="K444" s="53">
        <v>25000</v>
      </c>
      <c r="L444" s="53">
        <v>98962195</v>
      </c>
      <c r="M444" s="53">
        <v>92412.93</v>
      </c>
      <c r="N444" s="53">
        <v>8402</v>
      </c>
      <c r="O444" s="53">
        <v>1026665</v>
      </c>
      <c r="P444" s="53">
        <v>0</v>
      </c>
      <c r="Q444" s="53">
        <v>0</v>
      </c>
      <c r="R444" s="53">
        <v>27700</v>
      </c>
      <c r="U444" s="17"/>
    </row>
    <row r="445" spans="1:21" x14ac:dyDescent="0.25">
      <c r="A445" s="25" t="s">
        <v>170</v>
      </c>
      <c r="B445" s="26">
        <v>2010</v>
      </c>
      <c r="C445" s="74" t="s">
        <v>168</v>
      </c>
      <c r="D445" s="27">
        <v>0</v>
      </c>
      <c r="E445" s="53">
        <v>905000000</v>
      </c>
      <c r="F445" s="53">
        <v>905000000</v>
      </c>
      <c r="G445" s="53">
        <v>7519556.2999999998</v>
      </c>
      <c r="H445" s="53">
        <v>8800230.2100000009</v>
      </c>
      <c r="I445" s="53">
        <v>17795093.559999999</v>
      </c>
      <c r="J445" s="53">
        <v>16143169.02</v>
      </c>
      <c r="K445" s="53">
        <v>12991356.07</v>
      </c>
      <c r="L445" s="53">
        <v>16953134.199999999</v>
      </c>
      <c r="M445" s="53">
        <v>36035394.549999997</v>
      </c>
      <c r="N445" s="53">
        <v>17646722.739999998</v>
      </c>
      <c r="O445" s="53">
        <v>11106173.25</v>
      </c>
      <c r="P445" s="53">
        <v>32021460.23</v>
      </c>
      <c r="Q445" s="53">
        <v>11103758.65</v>
      </c>
      <c r="R445" s="53">
        <v>16556098.470000001</v>
      </c>
      <c r="U445" s="17"/>
    </row>
    <row r="446" spans="1:21" x14ac:dyDescent="0.25">
      <c r="A446" s="25" t="s">
        <v>167</v>
      </c>
      <c r="B446" s="26">
        <v>2010</v>
      </c>
      <c r="C446" s="74" t="s">
        <v>166</v>
      </c>
      <c r="D446" s="27">
        <v>0</v>
      </c>
      <c r="E446" s="53">
        <v>4456000000</v>
      </c>
      <c r="F446" s="53">
        <v>4456000000</v>
      </c>
      <c r="G446" s="53">
        <v>171689786</v>
      </c>
      <c r="H446" s="53">
        <v>246298179</v>
      </c>
      <c r="I446" s="53">
        <v>347858175</v>
      </c>
      <c r="J446" s="53">
        <v>258259630</v>
      </c>
      <c r="K446" s="53">
        <v>255430341</v>
      </c>
      <c r="L446" s="53">
        <v>241456095.40000001</v>
      </c>
      <c r="M446" s="53">
        <v>2411542610</v>
      </c>
      <c r="N446" s="53">
        <v>358302107</v>
      </c>
      <c r="O446" s="53">
        <v>432415063.5</v>
      </c>
      <c r="P446" s="53">
        <v>297573705.68000001</v>
      </c>
      <c r="Q446" s="53">
        <v>415747708</v>
      </c>
      <c r="R446" s="53">
        <v>52199181.450000003</v>
      </c>
      <c r="U446" s="17"/>
    </row>
    <row r="447" spans="1:21" x14ac:dyDescent="0.25">
      <c r="A447" s="25" t="s">
        <v>165</v>
      </c>
      <c r="B447" s="26">
        <v>2010</v>
      </c>
      <c r="C447" s="74" t="s">
        <v>164</v>
      </c>
      <c r="D447" s="27">
        <v>0</v>
      </c>
      <c r="E447" s="53">
        <v>91000000</v>
      </c>
      <c r="F447" s="53">
        <v>91000000</v>
      </c>
      <c r="G447" s="53">
        <v>7736276</v>
      </c>
      <c r="H447" s="53">
        <v>3446987.69</v>
      </c>
      <c r="I447" s="53">
        <v>1987163.85</v>
      </c>
      <c r="J447" s="53">
        <v>2291299.9500000002</v>
      </c>
      <c r="K447" s="53">
        <v>5693015.4000000004</v>
      </c>
      <c r="L447" s="53">
        <v>549650.55000000005</v>
      </c>
      <c r="M447" s="53">
        <v>3642599.8</v>
      </c>
      <c r="N447" s="53">
        <v>1083422.76</v>
      </c>
      <c r="O447" s="53">
        <v>3913502.85</v>
      </c>
      <c r="P447" s="53">
        <v>4116940.4</v>
      </c>
      <c r="Q447" s="53">
        <v>15770672.48</v>
      </c>
      <c r="R447" s="53">
        <v>136512.5</v>
      </c>
      <c r="U447" s="17"/>
    </row>
    <row r="448" spans="1:21" x14ac:dyDescent="0.25">
      <c r="A448" s="25" t="s">
        <v>445</v>
      </c>
      <c r="B448" s="26">
        <v>2010</v>
      </c>
      <c r="C448" s="74" t="s">
        <v>444</v>
      </c>
      <c r="D448" s="27">
        <v>0</v>
      </c>
      <c r="E448" s="53">
        <v>40000000</v>
      </c>
      <c r="F448" s="53">
        <v>40000000</v>
      </c>
      <c r="G448" s="53">
        <v>2871000</v>
      </c>
      <c r="H448" s="53">
        <v>2871000</v>
      </c>
      <c r="I448" s="53">
        <v>2871000</v>
      </c>
      <c r="J448" s="53">
        <v>2871000</v>
      </c>
      <c r="K448" s="53">
        <v>2871000</v>
      </c>
      <c r="L448" s="53">
        <v>2871000</v>
      </c>
      <c r="M448" s="53">
        <v>2871000</v>
      </c>
      <c r="N448" s="53">
        <v>2871000</v>
      </c>
      <c r="O448" s="53">
        <v>2871000</v>
      </c>
      <c r="P448" s="53">
        <v>2871000</v>
      </c>
      <c r="Q448" s="53">
        <v>2871000</v>
      </c>
      <c r="R448" s="53">
        <v>2871000</v>
      </c>
      <c r="U448" s="17"/>
    </row>
    <row r="449" spans="1:21" x14ac:dyDescent="0.25">
      <c r="A449" s="25" t="s">
        <v>163</v>
      </c>
      <c r="B449" s="26">
        <v>2010</v>
      </c>
      <c r="C449" s="74" t="s">
        <v>162</v>
      </c>
      <c r="D449" s="27">
        <v>0</v>
      </c>
      <c r="E449" s="53">
        <v>95000000</v>
      </c>
      <c r="F449" s="53">
        <v>95000000</v>
      </c>
      <c r="G449" s="53">
        <v>0</v>
      </c>
      <c r="H449" s="53">
        <v>2293000</v>
      </c>
      <c r="I449" s="53">
        <v>9655500</v>
      </c>
      <c r="J449" s="53">
        <v>12995503</v>
      </c>
      <c r="K449" s="53">
        <v>1808657.87</v>
      </c>
      <c r="L449" s="53">
        <v>952500</v>
      </c>
      <c r="M449" s="53">
        <v>11807000</v>
      </c>
      <c r="N449" s="53">
        <v>7026000</v>
      </c>
      <c r="O449" s="53">
        <v>7281000</v>
      </c>
      <c r="P449" s="53">
        <v>7860500</v>
      </c>
      <c r="Q449" s="53">
        <v>6501000</v>
      </c>
      <c r="R449" s="53">
        <v>1751500</v>
      </c>
      <c r="U449" s="17"/>
    </row>
    <row r="450" spans="1:21" x14ac:dyDescent="0.25">
      <c r="A450" s="25" t="s">
        <v>161</v>
      </c>
      <c r="B450" s="26">
        <v>2010</v>
      </c>
      <c r="C450" s="74" t="s">
        <v>160</v>
      </c>
      <c r="D450" s="27">
        <v>0</v>
      </c>
      <c r="E450" s="53">
        <v>0</v>
      </c>
      <c r="F450" s="53">
        <v>0</v>
      </c>
      <c r="G450" s="53">
        <v>33479.35</v>
      </c>
      <c r="H450" s="53">
        <v>1502298.97</v>
      </c>
      <c r="I450" s="53">
        <v>383035.33</v>
      </c>
      <c r="J450" s="53">
        <v>1088112.75</v>
      </c>
      <c r="K450" s="53">
        <v>122321</v>
      </c>
      <c r="L450" s="53">
        <v>2291899.4700000002</v>
      </c>
      <c r="M450" s="53">
        <v>4684400.8099999996</v>
      </c>
      <c r="N450" s="53">
        <v>578760.54</v>
      </c>
      <c r="O450" s="53">
        <v>32553.55</v>
      </c>
      <c r="P450" s="53">
        <v>2100753.92</v>
      </c>
      <c r="Q450" s="53">
        <v>585821.28</v>
      </c>
      <c r="R450" s="53">
        <v>16728588.98</v>
      </c>
      <c r="U450" s="17"/>
    </row>
    <row r="451" spans="1:21" x14ac:dyDescent="0.25">
      <c r="A451" s="25" t="s">
        <v>159</v>
      </c>
      <c r="B451" s="26">
        <v>2010</v>
      </c>
      <c r="C451" s="74" t="s">
        <v>158</v>
      </c>
      <c r="D451" s="27">
        <v>0</v>
      </c>
      <c r="E451" s="53">
        <v>141700000</v>
      </c>
      <c r="F451" s="53">
        <v>141700000</v>
      </c>
      <c r="G451" s="53">
        <v>0</v>
      </c>
      <c r="H451" s="53">
        <v>0</v>
      </c>
      <c r="I451" s="53">
        <v>0</v>
      </c>
      <c r="J451" s="53">
        <v>0</v>
      </c>
      <c r="K451" s="53">
        <v>0</v>
      </c>
      <c r="L451" s="53">
        <v>141653818.27000001</v>
      </c>
      <c r="M451" s="53">
        <v>0</v>
      </c>
      <c r="N451" s="53">
        <v>0</v>
      </c>
      <c r="O451" s="53">
        <v>0</v>
      </c>
      <c r="P451" s="53">
        <v>0</v>
      </c>
      <c r="Q451" s="53">
        <v>0</v>
      </c>
      <c r="R451" s="53">
        <v>0</v>
      </c>
      <c r="U451" s="17"/>
    </row>
    <row r="452" spans="1:21" x14ac:dyDescent="0.25">
      <c r="A452" s="25" t="s">
        <v>153</v>
      </c>
      <c r="B452" s="26">
        <v>2010</v>
      </c>
      <c r="C452" s="74" t="s">
        <v>151</v>
      </c>
      <c r="D452" s="27">
        <v>0</v>
      </c>
      <c r="E452" s="53">
        <v>572300000</v>
      </c>
      <c r="F452" s="53">
        <v>572300000</v>
      </c>
      <c r="G452" s="53">
        <v>58015</v>
      </c>
      <c r="H452" s="53">
        <v>404280.55</v>
      </c>
      <c r="I452" s="53">
        <v>3319692.59</v>
      </c>
      <c r="J452" s="53">
        <v>10040253.24</v>
      </c>
      <c r="K452" s="53">
        <v>949490499.55999994</v>
      </c>
      <c r="L452" s="53">
        <v>8664314.4700000007</v>
      </c>
      <c r="M452" s="53">
        <v>7823390.5800000001</v>
      </c>
      <c r="N452" s="53">
        <v>1379420</v>
      </c>
      <c r="O452" s="53">
        <v>2310474.35</v>
      </c>
      <c r="P452" s="53">
        <v>11379547</v>
      </c>
      <c r="Q452" s="53">
        <v>175500</v>
      </c>
      <c r="R452" s="53">
        <v>2063014.3</v>
      </c>
      <c r="U452" s="17"/>
    </row>
    <row r="453" spans="1:21" x14ac:dyDescent="0.25">
      <c r="A453" s="25" t="s">
        <v>150</v>
      </c>
      <c r="B453" s="26">
        <v>2010</v>
      </c>
      <c r="C453" s="74" t="s">
        <v>149</v>
      </c>
      <c r="D453" s="27">
        <v>0</v>
      </c>
      <c r="E453" s="53">
        <v>35000000</v>
      </c>
      <c r="F453" s="53">
        <v>35000000</v>
      </c>
      <c r="G453" s="53">
        <v>4898004.0599999996</v>
      </c>
      <c r="H453" s="53">
        <v>0</v>
      </c>
      <c r="I453" s="53">
        <v>4713274.91</v>
      </c>
      <c r="J453" s="53">
        <v>1170725.96</v>
      </c>
      <c r="K453" s="53">
        <v>2029447.53</v>
      </c>
      <c r="L453" s="53">
        <v>6731012.7199999997</v>
      </c>
      <c r="M453" s="53">
        <v>966518.8</v>
      </c>
      <c r="N453" s="53">
        <v>1098400.5900000001</v>
      </c>
      <c r="O453" s="53">
        <v>225875.24</v>
      </c>
      <c r="P453" s="53">
        <v>1651250.19</v>
      </c>
      <c r="Q453" s="53">
        <v>0</v>
      </c>
      <c r="R453" s="53">
        <v>0</v>
      </c>
      <c r="U453" s="17"/>
    </row>
    <row r="454" spans="1:21" x14ac:dyDescent="0.25">
      <c r="A454" s="25" t="s">
        <v>144</v>
      </c>
      <c r="B454" s="26">
        <v>2010</v>
      </c>
      <c r="C454" s="74" t="s">
        <v>143</v>
      </c>
      <c r="D454" s="27">
        <v>0</v>
      </c>
      <c r="E454" s="53">
        <v>850000000</v>
      </c>
      <c r="F454" s="53">
        <v>850000000</v>
      </c>
      <c r="G454" s="53">
        <v>106213587.78</v>
      </c>
      <c r="H454" s="53">
        <v>46381879.159999996</v>
      </c>
      <c r="I454" s="53">
        <v>135822661.74000001</v>
      </c>
      <c r="J454" s="53">
        <v>44876045.659999996</v>
      </c>
      <c r="K454" s="53">
        <v>38295614.850000001</v>
      </c>
      <c r="L454" s="53">
        <v>55511620.670000002</v>
      </c>
      <c r="M454" s="53">
        <v>60397508.770000003</v>
      </c>
      <c r="N454" s="53">
        <v>59727817.579999998</v>
      </c>
      <c r="O454" s="53">
        <v>44300754.039999999</v>
      </c>
      <c r="P454" s="53">
        <v>623476137.48000002</v>
      </c>
      <c r="Q454" s="53">
        <v>78296403.629999995</v>
      </c>
      <c r="R454" s="53">
        <v>92885936.170000002</v>
      </c>
      <c r="U454" s="17"/>
    </row>
    <row r="455" spans="1:21" x14ac:dyDescent="0.25">
      <c r="A455" s="25" t="s">
        <v>142</v>
      </c>
      <c r="B455" s="26">
        <v>2010</v>
      </c>
      <c r="C455" s="74" t="s">
        <v>141</v>
      </c>
      <c r="D455" s="27">
        <v>0</v>
      </c>
      <c r="E455" s="53">
        <v>6932778096</v>
      </c>
      <c r="F455" s="53">
        <v>6932778096</v>
      </c>
      <c r="G455" s="53">
        <v>29324710.5</v>
      </c>
      <c r="H455" s="53">
        <v>55159564.740000002</v>
      </c>
      <c r="I455" s="53">
        <v>842515028.94000006</v>
      </c>
      <c r="J455" s="53">
        <v>17490982.27</v>
      </c>
      <c r="K455" s="53">
        <v>52611516.890000001</v>
      </c>
      <c r="L455" s="53">
        <v>29587146.760000002</v>
      </c>
      <c r="M455" s="53">
        <v>32997427.449999999</v>
      </c>
      <c r="N455" s="53">
        <v>27727279.309999999</v>
      </c>
      <c r="O455" s="53">
        <v>68951067.299999997</v>
      </c>
      <c r="P455" s="53">
        <v>5715427526.1599998</v>
      </c>
      <c r="Q455" s="53">
        <v>175643808.93000001</v>
      </c>
      <c r="R455" s="53">
        <v>138896012.53</v>
      </c>
      <c r="U455" s="17"/>
    </row>
    <row r="456" spans="1:21" x14ac:dyDescent="0.25">
      <c r="A456" s="25" t="s">
        <v>140</v>
      </c>
      <c r="B456" s="26">
        <v>2010</v>
      </c>
      <c r="C456" s="74" t="s">
        <v>139</v>
      </c>
      <c r="D456" s="27">
        <v>0</v>
      </c>
      <c r="E456" s="53">
        <v>23200000000</v>
      </c>
      <c r="F456" s="53">
        <v>23200000000</v>
      </c>
      <c r="G456" s="53">
        <v>0</v>
      </c>
      <c r="H456" s="53">
        <v>0</v>
      </c>
      <c r="I456" s="53">
        <v>0</v>
      </c>
      <c r="J456" s="53">
        <v>0</v>
      </c>
      <c r="K456" s="53">
        <v>0</v>
      </c>
      <c r="L456" s="53">
        <v>0</v>
      </c>
      <c r="M456" s="53">
        <v>0</v>
      </c>
      <c r="N456" s="53">
        <v>0</v>
      </c>
      <c r="O456" s="53">
        <v>0</v>
      </c>
      <c r="P456" s="53">
        <v>4318642908</v>
      </c>
      <c r="Q456" s="53">
        <v>15898731567</v>
      </c>
      <c r="R456" s="53">
        <v>2927387175</v>
      </c>
      <c r="U456" s="17"/>
    </row>
    <row r="457" spans="1:21" x14ac:dyDescent="0.25">
      <c r="A457" s="25" t="s">
        <v>138</v>
      </c>
      <c r="B457" s="26">
        <v>2010</v>
      </c>
      <c r="C457" s="74" t="s">
        <v>137</v>
      </c>
      <c r="D457" s="27">
        <v>0</v>
      </c>
      <c r="E457" s="53">
        <v>1060000000</v>
      </c>
      <c r="F457" s="53">
        <v>1060000000</v>
      </c>
      <c r="G457" s="53">
        <v>0</v>
      </c>
      <c r="H457" s="53">
        <v>0</v>
      </c>
      <c r="I457" s="53">
        <v>0</v>
      </c>
      <c r="J457" s="53">
        <v>23220000</v>
      </c>
      <c r="K457" s="53">
        <v>105063750</v>
      </c>
      <c r="L457" s="53">
        <v>0</v>
      </c>
      <c r="M457" s="53">
        <v>446647500</v>
      </c>
      <c r="N457" s="53">
        <v>289372500</v>
      </c>
      <c r="O457" s="53">
        <v>0</v>
      </c>
      <c r="P457" s="53">
        <v>551036250</v>
      </c>
      <c r="Q457" s="53">
        <v>84660000</v>
      </c>
      <c r="R457" s="53">
        <v>0</v>
      </c>
      <c r="U457" s="17"/>
    </row>
    <row r="458" spans="1:21" x14ac:dyDescent="0.25">
      <c r="A458" s="25" t="s">
        <v>136</v>
      </c>
      <c r="B458" s="26">
        <v>2010</v>
      </c>
      <c r="C458" s="74" t="s">
        <v>135</v>
      </c>
      <c r="D458" s="27">
        <v>0</v>
      </c>
      <c r="E458" s="53">
        <v>1590000000</v>
      </c>
      <c r="F458" s="53">
        <v>1590000000</v>
      </c>
      <c r="G458" s="53">
        <v>0</v>
      </c>
      <c r="H458" s="53">
        <v>0</v>
      </c>
      <c r="I458" s="53">
        <v>0</v>
      </c>
      <c r="J458" s="53">
        <v>0</v>
      </c>
      <c r="K458" s="53">
        <v>447066444.39999998</v>
      </c>
      <c r="L458" s="53">
        <v>52933555.560000002</v>
      </c>
      <c r="M458" s="53">
        <v>0</v>
      </c>
      <c r="N458" s="53">
        <v>450000000</v>
      </c>
      <c r="O458" s="53">
        <v>0</v>
      </c>
      <c r="P458" s="53">
        <v>0</v>
      </c>
      <c r="Q458" s="53">
        <v>50000000</v>
      </c>
      <c r="R458" s="53">
        <v>0</v>
      </c>
      <c r="U458" s="17"/>
    </row>
    <row r="459" spans="1:21" x14ac:dyDescent="0.25">
      <c r="A459" s="25" t="s">
        <v>134</v>
      </c>
      <c r="B459" s="26">
        <v>2010</v>
      </c>
      <c r="C459" s="74" t="s">
        <v>133</v>
      </c>
      <c r="D459" s="27">
        <v>0</v>
      </c>
      <c r="E459" s="53">
        <v>50296800000</v>
      </c>
      <c r="F459" s="53">
        <v>50296800000</v>
      </c>
      <c r="G459" s="53">
        <v>0</v>
      </c>
      <c r="H459" s="53">
        <v>0</v>
      </c>
      <c r="I459" s="53">
        <v>0</v>
      </c>
      <c r="J459" s="53">
        <v>5000000000</v>
      </c>
      <c r="K459" s="53">
        <v>10000000000</v>
      </c>
      <c r="L459" s="53">
        <v>10000000000</v>
      </c>
      <c r="M459" s="53">
        <v>0</v>
      </c>
      <c r="N459" s="53">
        <v>10000000000</v>
      </c>
      <c r="O459" s="53">
        <v>0</v>
      </c>
      <c r="P459" s="53">
        <v>5000000000</v>
      </c>
      <c r="Q459" s="53">
        <v>5000000000</v>
      </c>
      <c r="R459" s="53">
        <v>5296800000</v>
      </c>
      <c r="U459" s="17"/>
    </row>
    <row r="460" spans="1:21" x14ac:dyDescent="0.25">
      <c r="A460" s="25" t="s">
        <v>132</v>
      </c>
      <c r="B460" s="26">
        <v>2010</v>
      </c>
      <c r="C460" s="74" t="s">
        <v>131</v>
      </c>
      <c r="D460" s="27">
        <v>0</v>
      </c>
      <c r="E460" s="53">
        <v>18550197753</v>
      </c>
      <c r="F460" s="53">
        <v>18550197753</v>
      </c>
      <c r="G460" s="53">
        <v>0</v>
      </c>
      <c r="H460" s="53">
        <v>0</v>
      </c>
      <c r="I460" s="53">
        <v>0</v>
      </c>
      <c r="J460" s="53">
        <v>9298675501</v>
      </c>
      <c r="K460" s="53">
        <v>0</v>
      </c>
      <c r="L460" s="53">
        <v>0</v>
      </c>
      <c r="M460" s="53">
        <v>10192369090</v>
      </c>
      <c r="N460" s="53">
        <v>7002730542</v>
      </c>
      <c r="O460" s="53">
        <v>4030320845</v>
      </c>
      <c r="P460" s="53">
        <v>0</v>
      </c>
      <c r="Q460" s="53">
        <v>-18805842234</v>
      </c>
      <c r="R460" s="53">
        <v>6831276825</v>
      </c>
      <c r="U460" s="17"/>
    </row>
    <row r="461" spans="1:21" x14ac:dyDescent="0.25">
      <c r="A461" s="25" t="s">
        <v>130</v>
      </c>
      <c r="B461" s="26">
        <v>2010</v>
      </c>
      <c r="C461" s="74" t="s">
        <v>129</v>
      </c>
      <c r="D461" s="27">
        <v>0</v>
      </c>
      <c r="E461" s="53">
        <v>51000000000</v>
      </c>
      <c r="F461" s="53">
        <v>51000000000</v>
      </c>
      <c r="G461" s="53">
        <v>0</v>
      </c>
      <c r="H461" s="53">
        <v>0</v>
      </c>
      <c r="I461" s="53">
        <v>0</v>
      </c>
      <c r="J461" s="53">
        <v>19456058593</v>
      </c>
      <c r="K461" s="53">
        <v>0</v>
      </c>
      <c r="L461" s="53">
        <v>0</v>
      </c>
      <c r="M461" s="53">
        <v>3775863499</v>
      </c>
      <c r="N461" s="53">
        <v>5096184545</v>
      </c>
      <c r="O461" s="53">
        <v>5096184545</v>
      </c>
      <c r="P461" s="53">
        <v>5096184545</v>
      </c>
      <c r="Q461" s="53">
        <v>11287155183</v>
      </c>
      <c r="R461" s="53">
        <v>1192369090</v>
      </c>
      <c r="U461" s="17"/>
    </row>
    <row r="462" spans="1:21" x14ac:dyDescent="0.25">
      <c r="A462" s="25" t="s">
        <v>128</v>
      </c>
      <c r="B462" s="26">
        <v>2010</v>
      </c>
      <c r="C462" s="74" t="s">
        <v>127</v>
      </c>
      <c r="D462" s="27">
        <v>0</v>
      </c>
      <c r="E462" s="53">
        <v>6400000000</v>
      </c>
      <c r="F462" s="53">
        <v>6400000000</v>
      </c>
      <c r="G462" s="53">
        <v>0</v>
      </c>
      <c r="H462" s="53">
        <v>0</v>
      </c>
      <c r="I462" s="53">
        <v>0</v>
      </c>
      <c r="J462" s="53">
        <v>0</v>
      </c>
      <c r="K462" s="53">
        <v>2133200000</v>
      </c>
      <c r="L462" s="53">
        <v>1066600000</v>
      </c>
      <c r="M462" s="53">
        <v>0</v>
      </c>
      <c r="N462" s="53">
        <v>533300000</v>
      </c>
      <c r="O462" s="53">
        <v>0</v>
      </c>
      <c r="P462" s="53">
        <v>0</v>
      </c>
      <c r="Q462" s="53">
        <v>1599900000</v>
      </c>
      <c r="R462" s="53">
        <v>1067000000</v>
      </c>
      <c r="U462" s="17"/>
    </row>
    <row r="463" spans="1:21" x14ac:dyDescent="0.25">
      <c r="A463" s="25" t="s">
        <v>126</v>
      </c>
      <c r="B463" s="26">
        <v>2010</v>
      </c>
      <c r="C463" s="74" t="s">
        <v>125</v>
      </c>
      <c r="D463" s="27">
        <v>0</v>
      </c>
      <c r="E463" s="53">
        <v>1835467650</v>
      </c>
      <c r="F463" s="53">
        <v>1835467650</v>
      </c>
      <c r="G463" s="53">
        <v>0</v>
      </c>
      <c r="H463" s="53">
        <v>0</v>
      </c>
      <c r="I463" s="53">
        <v>0</v>
      </c>
      <c r="J463" s="53">
        <v>0</v>
      </c>
      <c r="K463" s="53">
        <v>0</v>
      </c>
      <c r="L463" s="53">
        <v>0</v>
      </c>
      <c r="M463" s="53">
        <v>0</v>
      </c>
      <c r="N463" s="53">
        <v>0</v>
      </c>
      <c r="O463" s="53">
        <v>0</v>
      </c>
      <c r="P463" s="53">
        <v>0</v>
      </c>
      <c r="Q463" s="53">
        <v>0</v>
      </c>
      <c r="R463" s="53">
        <v>0</v>
      </c>
      <c r="U463" s="17"/>
    </row>
    <row r="464" spans="1:21" x14ac:dyDescent="0.25">
      <c r="A464" s="25" t="s">
        <v>510</v>
      </c>
      <c r="B464" s="26">
        <v>2010</v>
      </c>
      <c r="C464" s="74" t="s">
        <v>20</v>
      </c>
      <c r="D464" s="27">
        <v>0</v>
      </c>
      <c r="E464" s="53">
        <v>1752000000</v>
      </c>
      <c r="F464" s="53">
        <v>1752000000</v>
      </c>
      <c r="G464" s="53">
        <v>0</v>
      </c>
      <c r="H464" s="53">
        <v>0</v>
      </c>
      <c r="I464" s="53">
        <v>0</v>
      </c>
      <c r="J464" s="53">
        <v>0</v>
      </c>
      <c r="K464" s="53">
        <v>0</v>
      </c>
      <c r="L464" s="53">
        <v>0</v>
      </c>
      <c r="M464" s="53">
        <v>0</v>
      </c>
      <c r="N464" s="53">
        <v>0</v>
      </c>
      <c r="O464" s="53">
        <v>0</v>
      </c>
      <c r="P464" s="53">
        <v>0</v>
      </c>
      <c r="Q464" s="53">
        <v>0</v>
      </c>
      <c r="R464" s="53">
        <v>0</v>
      </c>
      <c r="U464" s="17"/>
    </row>
    <row r="465" spans="1:21" x14ac:dyDescent="0.25">
      <c r="A465" s="25" t="s">
        <v>509</v>
      </c>
      <c r="B465" s="26">
        <v>2010</v>
      </c>
      <c r="C465" s="74" t="s">
        <v>20</v>
      </c>
      <c r="D465" s="27">
        <v>0</v>
      </c>
      <c r="E465" s="53">
        <v>60000000</v>
      </c>
      <c r="F465" s="53">
        <v>60000000</v>
      </c>
      <c r="G465" s="53">
        <v>0</v>
      </c>
      <c r="H465" s="53">
        <v>0</v>
      </c>
      <c r="I465" s="53">
        <v>0</v>
      </c>
      <c r="J465" s="53">
        <v>0</v>
      </c>
      <c r="K465" s="53">
        <v>0</v>
      </c>
      <c r="L465" s="53">
        <v>0</v>
      </c>
      <c r="M465" s="53">
        <v>0</v>
      </c>
      <c r="N465" s="53">
        <v>0</v>
      </c>
      <c r="O465" s="53">
        <v>0</v>
      </c>
      <c r="P465" s="53">
        <v>0</v>
      </c>
      <c r="Q465" s="53">
        <v>0</v>
      </c>
      <c r="R465" s="53">
        <v>0</v>
      </c>
      <c r="U465" s="17"/>
    </row>
    <row r="466" spans="1:21" x14ac:dyDescent="0.25">
      <c r="A466" s="25" t="s">
        <v>508</v>
      </c>
      <c r="B466" s="26">
        <v>2010</v>
      </c>
      <c r="C466" s="74" t="s">
        <v>20</v>
      </c>
      <c r="D466" s="27">
        <v>0</v>
      </c>
      <c r="E466" s="53">
        <v>2488000000</v>
      </c>
      <c r="F466" s="53">
        <v>2488000000</v>
      </c>
      <c r="G466" s="53">
        <v>0</v>
      </c>
      <c r="H466" s="53">
        <v>0</v>
      </c>
      <c r="I466" s="53">
        <v>0</v>
      </c>
      <c r="J466" s="53">
        <v>0</v>
      </c>
      <c r="K466" s="53">
        <v>0</v>
      </c>
      <c r="L466" s="53">
        <v>0</v>
      </c>
      <c r="M466" s="53">
        <v>0</v>
      </c>
      <c r="N466" s="53">
        <v>0</v>
      </c>
      <c r="O466" s="53">
        <v>0</v>
      </c>
      <c r="P466" s="53">
        <v>0</v>
      </c>
      <c r="Q466" s="53">
        <v>0</v>
      </c>
      <c r="R466" s="53">
        <v>0</v>
      </c>
      <c r="U466" s="17"/>
    </row>
    <row r="467" spans="1:21" x14ac:dyDescent="0.25">
      <c r="A467" s="25" t="s">
        <v>507</v>
      </c>
      <c r="B467" s="26">
        <v>2010</v>
      </c>
      <c r="C467" s="74" t="s">
        <v>20</v>
      </c>
      <c r="D467" s="27">
        <v>0</v>
      </c>
      <c r="E467" s="53">
        <v>4000000000</v>
      </c>
      <c r="F467" s="53">
        <v>4000000000</v>
      </c>
      <c r="G467" s="53">
        <v>0</v>
      </c>
      <c r="H467" s="53">
        <v>0</v>
      </c>
      <c r="I467" s="53">
        <v>0</v>
      </c>
      <c r="J467" s="53">
        <v>0</v>
      </c>
      <c r="K467" s="53">
        <v>0</v>
      </c>
      <c r="L467" s="53">
        <v>0</v>
      </c>
      <c r="M467" s="53">
        <v>0</v>
      </c>
      <c r="N467" s="53">
        <v>0</v>
      </c>
      <c r="O467" s="53">
        <v>0</v>
      </c>
      <c r="P467" s="53">
        <v>0</v>
      </c>
      <c r="Q467" s="53">
        <v>0</v>
      </c>
      <c r="R467" s="53">
        <v>0</v>
      </c>
      <c r="U467" s="17"/>
    </row>
    <row r="468" spans="1:21" x14ac:dyDescent="0.25">
      <c r="A468" s="25" t="s">
        <v>506</v>
      </c>
      <c r="B468" s="26">
        <v>2010</v>
      </c>
      <c r="C468" s="74" t="s">
        <v>20</v>
      </c>
      <c r="D468" s="27">
        <v>0</v>
      </c>
      <c r="E468" s="53">
        <v>700000000</v>
      </c>
      <c r="F468" s="53">
        <v>700000000</v>
      </c>
      <c r="G468" s="53">
        <v>0</v>
      </c>
      <c r="H468" s="53">
        <v>0</v>
      </c>
      <c r="I468" s="53">
        <v>0</v>
      </c>
      <c r="J468" s="53">
        <v>0</v>
      </c>
      <c r="K468" s="53">
        <v>0</v>
      </c>
      <c r="L468" s="53">
        <v>0</v>
      </c>
      <c r="M468" s="53">
        <v>0</v>
      </c>
      <c r="N468" s="53">
        <v>0</v>
      </c>
      <c r="O468" s="53">
        <v>0</v>
      </c>
      <c r="P468" s="53">
        <v>0</v>
      </c>
      <c r="Q468" s="53">
        <v>0</v>
      </c>
      <c r="R468" s="53">
        <v>0</v>
      </c>
      <c r="U468" s="17"/>
    </row>
    <row r="469" spans="1:21" x14ac:dyDescent="0.25">
      <c r="A469" s="25" t="s">
        <v>122</v>
      </c>
      <c r="B469" s="26">
        <v>2010</v>
      </c>
      <c r="C469" s="74" t="s">
        <v>121</v>
      </c>
      <c r="D469" s="27">
        <v>0</v>
      </c>
      <c r="E469" s="53">
        <v>3183700000</v>
      </c>
      <c r="F469" s="53">
        <v>3183700000</v>
      </c>
      <c r="G469" s="53">
        <v>242809435.84999999</v>
      </c>
      <c r="H469" s="53">
        <v>470841210.62</v>
      </c>
      <c r="I469" s="53">
        <v>292927114.64999998</v>
      </c>
      <c r="J469" s="53">
        <v>273177353.80000001</v>
      </c>
      <c r="K469" s="53">
        <v>271698385.94999999</v>
      </c>
      <c r="L469" s="53">
        <v>268881087.30000001</v>
      </c>
      <c r="M469" s="53">
        <v>271024168.25999999</v>
      </c>
      <c r="N469" s="53">
        <v>271339414.83999997</v>
      </c>
      <c r="O469" s="53">
        <v>0</v>
      </c>
      <c r="P469" s="53">
        <v>570580406.17999995</v>
      </c>
      <c r="Q469" s="53">
        <v>278090213.45999998</v>
      </c>
      <c r="R469" s="53">
        <v>584471519.22000003</v>
      </c>
      <c r="U469" s="17"/>
    </row>
    <row r="470" spans="1:21" x14ac:dyDescent="0.25">
      <c r="A470" s="25" t="s">
        <v>485</v>
      </c>
      <c r="B470" s="26">
        <v>2010</v>
      </c>
      <c r="C470" s="74" t="s">
        <v>484</v>
      </c>
      <c r="D470" s="27">
        <v>0</v>
      </c>
      <c r="E470" s="53">
        <v>447300000</v>
      </c>
      <c r="F470" s="53">
        <v>447300000</v>
      </c>
      <c r="G470" s="53">
        <v>0</v>
      </c>
      <c r="H470" s="53">
        <v>447301201</v>
      </c>
      <c r="I470" s="53">
        <v>0</v>
      </c>
      <c r="J470" s="53">
        <v>0</v>
      </c>
      <c r="K470" s="53">
        <v>0</v>
      </c>
      <c r="L470" s="53">
        <v>0</v>
      </c>
      <c r="M470" s="53">
        <v>0</v>
      </c>
      <c r="N470" s="53">
        <v>0</v>
      </c>
      <c r="O470" s="53">
        <v>0</v>
      </c>
      <c r="P470" s="53">
        <v>0</v>
      </c>
      <c r="Q470" s="53">
        <v>0</v>
      </c>
      <c r="R470" s="53">
        <v>0</v>
      </c>
      <c r="U470" s="17"/>
    </row>
    <row r="471" spans="1:21" x14ac:dyDescent="0.25">
      <c r="A471" s="25" t="s">
        <v>115</v>
      </c>
      <c r="B471" s="26">
        <v>2010</v>
      </c>
      <c r="C471" s="74" t="s">
        <v>114</v>
      </c>
      <c r="D471" s="27">
        <v>0</v>
      </c>
      <c r="E471" s="53">
        <v>1800000</v>
      </c>
      <c r="F471" s="53">
        <v>1800000</v>
      </c>
      <c r="G471" s="53">
        <v>0</v>
      </c>
      <c r="H471" s="53">
        <v>0</v>
      </c>
      <c r="I471" s="53">
        <v>1846681.44</v>
      </c>
      <c r="J471" s="53">
        <v>0</v>
      </c>
      <c r="K471" s="53">
        <v>0</v>
      </c>
      <c r="L471" s="53">
        <v>0</v>
      </c>
      <c r="M471" s="53">
        <v>0</v>
      </c>
      <c r="N471" s="53">
        <v>0</v>
      </c>
      <c r="O471" s="53">
        <v>0</v>
      </c>
      <c r="P471" s="53">
        <v>0</v>
      </c>
      <c r="Q471" s="53">
        <v>0</v>
      </c>
      <c r="R471" s="53">
        <v>0</v>
      </c>
      <c r="U471" s="17"/>
    </row>
    <row r="472" spans="1:21" x14ac:dyDescent="0.25">
      <c r="A472" s="25" t="s">
        <v>113</v>
      </c>
      <c r="B472" s="26">
        <v>2010</v>
      </c>
      <c r="C472" s="74" t="s">
        <v>112</v>
      </c>
      <c r="D472" s="27">
        <v>0</v>
      </c>
      <c r="E472" s="53">
        <v>200000</v>
      </c>
      <c r="F472" s="53">
        <v>200000</v>
      </c>
      <c r="G472" s="53">
        <v>0</v>
      </c>
      <c r="H472" s="53">
        <v>0</v>
      </c>
      <c r="I472" s="53">
        <v>242617.2</v>
      </c>
      <c r="J472" s="53">
        <v>0</v>
      </c>
      <c r="K472" s="53">
        <v>0</v>
      </c>
      <c r="L472" s="53">
        <v>0</v>
      </c>
      <c r="M472" s="53">
        <v>0</v>
      </c>
      <c r="N472" s="53">
        <v>0</v>
      </c>
      <c r="O472" s="53">
        <v>0</v>
      </c>
      <c r="P472" s="53">
        <v>0</v>
      </c>
      <c r="Q472" s="53">
        <v>0</v>
      </c>
      <c r="R472" s="53">
        <v>0</v>
      </c>
      <c r="U472" s="17"/>
    </row>
    <row r="473" spans="1:21" x14ac:dyDescent="0.25">
      <c r="A473" s="25" t="s">
        <v>111</v>
      </c>
      <c r="B473" s="26">
        <v>2010</v>
      </c>
      <c r="C473" s="74" t="s">
        <v>110</v>
      </c>
      <c r="D473" s="27">
        <v>0</v>
      </c>
      <c r="E473" s="53">
        <v>9300000</v>
      </c>
      <c r="F473" s="53">
        <v>9300000</v>
      </c>
      <c r="G473" s="53">
        <v>0</v>
      </c>
      <c r="H473" s="53">
        <v>0</v>
      </c>
      <c r="I473" s="53">
        <v>0</v>
      </c>
      <c r="J473" s="53">
        <v>0</v>
      </c>
      <c r="K473" s="53">
        <v>0</v>
      </c>
      <c r="L473" s="53">
        <v>0</v>
      </c>
      <c r="M473" s="53">
        <v>0</v>
      </c>
      <c r="N473" s="53">
        <v>0</v>
      </c>
      <c r="O473" s="53">
        <v>0</v>
      </c>
      <c r="P473" s="53">
        <v>0</v>
      </c>
      <c r="Q473" s="53">
        <v>0</v>
      </c>
      <c r="R473" s="53">
        <v>0</v>
      </c>
      <c r="U473" s="17"/>
    </row>
    <row r="474" spans="1:21" x14ac:dyDescent="0.25">
      <c r="A474" s="25" t="s">
        <v>109</v>
      </c>
      <c r="B474" s="26">
        <v>2010</v>
      </c>
      <c r="C474" s="74" t="s">
        <v>108</v>
      </c>
      <c r="D474" s="27">
        <v>0</v>
      </c>
      <c r="E474" s="53">
        <v>8000000</v>
      </c>
      <c r="F474" s="53">
        <v>8000000</v>
      </c>
      <c r="G474" s="53">
        <v>0</v>
      </c>
      <c r="H474" s="53">
        <v>0</v>
      </c>
      <c r="I474" s="53">
        <v>0</v>
      </c>
      <c r="J474" s="53">
        <v>7964478.6600000001</v>
      </c>
      <c r="K474" s="53">
        <v>0</v>
      </c>
      <c r="L474" s="53">
        <v>0</v>
      </c>
      <c r="M474" s="53">
        <v>0</v>
      </c>
      <c r="N474" s="53">
        <v>0</v>
      </c>
      <c r="O474" s="53">
        <v>0</v>
      </c>
      <c r="P474" s="53">
        <v>0</v>
      </c>
      <c r="Q474" s="53">
        <v>0</v>
      </c>
      <c r="R474" s="53">
        <v>0</v>
      </c>
      <c r="U474" s="17"/>
    </row>
    <row r="475" spans="1:21" x14ac:dyDescent="0.25">
      <c r="A475" s="25" t="s">
        <v>107</v>
      </c>
      <c r="B475" s="26">
        <v>2010</v>
      </c>
      <c r="C475" s="74" t="s">
        <v>106</v>
      </c>
      <c r="D475" s="27">
        <v>0</v>
      </c>
      <c r="E475" s="53">
        <v>5100000</v>
      </c>
      <c r="F475" s="53">
        <v>5100000</v>
      </c>
      <c r="G475" s="53">
        <v>0</v>
      </c>
      <c r="H475" s="53">
        <v>5132882.66</v>
      </c>
      <c r="I475" s="53">
        <v>0</v>
      </c>
      <c r="J475" s="53">
        <v>0</v>
      </c>
      <c r="K475" s="53">
        <v>0</v>
      </c>
      <c r="L475" s="53">
        <v>0</v>
      </c>
      <c r="M475" s="53">
        <v>0</v>
      </c>
      <c r="N475" s="53">
        <v>0</v>
      </c>
      <c r="O475" s="53">
        <v>0</v>
      </c>
      <c r="P475" s="53">
        <v>0</v>
      </c>
      <c r="Q475" s="53">
        <v>0</v>
      </c>
      <c r="R475" s="53">
        <v>0</v>
      </c>
      <c r="U475" s="17"/>
    </row>
    <row r="476" spans="1:21" x14ac:dyDescent="0.25">
      <c r="A476" s="25" t="s">
        <v>105</v>
      </c>
      <c r="B476" s="26">
        <v>2010</v>
      </c>
      <c r="C476" s="74" t="s">
        <v>104</v>
      </c>
      <c r="D476" s="27">
        <v>0</v>
      </c>
      <c r="E476" s="53">
        <v>13400000</v>
      </c>
      <c r="F476" s="53">
        <v>13400000</v>
      </c>
      <c r="G476" s="53">
        <v>0</v>
      </c>
      <c r="H476" s="53">
        <v>13418412.1</v>
      </c>
      <c r="I476" s="53">
        <v>0</v>
      </c>
      <c r="J476" s="53">
        <v>0</v>
      </c>
      <c r="K476" s="53">
        <v>0</v>
      </c>
      <c r="L476" s="53">
        <v>0</v>
      </c>
      <c r="M476" s="53">
        <v>0</v>
      </c>
      <c r="N476" s="53">
        <v>0</v>
      </c>
      <c r="O476" s="53">
        <v>0</v>
      </c>
      <c r="P476" s="53">
        <v>0</v>
      </c>
      <c r="Q476" s="53">
        <v>0</v>
      </c>
      <c r="R476" s="53">
        <v>0</v>
      </c>
      <c r="U476" s="17"/>
    </row>
    <row r="477" spans="1:21" x14ac:dyDescent="0.25">
      <c r="A477" s="25" t="s">
        <v>103</v>
      </c>
      <c r="B477" s="26">
        <v>2010</v>
      </c>
      <c r="C477" s="74" t="s">
        <v>102</v>
      </c>
      <c r="D477" s="27">
        <v>0</v>
      </c>
      <c r="E477" s="53">
        <v>36300000</v>
      </c>
      <c r="F477" s="53">
        <v>36300000</v>
      </c>
      <c r="G477" s="53">
        <v>0</v>
      </c>
      <c r="H477" s="53">
        <v>36324948.340000004</v>
      </c>
      <c r="I477" s="53">
        <v>0</v>
      </c>
      <c r="J477" s="53">
        <v>0</v>
      </c>
      <c r="K477" s="53">
        <v>0</v>
      </c>
      <c r="L477" s="53">
        <v>0</v>
      </c>
      <c r="M477" s="53">
        <v>0</v>
      </c>
      <c r="N477" s="53">
        <v>0</v>
      </c>
      <c r="O477" s="53">
        <v>0</v>
      </c>
      <c r="P477" s="53">
        <v>0</v>
      </c>
      <c r="Q477" s="53">
        <v>0</v>
      </c>
      <c r="R477" s="53">
        <v>0</v>
      </c>
      <c r="U477" s="17"/>
    </row>
    <row r="478" spans="1:21" x14ac:dyDescent="0.25">
      <c r="A478" s="25" t="s">
        <v>101</v>
      </c>
      <c r="B478" s="26">
        <v>2010</v>
      </c>
      <c r="C478" s="74" t="s">
        <v>100</v>
      </c>
      <c r="D478" s="27">
        <v>0</v>
      </c>
      <c r="E478" s="53">
        <v>5000000</v>
      </c>
      <c r="F478" s="53">
        <v>5000000</v>
      </c>
      <c r="G478" s="53">
        <v>0</v>
      </c>
      <c r="H478" s="53">
        <v>0</v>
      </c>
      <c r="I478" s="53">
        <v>0</v>
      </c>
      <c r="J478" s="53">
        <v>0</v>
      </c>
      <c r="K478" s="53">
        <v>0</v>
      </c>
      <c r="L478" s="53">
        <v>0</v>
      </c>
      <c r="M478" s="53">
        <v>0</v>
      </c>
      <c r="N478" s="53">
        <v>0</v>
      </c>
      <c r="O478" s="53">
        <v>0</v>
      </c>
      <c r="P478" s="53">
        <v>0</v>
      </c>
      <c r="Q478" s="53">
        <v>0</v>
      </c>
      <c r="R478" s="53">
        <v>5332346.28</v>
      </c>
      <c r="U478" s="17"/>
    </row>
    <row r="479" spans="1:21" x14ac:dyDescent="0.25">
      <c r="A479" s="25" t="s">
        <v>99</v>
      </c>
      <c r="B479" s="26">
        <v>2010</v>
      </c>
      <c r="C479" s="74" t="s">
        <v>98</v>
      </c>
      <c r="D479" s="27">
        <v>0</v>
      </c>
      <c r="E479" s="53">
        <v>8500000</v>
      </c>
      <c r="F479" s="53">
        <v>8500000</v>
      </c>
      <c r="G479" s="53">
        <v>0</v>
      </c>
      <c r="H479" s="53">
        <v>0</v>
      </c>
      <c r="I479" s="53">
        <v>0</v>
      </c>
      <c r="J479" s="53">
        <v>0</v>
      </c>
      <c r="K479" s="53">
        <v>0</v>
      </c>
      <c r="L479" s="53">
        <v>8494946.0199999996</v>
      </c>
      <c r="M479" s="53">
        <v>0</v>
      </c>
      <c r="N479" s="53">
        <v>0</v>
      </c>
      <c r="O479" s="53">
        <v>0</v>
      </c>
      <c r="P479" s="53">
        <v>0</v>
      </c>
      <c r="Q479" s="53">
        <v>0</v>
      </c>
      <c r="R479" s="53">
        <v>0</v>
      </c>
      <c r="U479" s="17"/>
    </row>
    <row r="480" spans="1:21" x14ac:dyDescent="0.25">
      <c r="A480" s="25" t="s">
        <v>97</v>
      </c>
      <c r="B480" s="26">
        <v>2010</v>
      </c>
      <c r="C480" s="74" t="s">
        <v>96</v>
      </c>
      <c r="D480" s="27">
        <v>0</v>
      </c>
      <c r="E480" s="53">
        <v>2600000</v>
      </c>
      <c r="F480" s="53">
        <v>2600000</v>
      </c>
      <c r="G480" s="53">
        <v>0</v>
      </c>
      <c r="H480" s="53">
        <v>0</v>
      </c>
      <c r="I480" s="53">
        <v>2630110.87</v>
      </c>
      <c r="J480" s="53">
        <v>0</v>
      </c>
      <c r="K480" s="53">
        <v>0</v>
      </c>
      <c r="L480" s="53">
        <v>0</v>
      </c>
      <c r="M480" s="53">
        <v>0</v>
      </c>
      <c r="N480" s="53">
        <v>0</v>
      </c>
      <c r="O480" s="53">
        <v>0</v>
      </c>
      <c r="P480" s="53">
        <v>0</v>
      </c>
      <c r="Q480" s="53">
        <v>0</v>
      </c>
      <c r="R480" s="53">
        <v>13660706.369999999</v>
      </c>
      <c r="U480" s="17"/>
    </row>
    <row r="481" spans="1:21" x14ac:dyDescent="0.25">
      <c r="A481" s="25" t="s">
        <v>95</v>
      </c>
      <c r="B481" s="26">
        <v>2010</v>
      </c>
      <c r="C481" s="74" t="s">
        <v>94</v>
      </c>
      <c r="D481" s="27">
        <v>0</v>
      </c>
      <c r="E481" s="53">
        <v>53900000</v>
      </c>
      <c r="F481" s="53">
        <v>53900000</v>
      </c>
      <c r="G481" s="53">
        <v>0</v>
      </c>
      <c r="H481" s="53">
        <v>0</v>
      </c>
      <c r="I481" s="53">
        <v>0</v>
      </c>
      <c r="J481" s="53">
        <v>0</v>
      </c>
      <c r="K481" s="53">
        <v>0</v>
      </c>
      <c r="L481" s="53">
        <v>0</v>
      </c>
      <c r="M481" s="53">
        <v>0</v>
      </c>
      <c r="N481" s="53">
        <v>0</v>
      </c>
      <c r="O481" s="53">
        <v>0</v>
      </c>
      <c r="P481" s="53">
        <v>0</v>
      </c>
      <c r="Q481" s="53">
        <v>0</v>
      </c>
      <c r="R481" s="53">
        <v>0</v>
      </c>
      <c r="U481" s="17"/>
    </row>
    <row r="482" spans="1:21" x14ac:dyDescent="0.25">
      <c r="A482" s="25" t="s">
        <v>93</v>
      </c>
      <c r="B482" s="26">
        <v>2010</v>
      </c>
      <c r="C482" s="74" t="s">
        <v>92</v>
      </c>
      <c r="D482" s="27">
        <v>0</v>
      </c>
      <c r="E482" s="53">
        <v>4800000</v>
      </c>
      <c r="F482" s="53">
        <v>4800000</v>
      </c>
      <c r="G482" s="53">
        <v>0</v>
      </c>
      <c r="H482" s="53">
        <v>0</v>
      </c>
      <c r="I482" s="53">
        <v>0</v>
      </c>
      <c r="J482" s="53">
        <v>0</v>
      </c>
      <c r="K482" s="53">
        <v>1199831.6499999999</v>
      </c>
      <c r="L482" s="53">
        <v>0</v>
      </c>
      <c r="M482" s="53">
        <v>1199831.6499999999</v>
      </c>
      <c r="N482" s="53">
        <v>0</v>
      </c>
      <c r="O482" s="53">
        <v>1199831.6499999999</v>
      </c>
      <c r="P482" s="53">
        <v>0</v>
      </c>
      <c r="Q482" s="53">
        <v>0</v>
      </c>
      <c r="R482" s="53">
        <v>0</v>
      </c>
      <c r="U482" s="17"/>
    </row>
    <row r="483" spans="1:21" x14ac:dyDescent="0.25">
      <c r="A483" s="25" t="s">
        <v>91</v>
      </c>
      <c r="B483" s="26">
        <v>2010</v>
      </c>
      <c r="C483" s="74" t="s">
        <v>90</v>
      </c>
      <c r="D483" s="27">
        <v>0</v>
      </c>
      <c r="E483" s="53">
        <v>3089400000</v>
      </c>
      <c r="F483" s="53">
        <v>3089400000</v>
      </c>
      <c r="G483" s="53">
        <v>0</v>
      </c>
      <c r="H483" s="53">
        <v>0</v>
      </c>
      <c r="I483" s="53">
        <v>3089431438</v>
      </c>
      <c r="J483" s="53">
        <v>0</v>
      </c>
      <c r="K483" s="53">
        <v>0</v>
      </c>
      <c r="L483" s="53">
        <v>0</v>
      </c>
      <c r="M483" s="53">
        <v>0</v>
      </c>
      <c r="N483" s="53">
        <v>0</v>
      </c>
      <c r="O483" s="53">
        <v>0</v>
      </c>
      <c r="P483" s="53">
        <v>0</v>
      </c>
      <c r="Q483" s="53">
        <v>0</v>
      </c>
      <c r="R483" s="53">
        <v>0</v>
      </c>
      <c r="U483" s="17"/>
    </row>
    <row r="484" spans="1:21" x14ac:dyDescent="0.25">
      <c r="A484" s="25" t="s">
        <v>89</v>
      </c>
      <c r="B484" s="26">
        <v>2010</v>
      </c>
      <c r="C484" s="74" t="s">
        <v>88</v>
      </c>
      <c r="D484" s="27">
        <v>0</v>
      </c>
      <c r="E484" s="53">
        <v>300500000</v>
      </c>
      <c r="F484" s="53">
        <v>300500000</v>
      </c>
      <c r="G484" s="53">
        <v>0</v>
      </c>
      <c r="H484" s="53">
        <v>0</v>
      </c>
      <c r="I484" s="53">
        <v>90291114.599999994</v>
      </c>
      <c r="J484" s="53">
        <v>0</v>
      </c>
      <c r="K484" s="53">
        <v>0</v>
      </c>
      <c r="L484" s="53">
        <v>32791939.039999999</v>
      </c>
      <c r="M484" s="53">
        <v>0</v>
      </c>
      <c r="N484" s="53">
        <v>0</v>
      </c>
      <c r="O484" s="53">
        <v>77800099.680000007</v>
      </c>
      <c r="P484" s="53">
        <v>0</v>
      </c>
      <c r="Q484" s="53">
        <v>34143822.82</v>
      </c>
      <c r="R484" s="53">
        <v>0</v>
      </c>
      <c r="U484" s="17"/>
    </row>
    <row r="485" spans="1:21" x14ac:dyDescent="0.25">
      <c r="A485" s="25" t="s">
        <v>83</v>
      </c>
      <c r="B485" s="26">
        <v>2010</v>
      </c>
      <c r="C485" s="74" t="s">
        <v>82</v>
      </c>
      <c r="D485" s="27">
        <v>0</v>
      </c>
      <c r="E485" s="53">
        <v>290000000</v>
      </c>
      <c r="F485" s="53">
        <v>290000000</v>
      </c>
      <c r="G485" s="53">
        <v>32114386.149999999</v>
      </c>
      <c r="H485" s="53">
        <v>4376456.33</v>
      </c>
      <c r="I485" s="53">
        <v>42033976.060000002</v>
      </c>
      <c r="J485" s="53">
        <v>17930528.109999999</v>
      </c>
      <c r="K485" s="53">
        <v>33290578.390000001</v>
      </c>
      <c r="L485" s="53">
        <v>29835154.59</v>
      </c>
      <c r="M485" s="53">
        <v>26745888.890000001</v>
      </c>
      <c r="N485" s="53">
        <v>15489877.9</v>
      </c>
      <c r="O485" s="53">
        <v>42846841.759999998</v>
      </c>
      <c r="P485" s="53">
        <v>20468591.329999998</v>
      </c>
      <c r="Q485" s="53">
        <v>43230943.359999999</v>
      </c>
      <c r="R485" s="53">
        <v>40762008.200000003</v>
      </c>
      <c r="U485" s="17"/>
    </row>
    <row r="486" spans="1:21" x14ac:dyDescent="0.25">
      <c r="A486" s="25" t="s">
        <v>80</v>
      </c>
      <c r="B486" s="26">
        <v>2010</v>
      </c>
      <c r="C486" s="74" t="s">
        <v>79</v>
      </c>
      <c r="D486" s="27">
        <v>0</v>
      </c>
      <c r="E486" s="53">
        <v>36400000</v>
      </c>
      <c r="F486" s="53">
        <v>36400000</v>
      </c>
      <c r="G486" s="53">
        <v>0</v>
      </c>
      <c r="H486" s="53">
        <v>0</v>
      </c>
      <c r="I486" s="53">
        <v>35284530</v>
      </c>
      <c r="J486" s="53">
        <v>0</v>
      </c>
      <c r="K486" s="53">
        <v>0</v>
      </c>
      <c r="L486" s="53">
        <v>0</v>
      </c>
      <c r="M486" s="53">
        <v>1177230.6200000001</v>
      </c>
      <c r="N486" s="53">
        <v>0</v>
      </c>
      <c r="O486" s="53">
        <v>0</v>
      </c>
      <c r="P486" s="53">
        <v>0</v>
      </c>
      <c r="Q486" s="53">
        <v>0</v>
      </c>
      <c r="R486" s="53">
        <v>0</v>
      </c>
      <c r="U486" s="17"/>
    </row>
    <row r="487" spans="1:21" x14ac:dyDescent="0.25">
      <c r="A487" s="25" t="s">
        <v>78</v>
      </c>
      <c r="B487" s="26">
        <v>2010</v>
      </c>
      <c r="C487" s="74" t="s">
        <v>77</v>
      </c>
      <c r="D487" s="27">
        <v>0</v>
      </c>
      <c r="E487" s="53">
        <v>115600000</v>
      </c>
      <c r="F487" s="53">
        <v>115600000</v>
      </c>
      <c r="G487" s="53">
        <v>0</v>
      </c>
      <c r="H487" s="53">
        <v>0</v>
      </c>
      <c r="I487" s="53">
        <v>0</v>
      </c>
      <c r="J487" s="53">
        <v>0</v>
      </c>
      <c r="K487" s="53">
        <v>115713372.83</v>
      </c>
      <c r="L487" s="53">
        <v>0</v>
      </c>
      <c r="M487" s="53">
        <v>0</v>
      </c>
      <c r="N487" s="53">
        <v>0</v>
      </c>
      <c r="O487" s="53">
        <v>0</v>
      </c>
      <c r="P487" s="53">
        <v>0</v>
      </c>
      <c r="Q487" s="53">
        <v>0</v>
      </c>
      <c r="R487" s="53">
        <v>0</v>
      </c>
      <c r="U487" s="17"/>
    </row>
    <row r="488" spans="1:21" x14ac:dyDescent="0.25">
      <c r="A488" s="25" t="s">
        <v>76</v>
      </c>
      <c r="B488" s="26">
        <v>2010</v>
      </c>
      <c r="C488" s="74" t="s">
        <v>75</v>
      </c>
      <c r="D488" s="27">
        <v>0</v>
      </c>
      <c r="E488" s="53">
        <v>13700000</v>
      </c>
      <c r="F488" s="53">
        <v>13700000</v>
      </c>
      <c r="G488" s="53">
        <v>0</v>
      </c>
      <c r="H488" s="53">
        <v>0</v>
      </c>
      <c r="I488" s="53">
        <v>0</v>
      </c>
      <c r="J488" s="53">
        <v>0</v>
      </c>
      <c r="K488" s="53">
        <v>0</v>
      </c>
      <c r="L488" s="53">
        <v>0</v>
      </c>
      <c r="M488" s="53">
        <v>0</v>
      </c>
      <c r="N488" s="53">
        <v>0</v>
      </c>
      <c r="O488" s="53">
        <v>0</v>
      </c>
      <c r="P488" s="53">
        <v>0</v>
      </c>
      <c r="Q488" s="53">
        <v>0</v>
      </c>
      <c r="R488" s="53">
        <v>0</v>
      </c>
      <c r="U488" s="17"/>
    </row>
    <row r="489" spans="1:21" x14ac:dyDescent="0.25">
      <c r="A489" s="25" t="s">
        <v>74</v>
      </c>
      <c r="B489" s="26">
        <v>2010</v>
      </c>
      <c r="C489" s="74" t="s">
        <v>73</v>
      </c>
      <c r="D489" s="27">
        <v>0</v>
      </c>
      <c r="E489" s="53">
        <v>35100000</v>
      </c>
      <c r="F489" s="53">
        <v>35100000</v>
      </c>
      <c r="G489" s="53">
        <v>0</v>
      </c>
      <c r="H489" s="53">
        <v>0</v>
      </c>
      <c r="I489" s="53">
        <v>35118953.649999999</v>
      </c>
      <c r="J489" s="53">
        <v>0</v>
      </c>
      <c r="K489" s="53">
        <v>0</v>
      </c>
      <c r="L489" s="53">
        <v>0</v>
      </c>
      <c r="M489" s="53">
        <v>0</v>
      </c>
      <c r="N489" s="53">
        <v>0</v>
      </c>
      <c r="O489" s="53">
        <v>0</v>
      </c>
      <c r="P489" s="53">
        <v>0</v>
      </c>
      <c r="Q489" s="53">
        <v>0</v>
      </c>
      <c r="R489" s="53">
        <v>0</v>
      </c>
      <c r="U489" s="17"/>
    </row>
    <row r="490" spans="1:21" x14ac:dyDescent="0.25">
      <c r="A490" s="25" t="s">
        <v>72</v>
      </c>
      <c r="B490" s="26">
        <v>2010</v>
      </c>
      <c r="C490" s="74" t="s">
        <v>71</v>
      </c>
      <c r="D490" s="27">
        <v>0</v>
      </c>
      <c r="E490" s="53">
        <v>15300000</v>
      </c>
      <c r="F490" s="53">
        <v>15300000</v>
      </c>
      <c r="G490" s="53">
        <v>10128732.560000001</v>
      </c>
      <c r="H490" s="53">
        <v>0</v>
      </c>
      <c r="I490" s="53">
        <v>0</v>
      </c>
      <c r="J490" s="53">
        <v>0</v>
      </c>
      <c r="K490" s="53">
        <v>0</v>
      </c>
      <c r="L490" s="53">
        <v>0</v>
      </c>
      <c r="M490" s="53">
        <v>0</v>
      </c>
      <c r="N490" s="53">
        <v>0</v>
      </c>
      <c r="O490" s="53">
        <v>0</v>
      </c>
      <c r="P490" s="53">
        <v>0</v>
      </c>
      <c r="Q490" s="53">
        <v>0</v>
      </c>
      <c r="R490" s="53">
        <v>0</v>
      </c>
      <c r="U490" s="17"/>
    </row>
    <row r="491" spans="1:21" x14ac:dyDescent="0.25">
      <c r="A491" s="25" t="s">
        <v>70</v>
      </c>
      <c r="B491" s="26">
        <v>2010</v>
      </c>
      <c r="C491" s="74" t="s">
        <v>69</v>
      </c>
      <c r="D491" s="27">
        <v>0</v>
      </c>
      <c r="E491" s="53">
        <v>3600000</v>
      </c>
      <c r="F491" s="53">
        <v>3600000</v>
      </c>
      <c r="G491" s="53">
        <v>0</v>
      </c>
      <c r="H491" s="53">
        <v>0</v>
      </c>
      <c r="I491" s="53">
        <v>0</v>
      </c>
      <c r="J491" s="53">
        <v>0</v>
      </c>
      <c r="K491" s="53">
        <v>0</v>
      </c>
      <c r="L491" s="53">
        <v>0</v>
      </c>
      <c r="M491" s="53">
        <v>0</v>
      </c>
      <c r="N491" s="53">
        <v>0</v>
      </c>
      <c r="O491" s="53">
        <v>0</v>
      </c>
      <c r="P491" s="53">
        <v>0</v>
      </c>
      <c r="Q491" s="53">
        <v>0</v>
      </c>
      <c r="R491" s="53">
        <v>0</v>
      </c>
      <c r="U491" s="17"/>
    </row>
    <row r="492" spans="1:21" x14ac:dyDescent="0.25">
      <c r="A492" s="25" t="s">
        <v>467</v>
      </c>
      <c r="B492" s="26">
        <v>2010</v>
      </c>
      <c r="C492" s="74" t="s">
        <v>20</v>
      </c>
      <c r="D492" s="27">
        <v>0</v>
      </c>
      <c r="E492" s="53">
        <v>124500000</v>
      </c>
      <c r="F492" s="53">
        <v>124500000</v>
      </c>
      <c r="G492" s="53">
        <v>0</v>
      </c>
      <c r="H492" s="53">
        <v>0</v>
      </c>
      <c r="I492" s="53">
        <v>0</v>
      </c>
      <c r="J492" s="53">
        <v>0</v>
      </c>
      <c r="K492" s="53">
        <v>0</v>
      </c>
      <c r="L492" s="53">
        <v>0</v>
      </c>
      <c r="M492" s="53">
        <v>0</v>
      </c>
      <c r="N492" s="53">
        <v>0</v>
      </c>
      <c r="O492" s="53">
        <v>0</v>
      </c>
      <c r="P492" s="53">
        <v>0</v>
      </c>
      <c r="Q492" s="53">
        <v>0</v>
      </c>
      <c r="R492" s="53">
        <v>0</v>
      </c>
      <c r="U492" s="17"/>
    </row>
    <row r="493" spans="1:21" x14ac:dyDescent="0.25">
      <c r="A493" s="25" t="s">
        <v>68</v>
      </c>
      <c r="B493" s="26">
        <v>2010</v>
      </c>
      <c r="C493" s="74" t="s">
        <v>67</v>
      </c>
      <c r="D493" s="27">
        <v>0</v>
      </c>
      <c r="E493" s="53">
        <v>503500000</v>
      </c>
      <c r="F493" s="53">
        <v>503500000</v>
      </c>
      <c r="G493" s="53">
        <v>0</v>
      </c>
      <c r="H493" s="53">
        <v>0</v>
      </c>
      <c r="I493" s="53">
        <v>332666231.13</v>
      </c>
      <c r="J493" s="53">
        <v>0</v>
      </c>
      <c r="K493" s="53">
        <v>0</v>
      </c>
      <c r="L493" s="53">
        <v>0</v>
      </c>
      <c r="M493" s="53">
        <v>0</v>
      </c>
      <c r="N493" s="53">
        <v>0</v>
      </c>
      <c r="O493" s="53">
        <v>0</v>
      </c>
      <c r="P493" s="53">
        <v>0</v>
      </c>
      <c r="Q493" s="53">
        <v>0</v>
      </c>
      <c r="R493" s="53">
        <v>0</v>
      </c>
      <c r="U493" s="17"/>
    </row>
    <row r="494" spans="1:21" x14ac:dyDescent="0.25">
      <c r="A494" s="25" t="s">
        <v>66</v>
      </c>
      <c r="B494" s="26">
        <v>2010</v>
      </c>
      <c r="C494" s="74" t="s">
        <v>65</v>
      </c>
      <c r="D494" s="27">
        <v>0</v>
      </c>
      <c r="E494" s="53">
        <v>84000000</v>
      </c>
      <c r="F494" s="53">
        <v>84000000</v>
      </c>
      <c r="G494" s="53">
        <v>7409541</v>
      </c>
      <c r="H494" s="53">
        <v>6967553.2599999998</v>
      </c>
      <c r="I494" s="53">
        <v>6967553.2599999998</v>
      </c>
      <c r="J494" s="53">
        <v>6967553.2599999998</v>
      </c>
      <c r="K494" s="53">
        <v>6967553.2599999998</v>
      </c>
      <c r="L494" s="53">
        <v>6967553.2599999998</v>
      </c>
      <c r="M494" s="53">
        <v>6967553.2599999998</v>
      </c>
      <c r="N494" s="53">
        <v>6967553.2599999998</v>
      </c>
      <c r="O494" s="53">
        <v>6967553.2599999998</v>
      </c>
      <c r="P494" s="53">
        <v>6967553.2599999998</v>
      </c>
      <c r="Q494" s="53">
        <v>6967553.2599999998</v>
      </c>
      <c r="R494" s="53">
        <v>6967553.2300000004</v>
      </c>
      <c r="U494" s="17"/>
    </row>
    <row r="495" spans="1:21" x14ac:dyDescent="0.25">
      <c r="A495" s="25" t="s">
        <v>64</v>
      </c>
      <c r="B495" s="26">
        <v>2010</v>
      </c>
      <c r="C495" s="74" t="s">
        <v>63</v>
      </c>
      <c r="D495" s="27">
        <v>0</v>
      </c>
      <c r="E495" s="53">
        <v>184900000</v>
      </c>
      <c r="F495" s="53">
        <v>184900000</v>
      </c>
      <c r="G495" s="53">
        <v>0</v>
      </c>
      <c r="H495" s="53">
        <v>0</v>
      </c>
      <c r="I495" s="53">
        <v>0</v>
      </c>
      <c r="J495" s="53">
        <v>122177212.17</v>
      </c>
      <c r="K495" s="53">
        <v>0</v>
      </c>
      <c r="L495" s="53">
        <v>0</v>
      </c>
      <c r="M495" s="53">
        <v>0</v>
      </c>
      <c r="N495" s="53">
        <v>0</v>
      </c>
      <c r="O495" s="53">
        <v>0</v>
      </c>
      <c r="P495" s="53">
        <v>0</v>
      </c>
      <c r="Q495" s="53">
        <v>0</v>
      </c>
      <c r="R495" s="53">
        <v>0</v>
      </c>
      <c r="U495" s="17"/>
    </row>
    <row r="496" spans="1:21" x14ac:dyDescent="0.25">
      <c r="A496" s="25" t="s">
        <v>62</v>
      </c>
      <c r="B496" s="26">
        <v>2010</v>
      </c>
      <c r="C496" s="74" t="s">
        <v>61</v>
      </c>
      <c r="D496" s="27">
        <v>0</v>
      </c>
      <c r="E496" s="53">
        <v>8100000</v>
      </c>
      <c r="F496" s="53">
        <v>8100000</v>
      </c>
      <c r="G496" s="53">
        <v>0</v>
      </c>
      <c r="H496" s="53">
        <v>0</v>
      </c>
      <c r="I496" s="53">
        <v>0</v>
      </c>
      <c r="J496" s="53">
        <v>0</v>
      </c>
      <c r="K496" s="53">
        <v>8111228.8600000003</v>
      </c>
      <c r="L496" s="53">
        <v>0</v>
      </c>
      <c r="M496" s="53">
        <v>0</v>
      </c>
      <c r="N496" s="53">
        <v>0</v>
      </c>
      <c r="O496" s="53">
        <v>0</v>
      </c>
      <c r="P496" s="53">
        <v>0</v>
      </c>
      <c r="Q496" s="53">
        <v>0</v>
      </c>
      <c r="R496" s="53">
        <v>0</v>
      </c>
      <c r="U496" s="17"/>
    </row>
    <row r="497" spans="1:21" x14ac:dyDescent="0.25">
      <c r="A497" s="25" t="s">
        <v>60</v>
      </c>
      <c r="B497" s="26">
        <v>2010</v>
      </c>
      <c r="C497" s="74" t="s">
        <v>59</v>
      </c>
      <c r="D497" s="27">
        <v>0</v>
      </c>
      <c r="E497" s="53">
        <v>8200000</v>
      </c>
      <c r="F497" s="53">
        <v>8200000</v>
      </c>
      <c r="G497" s="53">
        <v>0</v>
      </c>
      <c r="H497" s="53">
        <v>0</v>
      </c>
      <c r="I497" s="53">
        <v>0</v>
      </c>
      <c r="J497" s="53">
        <v>0</v>
      </c>
      <c r="K497" s="53">
        <v>8177385.0499999998</v>
      </c>
      <c r="L497" s="53">
        <v>0</v>
      </c>
      <c r="M497" s="53">
        <v>0</v>
      </c>
      <c r="N497" s="53">
        <v>0</v>
      </c>
      <c r="O497" s="53">
        <v>0</v>
      </c>
      <c r="P497" s="53">
        <v>0</v>
      </c>
      <c r="Q497" s="53">
        <v>0</v>
      </c>
      <c r="R497" s="53">
        <v>0</v>
      </c>
      <c r="U497" s="17"/>
    </row>
    <row r="498" spans="1:21" x14ac:dyDescent="0.25">
      <c r="A498" s="25" t="s">
        <v>505</v>
      </c>
      <c r="B498" s="26">
        <v>2010</v>
      </c>
      <c r="C498" s="74" t="s">
        <v>504</v>
      </c>
      <c r="D498" s="27">
        <v>0</v>
      </c>
      <c r="E498" s="53">
        <v>0</v>
      </c>
      <c r="F498" s="53">
        <v>0</v>
      </c>
      <c r="G498" s="53">
        <v>250</v>
      </c>
      <c r="H498" s="53">
        <v>0</v>
      </c>
      <c r="I498" s="53">
        <v>0</v>
      </c>
      <c r="J498" s="53">
        <v>0</v>
      </c>
      <c r="K498" s="53">
        <v>0</v>
      </c>
      <c r="L498" s="53">
        <v>0</v>
      </c>
      <c r="M498" s="53">
        <v>0</v>
      </c>
      <c r="N498" s="53">
        <v>0</v>
      </c>
      <c r="O498" s="53">
        <v>0</v>
      </c>
      <c r="P498" s="53">
        <v>0</v>
      </c>
      <c r="Q498" s="53">
        <v>0</v>
      </c>
      <c r="R498" s="53">
        <v>0</v>
      </c>
      <c r="U498" s="17"/>
    </row>
    <row r="499" spans="1:21" x14ac:dyDescent="0.25">
      <c r="A499" s="25" t="s">
        <v>503</v>
      </c>
      <c r="B499" s="26">
        <v>2010</v>
      </c>
      <c r="C499" s="74" t="s">
        <v>501</v>
      </c>
      <c r="D499" s="27">
        <v>0</v>
      </c>
      <c r="E499" s="53">
        <v>693764800</v>
      </c>
      <c r="F499" s="53">
        <v>693764800</v>
      </c>
      <c r="G499" s="53">
        <v>0</v>
      </c>
      <c r="H499" s="53">
        <v>0</v>
      </c>
      <c r="I499" s="53">
        <v>693764800</v>
      </c>
      <c r="J499" s="53">
        <v>0</v>
      </c>
      <c r="K499" s="53">
        <v>0</v>
      </c>
      <c r="L499" s="53">
        <v>0</v>
      </c>
      <c r="M499" s="53">
        <v>0</v>
      </c>
      <c r="N499" s="53">
        <v>0</v>
      </c>
      <c r="O499" s="53">
        <v>0</v>
      </c>
      <c r="P499" s="53">
        <v>0</v>
      </c>
      <c r="Q499" s="53">
        <v>0</v>
      </c>
      <c r="R499" s="53">
        <v>0</v>
      </c>
      <c r="U499" s="17"/>
    </row>
    <row r="500" spans="1:21" x14ac:dyDescent="0.25">
      <c r="A500" s="25" t="s">
        <v>502</v>
      </c>
      <c r="B500" s="26">
        <v>2010</v>
      </c>
      <c r="C500" s="74" t="s">
        <v>501</v>
      </c>
      <c r="D500" s="27">
        <v>0</v>
      </c>
      <c r="E500" s="53">
        <v>805499168.46000004</v>
      </c>
      <c r="F500" s="53">
        <v>805499168.46000004</v>
      </c>
      <c r="G500" s="53">
        <v>0</v>
      </c>
      <c r="H500" s="53">
        <v>0</v>
      </c>
      <c r="I500" s="53">
        <v>0</v>
      </c>
      <c r="J500" s="53">
        <v>0</v>
      </c>
      <c r="K500" s="53">
        <v>0</v>
      </c>
      <c r="L500" s="53">
        <v>0</v>
      </c>
      <c r="M500" s="53">
        <v>0</v>
      </c>
      <c r="N500" s="53">
        <v>0</v>
      </c>
      <c r="O500" s="53">
        <v>113421168</v>
      </c>
      <c r="P500" s="53">
        <v>692078000.46000004</v>
      </c>
      <c r="Q500" s="53">
        <v>318937418</v>
      </c>
      <c r="R500" s="53">
        <v>213250000</v>
      </c>
      <c r="U500" s="17"/>
    </row>
    <row r="501" spans="1:21" x14ac:dyDescent="0.25">
      <c r="A501" s="25" t="s">
        <v>461</v>
      </c>
      <c r="B501" s="26">
        <v>2010</v>
      </c>
      <c r="C501" s="74" t="s">
        <v>460</v>
      </c>
      <c r="D501" s="27">
        <v>0</v>
      </c>
      <c r="E501" s="53">
        <v>216994882.63</v>
      </c>
      <c r="F501" s="53">
        <v>216994882.63</v>
      </c>
      <c r="G501" s="53">
        <v>0</v>
      </c>
      <c r="H501" s="53">
        <v>0</v>
      </c>
      <c r="I501" s="53">
        <v>22044882.629999999</v>
      </c>
      <c r="J501" s="53">
        <v>81000000</v>
      </c>
      <c r="K501" s="53">
        <v>0</v>
      </c>
      <c r="L501" s="53">
        <v>0</v>
      </c>
      <c r="M501" s="53">
        <v>45950000</v>
      </c>
      <c r="N501" s="53">
        <v>16000000</v>
      </c>
      <c r="O501" s="53">
        <v>0</v>
      </c>
      <c r="P501" s="53">
        <v>0</v>
      </c>
      <c r="Q501" s="53">
        <v>0</v>
      </c>
      <c r="R501" s="53">
        <v>52000000</v>
      </c>
      <c r="U501" s="17"/>
    </row>
    <row r="502" spans="1:21" x14ac:dyDescent="0.25">
      <c r="A502" s="25" t="s">
        <v>49</v>
      </c>
      <c r="B502" s="26">
        <v>2010</v>
      </c>
      <c r="C502" s="74" t="s">
        <v>48</v>
      </c>
      <c r="D502" s="27">
        <v>0</v>
      </c>
      <c r="E502" s="53">
        <v>459439690150</v>
      </c>
      <c r="F502" s="53">
        <v>459439690150</v>
      </c>
      <c r="G502" s="53">
        <v>29785286077.209999</v>
      </c>
      <c r="H502" s="53">
        <v>10479175062.690001</v>
      </c>
      <c r="I502" s="53">
        <v>7155174606.3100004</v>
      </c>
      <c r="J502" s="53">
        <v>34063102945.459999</v>
      </c>
      <c r="K502" s="53">
        <v>1818071067.4000001</v>
      </c>
      <c r="L502" s="53">
        <v>5732393327.8599997</v>
      </c>
      <c r="M502" s="53">
        <v>74492037056.270004</v>
      </c>
      <c r="N502" s="53">
        <v>34507433316.519997</v>
      </c>
      <c r="O502" s="53">
        <v>28350367281.32</v>
      </c>
      <c r="P502" s="53">
        <v>44287398896.779999</v>
      </c>
      <c r="Q502" s="53">
        <v>59218112707.370003</v>
      </c>
      <c r="R502" s="53">
        <v>71143849095.029999</v>
      </c>
      <c r="U502" s="17"/>
    </row>
    <row r="503" spans="1:21" x14ac:dyDescent="0.25">
      <c r="A503" s="25" t="s">
        <v>43</v>
      </c>
      <c r="B503" s="26">
        <v>2010</v>
      </c>
      <c r="C503" s="74" t="s">
        <v>42</v>
      </c>
      <c r="D503" s="27">
        <v>0</v>
      </c>
      <c r="E503" s="53">
        <v>1553225964076</v>
      </c>
      <c r="F503" s="53">
        <v>1553225964076</v>
      </c>
      <c r="G503" s="53">
        <v>154400262098.98001</v>
      </c>
      <c r="H503" s="53">
        <v>73926271160.429993</v>
      </c>
      <c r="I503" s="53">
        <v>107517179391.05</v>
      </c>
      <c r="J503" s="53">
        <v>91640572953.110001</v>
      </c>
      <c r="K503" s="53">
        <v>49525295820.989998</v>
      </c>
      <c r="L503" s="53">
        <v>73371769597.039993</v>
      </c>
      <c r="M503" s="53">
        <v>113666222883.55</v>
      </c>
      <c r="N503" s="53">
        <v>80266515011.759995</v>
      </c>
      <c r="O503" s="53">
        <v>172190044886.98999</v>
      </c>
      <c r="P503" s="53">
        <v>200773680947.31</v>
      </c>
      <c r="Q503" s="53">
        <v>14283395778.43</v>
      </c>
      <c r="R503" s="53">
        <v>74706901773.940002</v>
      </c>
      <c r="U503" s="17"/>
    </row>
    <row r="504" spans="1:21" x14ac:dyDescent="0.25">
      <c r="A504" s="25" t="s">
        <v>457</v>
      </c>
      <c r="B504" s="26">
        <v>2010</v>
      </c>
      <c r="C504" s="74" t="s">
        <v>456</v>
      </c>
      <c r="D504" s="27">
        <v>0</v>
      </c>
      <c r="E504" s="54">
        <v>8789423791.6700001</v>
      </c>
      <c r="F504" s="53">
        <v>6528377648.1899996</v>
      </c>
      <c r="G504" s="53">
        <v>0</v>
      </c>
      <c r="H504" s="53">
        <v>0</v>
      </c>
      <c r="I504" s="53">
        <v>1098330154.8599999</v>
      </c>
      <c r="J504" s="53">
        <v>1170123054.6099999</v>
      </c>
      <c r="K504" s="53">
        <v>632065540.75999999</v>
      </c>
      <c r="L504" s="53">
        <v>260881311.19999999</v>
      </c>
      <c r="M504" s="53">
        <v>10680000</v>
      </c>
      <c r="N504" s="53">
        <v>973897257.77999997</v>
      </c>
      <c r="O504" s="53">
        <v>1783167576.46</v>
      </c>
      <c r="P504" s="53">
        <v>270133754.98000002</v>
      </c>
      <c r="Q504" s="53">
        <v>112531225.41</v>
      </c>
      <c r="R504" s="53">
        <v>216567772.13</v>
      </c>
      <c r="U504" s="17"/>
    </row>
    <row r="505" spans="1:21" x14ac:dyDescent="0.25">
      <c r="A505" s="25" t="s">
        <v>41</v>
      </c>
      <c r="B505" s="26">
        <v>2010</v>
      </c>
      <c r="C505" s="74" t="s">
        <v>40</v>
      </c>
      <c r="D505" s="27">
        <v>0</v>
      </c>
      <c r="E505" s="54">
        <v>20695900753.700001</v>
      </c>
      <c r="F505" s="53">
        <v>116594100</v>
      </c>
      <c r="G505" s="53">
        <v>0</v>
      </c>
      <c r="H505" s="53">
        <v>0</v>
      </c>
      <c r="I505" s="53">
        <v>116594100</v>
      </c>
      <c r="J505" s="53">
        <v>0</v>
      </c>
      <c r="K505" s="53">
        <v>0</v>
      </c>
      <c r="L505" s="53">
        <v>0</v>
      </c>
      <c r="M505" s="53">
        <v>0</v>
      </c>
      <c r="N505" s="53">
        <v>0</v>
      </c>
      <c r="O505" s="53">
        <v>0</v>
      </c>
      <c r="P505" s="53">
        <v>0</v>
      </c>
      <c r="Q505" s="53">
        <v>0</v>
      </c>
      <c r="R505" s="53">
        <v>0</v>
      </c>
    </row>
    <row r="506" spans="1:21" x14ac:dyDescent="0.25">
      <c r="A506" s="25" t="s">
        <v>419</v>
      </c>
      <c r="B506" s="26">
        <v>2010</v>
      </c>
      <c r="C506" s="74" t="s">
        <v>418</v>
      </c>
      <c r="D506" s="27">
        <v>0</v>
      </c>
      <c r="E506" s="54">
        <v>19368661138.41</v>
      </c>
      <c r="F506" s="53">
        <v>6258644785.9399996</v>
      </c>
      <c r="G506" s="53">
        <v>0</v>
      </c>
      <c r="H506" s="53">
        <v>0</v>
      </c>
      <c r="I506" s="53">
        <v>1046742320.16</v>
      </c>
      <c r="J506" s="53">
        <v>358033228.51999998</v>
      </c>
      <c r="K506" s="53">
        <v>734193760.42999995</v>
      </c>
      <c r="L506" s="53">
        <v>514707734.69999999</v>
      </c>
      <c r="M506" s="53">
        <v>1060902611.51</v>
      </c>
      <c r="N506" s="53">
        <v>524325822.07999998</v>
      </c>
      <c r="O506" s="53">
        <v>0</v>
      </c>
      <c r="P506" s="53">
        <v>1420611392.3199999</v>
      </c>
      <c r="Q506" s="53">
        <v>330796941.43000001</v>
      </c>
      <c r="R506" s="53">
        <v>268330974.78999999</v>
      </c>
    </row>
    <row r="507" spans="1:21" x14ac:dyDescent="0.25">
      <c r="A507" s="25" t="s">
        <v>455</v>
      </c>
      <c r="B507" s="26">
        <v>2010</v>
      </c>
      <c r="C507" s="74" t="s">
        <v>454</v>
      </c>
      <c r="D507" s="27">
        <v>0</v>
      </c>
      <c r="E507" s="54">
        <v>2518477169.9900002</v>
      </c>
      <c r="F507" s="53">
        <v>1015034287.49</v>
      </c>
      <c r="G507" s="53">
        <v>0</v>
      </c>
      <c r="H507" s="53">
        <v>0</v>
      </c>
      <c r="I507" s="53">
        <v>420031287.49000001</v>
      </c>
      <c r="J507" s="53">
        <v>259250000</v>
      </c>
      <c r="K507" s="53">
        <v>0</v>
      </c>
      <c r="L507" s="53">
        <v>0</v>
      </c>
      <c r="M507" s="53">
        <v>157284000</v>
      </c>
      <c r="N507" s="53">
        <v>0</v>
      </c>
      <c r="O507" s="53">
        <v>0</v>
      </c>
      <c r="P507" s="53">
        <v>178469000</v>
      </c>
      <c r="Q507" s="53">
        <v>0</v>
      </c>
      <c r="R507" s="53">
        <v>0</v>
      </c>
    </row>
    <row r="508" spans="1:21" x14ac:dyDescent="0.25">
      <c r="A508" s="25" t="s">
        <v>480</v>
      </c>
      <c r="B508" s="26">
        <v>2010</v>
      </c>
      <c r="C508" s="74" t="s">
        <v>479</v>
      </c>
      <c r="D508" s="27">
        <v>0</v>
      </c>
      <c r="E508" s="54">
        <v>28251564.77</v>
      </c>
      <c r="F508" s="53">
        <v>541845.81999999995</v>
      </c>
      <c r="G508" s="53">
        <v>0</v>
      </c>
      <c r="H508" s="53">
        <v>0</v>
      </c>
      <c r="I508" s="53">
        <v>0</v>
      </c>
      <c r="J508" s="53">
        <v>541845.81999999995</v>
      </c>
      <c r="K508" s="53">
        <v>0</v>
      </c>
      <c r="L508" s="53">
        <v>0</v>
      </c>
      <c r="M508" s="53">
        <v>0</v>
      </c>
      <c r="N508" s="53">
        <v>0</v>
      </c>
      <c r="O508" s="53">
        <v>0</v>
      </c>
      <c r="P508" s="53">
        <v>0</v>
      </c>
      <c r="Q508" s="53">
        <v>0</v>
      </c>
      <c r="R508" s="53">
        <v>0</v>
      </c>
    </row>
    <row r="509" spans="1:21" x14ac:dyDescent="0.25">
      <c r="A509" s="25" t="s">
        <v>478</v>
      </c>
      <c r="B509" s="26">
        <v>2010</v>
      </c>
      <c r="C509" s="74" t="s">
        <v>477</v>
      </c>
      <c r="D509" s="27">
        <v>0</v>
      </c>
      <c r="E509" s="54">
        <v>3891884396.25</v>
      </c>
      <c r="F509" s="53">
        <v>1899321378.8800001</v>
      </c>
      <c r="G509" s="53">
        <v>0</v>
      </c>
      <c r="H509" s="53">
        <v>0</v>
      </c>
      <c r="I509" s="53">
        <v>1097594173.5</v>
      </c>
      <c r="J509" s="53">
        <v>613730466.75</v>
      </c>
      <c r="K509" s="53">
        <v>116717386</v>
      </c>
      <c r="L509" s="53">
        <v>0</v>
      </c>
      <c r="M509" s="53">
        <v>40029767</v>
      </c>
      <c r="N509" s="53">
        <v>-5536200</v>
      </c>
      <c r="O509" s="53">
        <v>0</v>
      </c>
      <c r="P509" s="53">
        <v>0</v>
      </c>
      <c r="Q509" s="53">
        <v>0</v>
      </c>
      <c r="R509" s="53">
        <v>36785785.630000003</v>
      </c>
    </row>
    <row r="510" spans="1:21" x14ac:dyDescent="0.25">
      <c r="A510" s="25" t="s">
        <v>37</v>
      </c>
      <c r="B510" s="26">
        <v>2010</v>
      </c>
      <c r="C510" s="74" t="s">
        <v>36</v>
      </c>
      <c r="D510" s="27">
        <v>0</v>
      </c>
      <c r="E510" s="54">
        <v>5139055447.5</v>
      </c>
      <c r="F510" s="53">
        <v>80038797.909999996</v>
      </c>
      <c r="G510" s="53">
        <v>0</v>
      </c>
      <c r="H510" s="53">
        <v>0</v>
      </c>
      <c r="I510" s="53">
        <v>5669920.3399999999</v>
      </c>
      <c r="J510" s="53">
        <v>414000</v>
      </c>
      <c r="K510" s="53">
        <v>50451003.5</v>
      </c>
      <c r="L510" s="53">
        <v>3202267.33</v>
      </c>
      <c r="M510" s="53">
        <v>1376135.12</v>
      </c>
      <c r="N510" s="53">
        <v>3476505.62</v>
      </c>
      <c r="O510" s="53">
        <v>1615805</v>
      </c>
      <c r="P510" s="53">
        <v>3428752</v>
      </c>
      <c r="Q510" s="53">
        <v>2484360</v>
      </c>
      <c r="R510" s="53">
        <v>7920049</v>
      </c>
    </row>
    <row r="511" spans="1:21" x14ac:dyDescent="0.25">
      <c r="A511" s="25" t="s">
        <v>35</v>
      </c>
      <c r="B511" s="26">
        <v>2010</v>
      </c>
      <c r="C511" s="74" t="s">
        <v>34</v>
      </c>
      <c r="D511" s="27">
        <v>0</v>
      </c>
      <c r="E511" s="54">
        <v>154815000000</v>
      </c>
      <c r="F511" s="53">
        <v>0</v>
      </c>
      <c r="G511" s="53">
        <v>0</v>
      </c>
      <c r="H511" s="53">
        <v>0</v>
      </c>
      <c r="I511" s="53">
        <v>0</v>
      </c>
      <c r="J511" s="53">
        <v>0</v>
      </c>
      <c r="K511" s="53">
        <v>0</v>
      </c>
      <c r="L511" s="53">
        <v>0</v>
      </c>
      <c r="M511" s="53">
        <v>0</v>
      </c>
      <c r="N511" s="53">
        <v>0</v>
      </c>
      <c r="O511" s="53">
        <v>0</v>
      </c>
      <c r="P511" s="53">
        <v>0</v>
      </c>
      <c r="Q511" s="53">
        <v>0</v>
      </c>
      <c r="R511" s="53">
        <v>0</v>
      </c>
    </row>
    <row r="512" spans="1:21" x14ac:dyDescent="0.25">
      <c r="A512" s="25" t="s">
        <v>476</v>
      </c>
      <c r="B512" s="26">
        <v>2010</v>
      </c>
      <c r="C512" s="74" t="s">
        <v>475</v>
      </c>
      <c r="D512" s="27">
        <v>0</v>
      </c>
      <c r="E512" s="54">
        <v>1314168613.4000001</v>
      </c>
      <c r="F512" s="53">
        <v>1043848036.41</v>
      </c>
      <c r="G512" s="53">
        <v>0</v>
      </c>
      <c r="H512" s="53">
        <v>0</v>
      </c>
      <c r="I512" s="53">
        <v>0</v>
      </c>
      <c r="J512" s="53">
        <v>3477792</v>
      </c>
      <c r="K512" s="53">
        <v>-3477792</v>
      </c>
      <c r="L512" s="53">
        <v>0</v>
      </c>
      <c r="M512" s="53">
        <v>0</v>
      </c>
      <c r="N512" s="53">
        <v>0</v>
      </c>
      <c r="O512" s="53">
        <v>1210042952.77</v>
      </c>
      <c r="P512" s="53">
        <v>-12180089.310000001</v>
      </c>
      <c r="Q512" s="53">
        <v>0</v>
      </c>
      <c r="R512" s="53">
        <v>-154014827.05000001</v>
      </c>
    </row>
    <row r="513" spans="1:18" x14ac:dyDescent="0.25">
      <c r="A513" s="25" t="s">
        <v>383</v>
      </c>
      <c r="B513" s="26">
        <v>2010</v>
      </c>
      <c r="C513" s="74" t="s">
        <v>382</v>
      </c>
      <c r="D513" s="27">
        <v>0</v>
      </c>
      <c r="E513" s="54">
        <v>14110347123.49</v>
      </c>
      <c r="F513" s="53">
        <v>1098769255.8</v>
      </c>
      <c r="G513" s="53">
        <v>0</v>
      </c>
      <c r="H513" s="53">
        <v>0</v>
      </c>
      <c r="I513" s="53">
        <v>296212874.06999999</v>
      </c>
      <c r="J513" s="53">
        <v>0</v>
      </c>
      <c r="K513" s="53">
        <v>148947016.33000001</v>
      </c>
      <c r="L513" s="53">
        <v>0</v>
      </c>
      <c r="M513" s="53">
        <v>0</v>
      </c>
      <c r="N513" s="53">
        <v>0</v>
      </c>
      <c r="O513" s="53">
        <v>0</v>
      </c>
      <c r="P513" s="53">
        <v>0</v>
      </c>
      <c r="Q513" s="53">
        <v>653609365.39999998</v>
      </c>
      <c r="R513" s="53">
        <v>0</v>
      </c>
    </row>
    <row r="514" spans="1:18" x14ac:dyDescent="0.25">
      <c r="A514" s="25" t="s">
        <v>381</v>
      </c>
      <c r="B514" s="26">
        <v>2010</v>
      </c>
      <c r="C514" s="74" t="s">
        <v>380</v>
      </c>
      <c r="D514" s="27">
        <v>0</v>
      </c>
      <c r="E514" s="54">
        <v>14988480000</v>
      </c>
      <c r="F514" s="53">
        <v>2229824296.0700002</v>
      </c>
      <c r="G514" s="53">
        <v>0</v>
      </c>
      <c r="H514" s="53">
        <v>0</v>
      </c>
      <c r="I514" s="53">
        <v>0</v>
      </c>
      <c r="J514" s="53">
        <v>0</v>
      </c>
      <c r="K514" s="53">
        <v>0</v>
      </c>
      <c r="L514" s="53">
        <v>1078034463.9400001</v>
      </c>
      <c r="M514" s="53">
        <v>0</v>
      </c>
      <c r="N514" s="53">
        <v>22229163.800000001</v>
      </c>
      <c r="O514" s="53">
        <v>0</v>
      </c>
      <c r="P514" s="53">
        <v>0</v>
      </c>
      <c r="Q514" s="53">
        <v>1129560668.3299999</v>
      </c>
      <c r="R514" s="53">
        <v>0</v>
      </c>
    </row>
    <row r="515" spans="1:18" x14ac:dyDescent="0.25">
      <c r="A515" s="25" t="s">
        <v>15</v>
      </c>
      <c r="B515" s="26">
        <v>2010</v>
      </c>
      <c r="C515" s="74" t="s">
        <v>14</v>
      </c>
      <c r="D515" s="27">
        <v>0</v>
      </c>
      <c r="E515" s="54">
        <v>27432936000</v>
      </c>
      <c r="F515" s="53">
        <v>16438555288.59</v>
      </c>
      <c r="G515" s="53">
        <v>0</v>
      </c>
      <c r="H515" s="53">
        <v>0</v>
      </c>
      <c r="I515" s="53">
        <v>0</v>
      </c>
      <c r="J515" s="53">
        <v>4861555288.5900002</v>
      </c>
      <c r="K515" s="53">
        <v>0</v>
      </c>
      <c r="L515" s="53">
        <v>0</v>
      </c>
      <c r="M515" s="53">
        <v>0</v>
      </c>
      <c r="N515" s="53">
        <v>0</v>
      </c>
      <c r="O515" s="53">
        <v>0</v>
      </c>
      <c r="P515" s="53">
        <v>0</v>
      </c>
      <c r="Q515" s="53">
        <v>6000000000</v>
      </c>
      <c r="R515" s="53">
        <v>5577000000</v>
      </c>
    </row>
    <row r="516" spans="1:18" x14ac:dyDescent="0.25">
      <c r="A516" s="25" t="s">
        <v>417</v>
      </c>
      <c r="B516" s="26">
        <v>2010</v>
      </c>
      <c r="C516" s="74" t="s">
        <v>416</v>
      </c>
      <c r="D516" s="27">
        <v>0</v>
      </c>
      <c r="E516" s="54">
        <v>41736075000</v>
      </c>
      <c r="F516" s="53">
        <v>1348800000</v>
      </c>
      <c r="G516" s="53">
        <v>0</v>
      </c>
      <c r="H516" s="53">
        <v>0</v>
      </c>
      <c r="I516" s="53">
        <v>1348800000</v>
      </c>
      <c r="J516" s="53">
        <v>0</v>
      </c>
      <c r="K516" s="53">
        <v>0</v>
      </c>
      <c r="L516" s="53">
        <v>0</v>
      </c>
      <c r="M516" s="53">
        <v>0</v>
      </c>
      <c r="N516" s="53">
        <v>0</v>
      </c>
      <c r="O516" s="53">
        <v>0</v>
      </c>
      <c r="P516" s="53">
        <v>0</v>
      </c>
      <c r="Q516" s="53">
        <v>0</v>
      </c>
      <c r="R516" s="53">
        <v>0</v>
      </c>
    </row>
    <row r="517" spans="1:18" x14ac:dyDescent="0.25">
      <c r="A517" s="25" t="s">
        <v>489</v>
      </c>
      <c r="B517" s="26">
        <v>2010</v>
      </c>
      <c r="C517" s="74" t="s">
        <v>488</v>
      </c>
      <c r="D517" s="27">
        <v>0</v>
      </c>
      <c r="E517" s="54">
        <v>257379937500</v>
      </c>
      <c r="F517" s="53">
        <v>61448812020</v>
      </c>
      <c r="G517" s="53">
        <v>0</v>
      </c>
      <c r="H517" s="53">
        <v>0</v>
      </c>
      <c r="I517" s="53">
        <v>0</v>
      </c>
      <c r="J517" s="53">
        <v>0</v>
      </c>
      <c r="K517" s="53">
        <v>0</v>
      </c>
      <c r="L517" s="53">
        <v>0</v>
      </c>
      <c r="M517" s="53">
        <v>0</v>
      </c>
      <c r="N517" s="53">
        <v>0</v>
      </c>
      <c r="O517" s="53">
        <v>0</v>
      </c>
      <c r="P517" s="53">
        <v>0</v>
      </c>
      <c r="Q517" s="53">
        <v>0</v>
      </c>
      <c r="R517" s="53">
        <v>61448812020</v>
      </c>
    </row>
    <row r="518" spans="1:18" x14ac:dyDescent="0.25">
      <c r="A518" s="25" t="s">
        <v>10</v>
      </c>
      <c r="B518" s="26">
        <v>2010</v>
      </c>
      <c r="C518" s="74" t="s">
        <v>9</v>
      </c>
      <c r="D518" s="27">
        <v>0</v>
      </c>
      <c r="E518" s="54">
        <v>68397400274.860001</v>
      </c>
      <c r="F518" s="53">
        <v>378174547.35000002</v>
      </c>
      <c r="G518" s="53">
        <v>0</v>
      </c>
      <c r="H518" s="53">
        <v>0</v>
      </c>
      <c r="I518" s="53">
        <v>0</v>
      </c>
      <c r="J518" s="53">
        <v>0</v>
      </c>
      <c r="K518" s="53">
        <v>0</v>
      </c>
      <c r="L518" s="53">
        <v>0</v>
      </c>
      <c r="M518" s="53">
        <v>0</v>
      </c>
      <c r="N518" s="53">
        <v>0</v>
      </c>
      <c r="O518" s="53">
        <v>0</v>
      </c>
      <c r="P518" s="53">
        <v>0</v>
      </c>
      <c r="Q518" s="53">
        <v>222180531.03</v>
      </c>
      <c r="R518" s="53">
        <v>155994016.31999999</v>
      </c>
    </row>
    <row r="519" spans="1:18" x14ac:dyDescent="0.25">
      <c r="A519" s="25" t="s">
        <v>8</v>
      </c>
      <c r="B519" s="26">
        <v>2010</v>
      </c>
      <c r="C519" s="74" t="s">
        <v>7</v>
      </c>
      <c r="D519" s="27">
        <v>0</v>
      </c>
      <c r="E519" s="54">
        <v>27066822500</v>
      </c>
      <c r="F519" s="53">
        <v>0</v>
      </c>
      <c r="G519" s="53">
        <v>0</v>
      </c>
      <c r="H519" s="53">
        <v>0</v>
      </c>
      <c r="I519" s="53">
        <v>0</v>
      </c>
      <c r="J519" s="53">
        <v>0</v>
      </c>
      <c r="K519" s="53">
        <v>0</v>
      </c>
      <c r="L519" s="53">
        <v>0</v>
      </c>
      <c r="M519" s="53">
        <v>0</v>
      </c>
      <c r="N519" s="53">
        <v>0</v>
      </c>
      <c r="O519" s="53">
        <v>0</v>
      </c>
      <c r="P519" s="53">
        <v>0</v>
      </c>
      <c r="Q519" s="53">
        <v>0</v>
      </c>
      <c r="R519" s="53">
        <v>0</v>
      </c>
    </row>
    <row r="520" spans="1:18" x14ac:dyDescent="0.25">
      <c r="A520" s="25" t="s">
        <v>474</v>
      </c>
      <c r="B520" s="26">
        <v>2010</v>
      </c>
      <c r="C520" s="74" t="s">
        <v>473</v>
      </c>
      <c r="D520" s="27">
        <v>0</v>
      </c>
      <c r="E520" s="54">
        <v>900799.01</v>
      </c>
      <c r="F520" s="53">
        <v>0</v>
      </c>
      <c r="G520" s="53">
        <v>0</v>
      </c>
      <c r="H520" s="53">
        <v>0</v>
      </c>
      <c r="I520" s="53">
        <v>0</v>
      </c>
      <c r="J520" s="53">
        <v>0</v>
      </c>
      <c r="K520" s="53">
        <v>0</v>
      </c>
      <c r="L520" s="53">
        <v>0</v>
      </c>
      <c r="M520" s="53">
        <v>0</v>
      </c>
      <c r="N520" s="53">
        <v>0</v>
      </c>
      <c r="O520" s="53">
        <v>0</v>
      </c>
      <c r="P520" s="53">
        <v>0</v>
      </c>
      <c r="Q520" s="53">
        <v>0</v>
      </c>
      <c r="R520" s="53">
        <v>0</v>
      </c>
    </row>
    <row r="521" spans="1:18" x14ac:dyDescent="0.25">
      <c r="A521" s="25" t="s">
        <v>453</v>
      </c>
      <c r="B521" s="26">
        <v>2010</v>
      </c>
      <c r="C521" s="74" t="s">
        <v>452</v>
      </c>
      <c r="D521" s="27">
        <v>0</v>
      </c>
      <c r="E521" s="54">
        <v>3052721639.3600001</v>
      </c>
      <c r="F521" s="53">
        <v>1742672746.45</v>
      </c>
      <c r="G521" s="53">
        <v>0</v>
      </c>
      <c r="H521" s="53">
        <v>0</v>
      </c>
      <c r="I521" s="53">
        <v>453441455.04000002</v>
      </c>
      <c r="J521" s="53">
        <v>24369110.260000002</v>
      </c>
      <c r="K521" s="53">
        <v>379129374.31999999</v>
      </c>
      <c r="L521" s="53">
        <v>127700959.09999999</v>
      </c>
      <c r="M521" s="53">
        <v>28128251.050000001</v>
      </c>
      <c r="N521" s="53">
        <v>83937424.420000002</v>
      </c>
      <c r="O521" s="53">
        <v>74413948</v>
      </c>
      <c r="P521" s="53">
        <v>63943101.130000003</v>
      </c>
      <c r="Q521" s="53">
        <v>344304250.01999998</v>
      </c>
      <c r="R521" s="53">
        <v>163304873.11000001</v>
      </c>
    </row>
    <row r="522" spans="1:18" x14ac:dyDescent="0.25">
      <c r="A522" s="25" t="s">
        <v>3</v>
      </c>
      <c r="B522" s="26">
        <v>2010</v>
      </c>
      <c r="C522" s="74" t="s">
        <v>0</v>
      </c>
      <c r="D522" s="27">
        <v>0</v>
      </c>
      <c r="E522" s="54">
        <v>4848014277.3999996</v>
      </c>
      <c r="F522" s="53">
        <v>869987875.60000002</v>
      </c>
      <c r="G522" s="53">
        <v>0</v>
      </c>
      <c r="H522" s="53">
        <v>0</v>
      </c>
      <c r="I522" s="53">
        <v>0</v>
      </c>
      <c r="J522" s="53">
        <v>0</v>
      </c>
      <c r="K522" s="53">
        <v>0</v>
      </c>
      <c r="L522" s="53">
        <v>0</v>
      </c>
      <c r="M522" s="53">
        <v>0</v>
      </c>
      <c r="N522" s="53">
        <v>0</v>
      </c>
      <c r="O522" s="53">
        <v>869987875.60000002</v>
      </c>
      <c r="P522" s="53">
        <v>0</v>
      </c>
      <c r="Q522" s="53">
        <v>0</v>
      </c>
      <c r="R522" s="53">
        <v>0</v>
      </c>
    </row>
    <row r="523" spans="1:18" x14ac:dyDescent="0.25">
      <c r="A523" s="25" t="s">
        <v>360</v>
      </c>
      <c r="B523" s="26">
        <v>2011</v>
      </c>
      <c r="C523" s="74" t="s">
        <v>359</v>
      </c>
      <c r="D523" s="27">
        <v>0</v>
      </c>
      <c r="E523" s="53">
        <v>140000000000</v>
      </c>
      <c r="F523" s="53">
        <v>140000000000</v>
      </c>
      <c r="G523" s="53">
        <v>11778736395.33</v>
      </c>
      <c r="H523" s="53">
        <v>9126854160.3899994</v>
      </c>
      <c r="I523" s="53">
        <v>9952533869.8299999</v>
      </c>
      <c r="J523" s="53">
        <v>11707405928.799999</v>
      </c>
      <c r="K523" s="53">
        <v>10870098831.719999</v>
      </c>
      <c r="L523" s="53">
        <v>13091120889.4</v>
      </c>
      <c r="M523" s="53">
        <v>10738010667.799999</v>
      </c>
      <c r="N523" s="53">
        <v>12115538097.09</v>
      </c>
      <c r="O523" s="53">
        <v>11730758750.110001</v>
      </c>
      <c r="P523" s="53">
        <v>11125474325.370001</v>
      </c>
      <c r="Q523" s="53">
        <v>11370578638.99</v>
      </c>
      <c r="R523" s="53">
        <v>2796209876.9299998</v>
      </c>
    </row>
    <row r="524" spans="1:18" x14ac:dyDescent="0.25">
      <c r="A524" s="25" t="s">
        <v>358</v>
      </c>
      <c r="B524" s="26">
        <v>2011</v>
      </c>
      <c r="C524" s="74" t="s">
        <v>357</v>
      </c>
      <c r="D524" s="27">
        <v>0</v>
      </c>
      <c r="E524" s="53">
        <v>80000000000</v>
      </c>
      <c r="F524" s="53">
        <v>80000000000</v>
      </c>
      <c r="G524" s="53">
        <v>10513938848.360001</v>
      </c>
      <c r="H524" s="53">
        <v>5578436846.71</v>
      </c>
      <c r="I524" s="53">
        <v>9083123205.2000008</v>
      </c>
      <c r="J524" s="53">
        <v>5334533988.5799999</v>
      </c>
      <c r="K524" s="53">
        <v>5023211617.2799997</v>
      </c>
      <c r="L524" s="53">
        <v>4636396530.0600004</v>
      </c>
      <c r="M524" s="53">
        <v>6767894481.6599998</v>
      </c>
      <c r="N524" s="53">
        <v>6050591585.3699999</v>
      </c>
      <c r="O524" s="53">
        <v>6396218849.8500004</v>
      </c>
      <c r="P524" s="53">
        <v>8234141170.2299995</v>
      </c>
      <c r="Q524" s="53">
        <v>9189809811.6499996</v>
      </c>
      <c r="R524" s="53">
        <v>6392512782.3400002</v>
      </c>
    </row>
    <row r="525" spans="1:18" x14ac:dyDescent="0.25">
      <c r="A525" s="25" t="s">
        <v>356</v>
      </c>
      <c r="B525" s="26">
        <v>2011</v>
      </c>
      <c r="C525" s="74" t="s">
        <v>355</v>
      </c>
      <c r="D525" s="27">
        <v>0</v>
      </c>
      <c r="E525" s="53">
        <v>27500000000</v>
      </c>
      <c r="F525" s="53">
        <v>27500000000</v>
      </c>
      <c r="G525" s="53">
        <v>364521694.12</v>
      </c>
      <c r="H525" s="53">
        <v>1488734254.5</v>
      </c>
      <c r="I525" s="53">
        <v>927869529.62</v>
      </c>
      <c r="J525" s="53">
        <v>2225167913.9099998</v>
      </c>
      <c r="K525" s="53">
        <v>535407351.5</v>
      </c>
      <c r="L525" s="53">
        <v>1624444991.22</v>
      </c>
      <c r="M525" s="53">
        <v>2019444489.48</v>
      </c>
      <c r="N525" s="53">
        <v>461463628.75</v>
      </c>
      <c r="O525" s="53">
        <v>-125468498.76000001</v>
      </c>
      <c r="P525" s="53">
        <v>4425399392.75</v>
      </c>
      <c r="Q525" s="53">
        <v>122378108.68000001</v>
      </c>
      <c r="R525" s="53">
        <v>9813010445.5300007</v>
      </c>
    </row>
    <row r="526" spans="1:18" x14ac:dyDescent="0.25">
      <c r="A526" s="25" t="s">
        <v>353</v>
      </c>
      <c r="B526" s="26">
        <v>2011</v>
      </c>
      <c r="C526" s="74" t="s">
        <v>352</v>
      </c>
      <c r="D526" s="27">
        <v>0</v>
      </c>
      <c r="E526" s="53">
        <v>39760000000</v>
      </c>
      <c r="F526" s="53">
        <v>39760000000</v>
      </c>
      <c r="G526" s="53">
        <v>963366659</v>
      </c>
      <c r="H526" s="53">
        <v>1784294183.8</v>
      </c>
      <c r="I526" s="53">
        <v>8636790639.4699993</v>
      </c>
      <c r="J526" s="53">
        <v>3036691030.9899998</v>
      </c>
      <c r="K526" s="53">
        <v>2443099307.25</v>
      </c>
      <c r="L526" s="53">
        <v>10480823971.379999</v>
      </c>
      <c r="M526" s="53">
        <v>1482171300.8800001</v>
      </c>
      <c r="N526" s="53">
        <v>2466467927.0300002</v>
      </c>
      <c r="O526" s="53">
        <v>7949830738.7299995</v>
      </c>
      <c r="P526" s="53">
        <v>2955680266.0500002</v>
      </c>
      <c r="Q526" s="53">
        <v>2439201492.79</v>
      </c>
      <c r="R526" s="53">
        <v>24981397325.389999</v>
      </c>
    </row>
    <row r="527" spans="1:18" x14ac:dyDescent="0.25">
      <c r="A527" s="25" t="s">
        <v>351</v>
      </c>
      <c r="B527" s="26">
        <v>2011</v>
      </c>
      <c r="C527" s="74" t="s">
        <v>350</v>
      </c>
      <c r="D527" s="27">
        <v>0</v>
      </c>
      <c r="E527" s="53">
        <v>403283000000</v>
      </c>
      <c r="F527" s="53">
        <v>403283000000</v>
      </c>
      <c r="G527" s="53">
        <v>8314387887.1499996</v>
      </c>
      <c r="H527" s="53">
        <v>5466642588.7399998</v>
      </c>
      <c r="I527" s="53">
        <v>73240147149.669998</v>
      </c>
      <c r="J527" s="53">
        <v>18234867387.369999</v>
      </c>
      <c r="K527" s="53">
        <v>3985104741.2399998</v>
      </c>
      <c r="L527" s="53">
        <v>62135651744.059998</v>
      </c>
      <c r="M527" s="53">
        <v>12018174202.99</v>
      </c>
      <c r="N527" s="53">
        <v>6164191322.3800001</v>
      </c>
      <c r="O527" s="53">
        <v>76821756805.970001</v>
      </c>
      <c r="P527" s="53">
        <v>7351451092.54</v>
      </c>
      <c r="Q527" s="53">
        <v>11648666104.73</v>
      </c>
      <c r="R527" s="53">
        <v>130615280444.17</v>
      </c>
    </row>
    <row r="528" spans="1:18" x14ac:dyDescent="0.25">
      <c r="A528" s="25" t="s">
        <v>348</v>
      </c>
      <c r="B528" s="26">
        <v>2011</v>
      </c>
      <c r="C528" s="74" t="s">
        <v>344</v>
      </c>
      <c r="D528" s="27">
        <v>0</v>
      </c>
      <c r="E528" s="53">
        <v>1100000000</v>
      </c>
      <c r="F528" s="53">
        <v>1100000000</v>
      </c>
      <c r="G528" s="53">
        <v>7312944</v>
      </c>
      <c r="H528" s="53">
        <v>236415713.84</v>
      </c>
      <c r="I528" s="53">
        <v>9610126</v>
      </c>
      <c r="J528" s="53">
        <v>9669507</v>
      </c>
      <c r="K528" s="53">
        <v>6765125</v>
      </c>
      <c r="L528" s="53">
        <v>8448949</v>
      </c>
      <c r="M528" s="53">
        <v>9111250</v>
      </c>
      <c r="N528" s="53">
        <v>11968760</v>
      </c>
      <c r="O528" s="53">
        <v>12756838</v>
      </c>
      <c r="P528" s="53">
        <v>10308384</v>
      </c>
      <c r="Q528" s="53">
        <v>13864241</v>
      </c>
      <c r="R528" s="53">
        <v>10679682</v>
      </c>
    </row>
    <row r="529" spans="1:18" x14ac:dyDescent="0.25">
      <c r="A529" s="25" t="s">
        <v>347</v>
      </c>
      <c r="B529" s="26">
        <v>2011</v>
      </c>
      <c r="C529" s="74" t="s">
        <v>342</v>
      </c>
      <c r="D529" s="27">
        <v>0</v>
      </c>
      <c r="E529" s="53">
        <v>11000000000</v>
      </c>
      <c r="F529" s="53">
        <v>11000000000</v>
      </c>
      <c r="G529" s="53">
        <v>538282227.64999998</v>
      </c>
      <c r="H529" s="53">
        <v>479080532.25</v>
      </c>
      <c r="I529" s="53">
        <v>1280952750.3900001</v>
      </c>
      <c r="J529" s="53">
        <v>2568593873.2199998</v>
      </c>
      <c r="K529" s="53">
        <v>682605819.35000002</v>
      </c>
      <c r="L529" s="53">
        <v>1932634635.4300001</v>
      </c>
      <c r="M529" s="53">
        <v>958048526.86000001</v>
      </c>
      <c r="N529" s="53">
        <v>300364911.10000002</v>
      </c>
      <c r="O529" s="53">
        <v>-982026.65</v>
      </c>
      <c r="P529" s="53">
        <v>1051395405.9299999</v>
      </c>
      <c r="Q529" s="53">
        <v>651040175.48000002</v>
      </c>
      <c r="R529" s="53">
        <v>4869283222.4300003</v>
      </c>
    </row>
    <row r="530" spans="1:18" x14ac:dyDescent="0.25">
      <c r="A530" s="25" t="s">
        <v>345</v>
      </c>
      <c r="B530" s="26">
        <v>2011</v>
      </c>
      <c r="C530" s="74" t="s">
        <v>344</v>
      </c>
      <c r="D530" s="27">
        <v>0</v>
      </c>
      <c r="E530" s="53">
        <v>36800000000</v>
      </c>
      <c r="F530" s="53">
        <v>36800000000</v>
      </c>
      <c r="G530" s="53">
        <v>658513335.61000001</v>
      </c>
      <c r="H530" s="53">
        <v>4543225432.6000004</v>
      </c>
      <c r="I530" s="53">
        <v>999319097.30999994</v>
      </c>
      <c r="J530" s="53">
        <v>9217616125.4400005</v>
      </c>
      <c r="K530" s="53">
        <v>4024954905.3499999</v>
      </c>
      <c r="L530" s="53">
        <v>4888550482.0699997</v>
      </c>
      <c r="M530" s="53">
        <v>3083805526.25</v>
      </c>
      <c r="N530" s="53">
        <v>1896473985.3699999</v>
      </c>
      <c r="O530" s="53">
        <v>-10933092.15</v>
      </c>
      <c r="P530" s="53">
        <v>12860214655.91</v>
      </c>
      <c r="Q530" s="53">
        <v>-2644602771.96</v>
      </c>
      <c r="R530" s="53">
        <v>2070539772.8299999</v>
      </c>
    </row>
    <row r="531" spans="1:18" x14ac:dyDescent="0.25">
      <c r="A531" s="25" t="s">
        <v>343</v>
      </c>
      <c r="B531" s="26">
        <v>2011</v>
      </c>
      <c r="C531" s="74" t="s">
        <v>342</v>
      </c>
      <c r="D531" s="27">
        <v>0</v>
      </c>
      <c r="E531" s="53">
        <v>10200000000</v>
      </c>
      <c r="F531" s="53">
        <v>10200000000</v>
      </c>
      <c r="G531" s="53">
        <v>679966225.52999997</v>
      </c>
      <c r="H531" s="53">
        <v>664887304.94000006</v>
      </c>
      <c r="I531" s="53">
        <v>506623560.97000003</v>
      </c>
      <c r="J531" s="53">
        <v>647951720.08000004</v>
      </c>
      <c r="K531" s="53">
        <v>612193732.80999994</v>
      </c>
      <c r="L531" s="53">
        <v>544409370.67999995</v>
      </c>
      <c r="M531" s="53">
        <v>693867848.00999999</v>
      </c>
      <c r="N531" s="53">
        <v>650977075.96000004</v>
      </c>
      <c r="O531" s="53">
        <v>604855052.13999999</v>
      </c>
      <c r="P531" s="53">
        <v>626265106.07000005</v>
      </c>
      <c r="Q531" s="53">
        <v>676489772.77999997</v>
      </c>
      <c r="R531" s="53">
        <v>760595524.38</v>
      </c>
    </row>
    <row r="532" spans="1:18" x14ac:dyDescent="0.25">
      <c r="A532" s="25" t="s">
        <v>500</v>
      </c>
      <c r="B532" s="26">
        <v>2011</v>
      </c>
      <c r="C532" s="74" t="s">
        <v>339</v>
      </c>
      <c r="D532" s="27">
        <v>0</v>
      </c>
      <c r="E532" s="53">
        <v>50000000000</v>
      </c>
      <c r="F532" s="53">
        <v>50000000000</v>
      </c>
      <c r="G532" s="53">
        <v>8358768862.54</v>
      </c>
      <c r="H532" s="53">
        <v>2665929400.1700001</v>
      </c>
      <c r="I532" s="53">
        <v>2557257264.6700001</v>
      </c>
      <c r="J532" s="53">
        <v>4348413906.5900002</v>
      </c>
      <c r="K532" s="53">
        <v>3309405352.9099998</v>
      </c>
      <c r="L532" s="53">
        <v>2939565898.27</v>
      </c>
      <c r="M532" s="53">
        <v>3756026793.0700002</v>
      </c>
      <c r="N532" s="53">
        <v>3058630525.9200001</v>
      </c>
      <c r="O532" s="53">
        <v>2553759738.5100002</v>
      </c>
      <c r="P532" s="53">
        <v>5876771027.75</v>
      </c>
      <c r="Q532" s="53">
        <v>915352503.40999997</v>
      </c>
      <c r="R532" s="53">
        <v>3949458495.52</v>
      </c>
    </row>
    <row r="533" spans="1:18" x14ac:dyDescent="0.25">
      <c r="A533" s="25" t="s">
        <v>338</v>
      </c>
      <c r="B533" s="26">
        <v>2011</v>
      </c>
      <c r="C533" s="74" t="s">
        <v>337</v>
      </c>
      <c r="D533" s="27">
        <v>0</v>
      </c>
      <c r="E533" s="53">
        <v>357000000</v>
      </c>
      <c r="F533" s="53">
        <v>357000000</v>
      </c>
      <c r="G533" s="53">
        <v>385381250</v>
      </c>
      <c r="H533" s="53">
        <v>0</v>
      </c>
      <c r="I533" s="53">
        <v>0</v>
      </c>
      <c r="J533" s="53">
        <v>0</v>
      </c>
      <c r="K533" s="53">
        <v>0</v>
      </c>
      <c r="L533" s="53">
        <v>0</v>
      </c>
      <c r="M533" s="53">
        <v>0</v>
      </c>
      <c r="N533" s="53">
        <v>0</v>
      </c>
      <c r="O533" s="53">
        <v>0</v>
      </c>
      <c r="P533" s="53">
        <v>0</v>
      </c>
      <c r="Q533" s="53">
        <v>0</v>
      </c>
      <c r="R533" s="53">
        <v>0</v>
      </c>
    </row>
    <row r="534" spans="1:18" x14ac:dyDescent="0.25">
      <c r="A534" s="25" t="s">
        <v>335</v>
      </c>
      <c r="B534" s="26">
        <v>2011</v>
      </c>
      <c r="C534" s="74" t="s">
        <v>334</v>
      </c>
      <c r="D534" s="27">
        <v>0</v>
      </c>
      <c r="E534" s="53">
        <v>2500000000</v>
      </c>
      <c r="F534" s="53">
        <v>2500000000</v>
      </c>
      <c r="G534" s="53">
        <v>2084161430.53</v>
      </c>
      <c r="H534" s="53">
        <v>111190547.86</v>
      </c>
      <c r="I534" s="53">
        <v>54883590</v>
      </c>
      <c r="J534" s="53">
        <v>40895441</v>
      </c>
      <c r="K534" s="53">
        <v>13555998</v>
      </c>
      <c r="L534" s="53">
        <v>12949930.49</v>
      </c>
      <c r="M534" s="53">
        <v>-1900645.84</v>
      </c>
      <c r="N534" s="53">
        <v>7318108</v>
      </c>
      <c r="O534" s="53">
        <v>12556929</v>
      </c>
      <c r="P534" s="53">
        <v>10003372.810000001</v>
      </c>
      <c r="Q534" s="53">
        <v>10637552</v>
      </c>
      <c r="R534" s="53">
        <v>118794418.09999999</v>
      </c>
    </row>
    <row r="535" spans="1:18" x14ac:dyDescent="0.25">
      <c r="A535" s="25" t="s">
        <v>332</v>
      </c>
      <c r="B535" s="26">
        <v>2011</v>
      </c>
      <c r="C535" s="74" t="s">
        <v>331</v>
      </c>
      <c r="D535" s="27">
        <v>0</v>
      </c>
      <c r="E535" s="53">
        <v>94000000000</v>
      </c>
      <c r="F535" s="53">
        <v>94000000000</v>
      </c>
      <c r="G535" s="53">
        <v>3741475792</v>
      </c>
      <c r="H535" s="53">
        <v>2715533193</v>
      </c>
      <c r="I535" s="53">
        <v>1682985810</v>
      </c>
      <c r="J535" s="53">
        <v>1758471377</v>
      </c>
      <c r="K535" s="53">
        <v>1257071392</v>
      </c>
      <c r="L535" s="53">
        <v>1490278388.0799999</v>
      </c>
      <c r="M535" s="53">
        <v>1093178742</v>
      </c>
      <c r="N535" s="53">
        <v>825266085</v>
      </c>
      <c r="O535" s="53">
        <v>840760381.97000003</v>
      </c>
      <c r="P535" s="53">
        <v>708602355</v>
      </c>
      <c r="Q535" s="53">
        <v>3471531861</v>
      </c>
      <c r="R535" s="53">
        <v>65567330674.709999</v>
      </c>
    </row>
    <row r="536" spans="1:18" x14ac:dyDescent="0.25">
      <c r="A536" s="25" t="s">
        <v>329</v>
      </c>
      <c r="B536" s="26">
        <v>2011</v>
      </c>
      <c r="C536" s="74" t="s">
        <v>328</v>
      </c>
      <c r="D536" s="27">
        <v>0</v>
      </c>
      <c r="E536" s="53">
        <v>135000000</v>
      </c>
      <c r="F536" s="53">
        <v>135000000</v>
      </c>
      <c r="G536" s="53">
        <v>6703511</v>
      </c>
      <c r="H536" s="53">
        <v>4402254</v>
      </c>
      <c r="I536" s="53">
        <v>2443564</v>
      </c>
      <c r="J536" s="53">
        <v>2365749</v>
      </c>
      <c r="K536" s="53">
        <v>1499388</v>
      </c>
      <c r="L536" s="53">
        <v>1893134</v>
      </c>
      <c r="M536" s="53">
        <v>1578224</v>
      </c>
      <c r="N536" s="53">
        <v>1259255</v>
      </c>
      <c r="O536" s="53">
        <v>1454215</v>
      </c>
      <c r="P536" s="53">
        <v>1260045</v>
      </c>
      <c r="Q536" s="53">
        <v>4431583</v>
      </c>
      <c r="R536" s="53">
        <v>89071012</v>
      </c>
    </row>
    <row r="537" spans="1:18" x14ac:dyDescent="0.25">
      <c r="A537" s="25" t="s">
        <v>325</v>
      </c>
      <c r="B537" s="26">
        <v>2011</v>
      </c>
      <c r="C537" s="74" t="s">
        <v>324</v>
      </c>
      <c r="D537" s="27">
        <v>0</v>
      </c>
      <c r="E537" s="53">
        <v>872000000</v>
      </c>
      <c r="F537" s="53">
        <v>872000000</v>
      </c>
      <c r="G537" s="53">
        <v>12617966</v>
      </c>
      <c r="H537" s="53">
        <v>6891406.3399999999</v>
      </c>
      <c r="I537" s="53">
        <v>15167636.300000001</v>
      </c>
      <c r="J537" s="53">
        <v>190261220.72999999</v>
      </c>
      <c r="K537" s="53">
        <v>133972622.14</v>
      </c>
      <c r="L537" s="53">
        <v>18879398.149999999</v>
      </c>
      <c r="M537" s="53">
        <v>-119727.2</v>
      </c>
      <c r="N537" s="53">
        <v>28635728.510000002</v>
      </c>
      <c r="O537" s="53">
        <v>16670491.029999999</v>
      </c>
      <c r="P537" s="53">
        <v>33569352.640000001</v>
      </c>
      <c r="Q537" s="53">
        <v>13636386.029999999</v>
      </c>
      <c r="R537" s="53">
        <v>55567733.850000001</v>
      </c>
    </row>
    <row r="538" spans="1:18" x14ac:dyDescent="0.25">
      <c r="A538" s="25" t="s">
        <v>320</v>
      </c>
      <c r="B538" s="26">
        <v>2011</v>
      </c>
      <c r="C538" s="74" t="s">
        <v>319</v>
      </c>
      <c r="D538" s="27">
        <v>0</v>
      </c>
      <c r="E538" s="53">
        <v>16000000000</v>
      </c>
      <c r="F538" s="53">
        <v>16000000000</v>
      </c>
      <c r="G538" s="53">
        <v>1109338364</v>
      </c>
      <c r="H538" s="53">
        <v>1393819262</v>
      </c>
      <c r="I538" s="53">
        <v>1574928873</v>
      </c>
      <c r="J538" s="53">
        <v>1370316262</v>
      </c>
      <c r="K538" s="53">
        <v>1562205463</v>
      </c>
      <c r="L538" s="53">
        <v>1651809081</v>
      </c>
      <c r="M538" s="53">
        <v>1546573254</v>
      </c>
      <c r="N538" s="53">
        <v>1609249577</v>
      </c>
      <c r="O538" s="53">
        <v>1686201134</v>
      </c>
      <c r="P538" s="53">
        <v>1874264224</v>
      </c>
      <c r="Q538" s="53">
        <v>1909842287</v>
      </c>
      <c r="R538" s="53">
        <v>1764354271</v>
      </c>
    </row>
    <row r="539" spans="1:18" x14ac:dyDescent="0.25">
      <c r="A539" s="25" t="s">
        <v>317</v>
      </c>
      <c r="B539" s="26">
        <v>2011</v>
      </c>
      <c r="C539" s="74" t="s">
        <v>316</v>
      </c>
      <c r="D539" s="27">
        <v>0</v>
      </c>
      <c r="E539" s="53">
        <v>14300000000</v>
      </c>
      <c r="F539" s="53">
        <v>14300000000</v>
      </c>
      <c r="G539" s="53">
        <v>970964312</v>
      </c>
      <c r="H539" s="53">
        <v>1145318152</v>
      </c>
      <c r="I539" s="53">
        <v>1293347817</v>
      </c>
      <c r="J539" s="53">
        <v>911344601</v>
      </c>
      <c r="K539" s="53">
        <v>1271501578</v>
      </c>
      <c r="L539" s="53">
        <v>1356500838</v>
      </c>
      <c r="M539" s="53">
        <v>1192868057</v>
      </c>
      <c r="N539" s="53">
        <v>1209764301</v>
      </c>
      <c r="O539" s="53">
        <v>1132198557</v>
      </c>
      <c r="P539" s="53">
        <v>1053087560</v>
      </c>
      <c r="Q539" s="53">
        <v>1233326451</v>
      </c>
      <c r="R539" s="53">
        <v>902230378</v>
      </c>
    </row>
    <row r="540" spans="1:18" x14ac:dyDescent="0.25">
      <c r="A540" s="25" t="s">
        <v>313</v>
      </c>
      <c r="B540" s="26">
        <v>2011</v>
      </c>
      <c r="C540" s="74" t="s">
        <v>312</v>
      </c>
      <c r="D540" s="27">
        <v>0</v>
      </c>
      <c r="E540" s="53">
        <v>551662000000</v>
      </c>
      <c r="F540" s="53">
        <v>551662000000</v>
      </c>
      <c r="G540" s="53">
        <v>54069201743.139999</v>
      </c>
      <c r="H540" s="53">
        <v>44739004597.919998</v>
      </c>
      <c r="I540" s="53">
        <v>41855040414.550003</v>
      </c>
      <c r="J540" s="53">
        <v>40660974360.889999</v>
      </c>
      <c r="K540" s="53">
        <v>41154123762.690002</v>
      </c>
      <c r="L540" s="53">
        <v>38382308544.730003</v>
      </c>
      <c r="M540" s="53">
        <v>38150887154.529999</v>
      </c>
      <c r="N540" s="53">
        <v>48351465464.559998</v>
      </c>
      <c r="O540" s="53">
        <v>43450589462.269997</v>
      </c>
      <c r="P540" s="53">
        <v>42870080955.449997</v>
      </c>
      <c r="Q540" s="53">
        <v>41833418513.669998</v>
      </c>
      <c r="R540" s="53">
        <v>49654789497.279999</v>
      </c>
    </row>
    <row r="541" spans="1:18" x14ac:dyDescent="0.25">
      <c r="A541" s="25" t="s">
        <v>310</v>
      </c>
      <c r="B541" s="26">
        <v>2011</v>
      </c>
      <c r="C541" s="74" t="s">
        <v>309</v>
      </c>
      <c r="D541" s="27">
        <v>0</v>
      </c>
      <c r="E541" s="53">
        <v>493845000000</v>
      </c>
      <c r="F541" s="53">
        <v>493845000000</v>
      </c>
      <c r="G541" s="53">
        <v>33163234232.93</v>
      </c>
      <c r="H541" s="53">
        <v>33795344448.549999</v>
      </c>
      <c r="I541" s="53">
        <v>41430774444.540001</v>
      </c>
      <c r="J541" s="53">
        <v>33572600954.360001</v>
      </c>
      <c r="K541" s="53">
        <v>43736094105.989998</v>
      </c>
      <c r="L541" s="53">
        <v>43149369180.099998</v>
      </c>
      <c r="M541" s="53">
        <v>41554819516.25</v>
      </c>
      <c r="N541" s="53">
        <v>45618882314.779999</v>
      </c>
      <c r="O541" s="53">
        <v>44407519424.610001</v>
      </c>
      <c r="P541" s="53">
        <v>46581012941.639999</v>
      </c>
      <c r="Q541" s="53">
        <v>52983124268.089996</v>
      </c>
      <c r="R541" s="53">
        <v>44646467043.940002</v>
      </c>
    </row>
    <row r="542" spans="1:18" x14ac:dyDescent="0.25">
      <c r="A542" s="25" t="s">
        <v>306</v>
      </c>
      <c r="B542" s="26">
        <v>2011</v>
      </c>
      <c r="C542" s="74" t="s">
        <v>305</v>
      </c>
      <c r="D542" s="27">
        <v>0</v>
      </c>
      <c r="E542" s="53">
        <v>27000000000</v>
      </c>
      <c r="F542" s="53">
        <v>27000000000</v>
      </c>
      <c r="G542" s="53">
        <v>2990532270.9099998</v>
      </c>
      <c r="H542" s="53">
        <v>1735810697.48</v>
      </c>
      <c r="I542" s="53">
        <v>2024954610.5</v>
      </c>
      <c r="J542" s="53">
        <v>2338064698.8800001</v>
      </c>
      <c r="K542" s="53">
        <v>2256166015.23</v>
      </c>
      <c r="L542" s="53">
        <v>2247921952.29</v>
      </c>
      <c r="M542" s="53">
        <v>2030405622.0899999</v>
      </c>
      <c r="N542" s="53">
        <v>2263457082.9000001</v>
      </c>
      <c r="O542" s="53">
        <v>2160687109.6199999</v>
      </c>
      <c r="P542" s="53">
        <v>2099370916.5899999</v>
      </c>
      <c r="Q542" s="53">
        <v>2184018093.3600001</v>
      </c>
      <c r="R542" s="53">
        <v>1708798293.3199999</v>
      </c>
    </row>
    <row r="543" spans="1:18" x14ac:dyDescent="0.25">
      <c r="A543" s="25" t="s">
        <v>303</v>
      </c>
      <c r="B543" s="26">
        <v>2011</v>
      </c>
      <c r="C543" s="74" t="s">
        <v>302</v>
      </c>
      <c r="D543" s="27">
        <v>0</v>
      </c>
      <c r="E543" s="53">
        <v>135000000000</v>
      </c>
      <c r="F543" s="53">
        <v>135000000000</v>
      </c>
      <c r="G543" s="53">
        <v>9924867513.4899998</v>
      </c>
      <c r="H543" s="53">
        <v>9515234531.5799999</v>
      </c>
      <c r="I543" s="53">
        <v>14419786107.9</v>
      </c>
      <c r="J543" s="53">
        <v>11219333691.49</v>
      </c>
      <c r="K543" s="53">
        <v>13150951817.120001</v>
      </c>
      <c r="L543" s="53">
        <v>11673409893.93</v>
      </c>
      <c r="M543" s="53">
        <v>11840915989.93</v>
      </c>
      <c r="N543" s="53">
        <v>13105511722.59</v>
      </c>
      <c r="O543" s="53">
        <v>12166361704.629999</v>
      </c>
      <c r="P543" s="53">
        <v>12064327968.110001</v>
      </c>
      <c r="Q543" s="53">
        <v>15983235891.139999</v>
      </c>
      <c r="R543" s="53">
        <v>13323827071.17</v>
      </c>
    </row>
    <row r="544" spans="1:18" x14ac:dyDescent="0.25">
      <c r="A544" s="25" t="s">
        <v>472</v>
      </c>
      <c r="B544" s="26">
        <v>2011</v>
      </c>
      <c r="C544" s="74" t="s">
        <v>471</v>
      </c>
      <c r="D544" s="27">
        <v>0</v>
      </c>
      <c r="E544" s="53">
        <v>100000</v>
      </c>
      <c r="F544" s="53">
        <v>100000</v>
      </c>
      <c r="G544" s="53">
        <v>0</v>
      </c>
      <c r="H544" s="53">
        <v>0</v>
      </c>
      <c r="I544" s="53">
        <v>0</v>
      </c>
      <c r="J544" s="53">
        <v>0</v>
      </c>
      <c r="K544" s="53">
        <v>0</v>
      </c>
      <c r="L544" s="53">
        <v>0</v>
      </c>
      <c r="M544" s="53">
        <v>0</v>
      </c>
      <c r="N544" s="53">
        <v>0</v>
      </c>
      <c r="O544" s="53">
        <v>69772</v>
      </c>
      <c r="P544" s="53">
        <v>0</v>
      </c>
      <c r="Q544" s="53">
        <v>0</v>
      </c>
      <c r="R544" s="53">
        <v>0</v>
      </c>
    </row>
    <row r="545" spans="1:18" x14ac:dyDescent="0.25">
      <c r="A545" s="25" t="s">
        <v>499</v>
      </c>
      <c r="B545" s="26">
        <v>2011</v>
      </c>
      <c r="C545" s="74" t="s">
        <v>498</v>
      </c>
      <c r="D545" s="27">
        <v>0</v>
      </c>
      <c r="E545" s="53">
        <v>100000</v>
      </c>
      <c r="F545" s="53">
        <v>100000</v>
      </c>
      <c r="G545" s="53">
        <v>0</v>
      </c>
      <c r="H545" s="53">
        <v>0</v>
      </c>
      <c r="I545" s="53">
        <v>0</v>
      </c>
      <c r="J545" s="53">
        <v>0</v>
      </c>
      <c r="K545" s="53">
        <v>0</v>
      </c>
      <c r="L545" s="53">
        <v>0</v>
      </c>
      <c r="M545" s="53">
        <v>0</v>
      </c>
      <c r="N545" s="53">
        <v>0</v>
      </c>
      <c r="O545" s="53">
        <v>0</v>
      </c>
      <c r="P545" s="53">
        <v>0</v>
      </c>
      <c r="Q545" s="53">
        <v>0</v>
      </c>
      <c r="R545" s="53">
        <v>0</v>
      </c>
    </row>
    <row r="546" spans="1:18" x14ac:dyDescent="0.25">
      <c r="A546" s="25" t="s">
        <v>298</v>
      </c>
      <c r="B546" s="26">
        <v>2011</v>
      </c>
      <c r="C546" s="74" t="s">
        <v>281</v>
      </c>
      <c r="D546" s="27">
        <v>0</v>
      </c>
      <c r="E546" s="53">
        <v>224540000000</v>
      </c>
      <c r="F546" s="53">
        <v>224540000000</v>
      </c>
      <c r="G546" s="53">
        <v>19064420973</v>
      </c>
      <c r="H546" s="53">
        <v>15243901939</v>
      </c>
      <c r="I546" s="53">
        <v>14950150180</v>
      </c>
      <c r="J546" s="53">
        <v>14153814874</v>
      </c>
      <c r="K546" s="53">
        <v>10943744158</v>
      </c>
      <c r="L546" s="53">
        <v>15776678821</v>
      </c>
      <c r="M546" s="53">
        <v>13370077444</v>
      </c>
      <c r="N546" s="53">
        <v>9031778276</v>
      </c>
      <c r="O546" s="53">
        <v>12939419360.5</v>
      </c>
      <c r="P546" s="53">
        <v>7299296023</v>
      </c>
      <c r="Q546" s="53">
        <v>12807140887</v>
      </c>
      <c r="R546" s="53">
        <v>4675537722</v>
      </c>
    </row>
    <row r="547" spans="1:18" x14ac:dyDescent="0.25">
      <c r="A547" s="25" t="s">
        <v>297</v>
      </c>
      <c r="B547" s="26">
        <v>2011</v>
      </c>
      <c r="C547" s="74" t="s">
        <v>287</v>
      </c>
      <c r="D547" s="27">
        <v>0</v>
      </c>
      <c r="E547" s="53">
        <v>146060000000</v>
      </c>
      <c r="F547" s="53">
        <v>146060000000</v>
      </c>
      <c r="G547" s="53">
        <v>15237536970.950001</v>
      </c>
      <c r="H547" s="53">
        <v>10944397669</v>
      </c>
      <c r="I547" s="53">
        <v>12480994093.83</v>
      </c>
      <c r="J547" s="53">
        <v>18766971859.599998</v>
      </c>
      <c r="K547" s="53">
        <v>12121173761.360001</v>
      </c>
      <c r="L547" s="53">
        <v>17539100247.549999</v>
      </c>
      <c r="M547" s="53">
        <v>25632943564.279999</v>
      </c>
      <c r="N547" s="53">
        <v>19186991517.73</v>
      </c>
      <c r="O547" s="53">
        <v>10108852091.85</v>
      </c>
      <c r="P547" s="53">
        <v>14563007475.469999</v>
      </c>
      <c r="Q547" s="53">
        <v>21360301261.799999</v>
      </c>
      <c r="R547" s="53">
        <v>31226711566.509998</v>
      </c>
    </row>
    <row r="548" spans="1:18" x14ac:dyDescent="0.25">
      <c r="A548" s="25" t="s">
        <v>295</v>
      </c>
      <c r="B548" s="26">
        <v>2011</v>
      </c>
      <c r="C548" s="74" t="s">
        <v>281</v>
      </c>
      <c r="D548" s="27">
        <v>0</v>
      </c>
      <c r="E548" s="53">
        <v>31000000000</v>
      </c>
      <c r="F548" s="53">
        <v>31000000000</v>
      </c>
      <c r="G548" s="53">
        <v>2742598351</v>
      </c>
      <c r="H548" s="53">
        <v>1162049332</v>
      </c>
      <c r="I548" s="53">
        <v>1820902970.9200001</v>
      </c>
      <c r="J548" s="53">
        <v>2334112013.6399999</v>
      </c>
      <c r="K548" s="53">
        <v>2776235290.0500002</v>
      </c>
      <c r="L548" s="53">
        <v>2383346295.5300002</v>
      </c>
      <c r="M548" s="53">
        <v>1891636378.04</v>
      </c>
      <c r="N548" s="53">
        <v>1852799469.5</v>
      </c>
      <c r="O548" s="53">
        <v>2336934102.4699998</v>
      </c>
      <c r="P548" s="53">
        <v>1918228964.73</v>
      </c>
      <c r="Q548" s="53">
        <v>2186489459.8099999</v>
      </c>
      <c r="R548" s="53">
        <v>3075718087</v>
      </c>
    </row>
    <row r="549" spans="1:18" x14ac:dyDescent="0.25">
      <c r="A549" s="25" t="s">
        <v>294</v>
      </c>
      <c r="B549" s="26">
        <v>2011</v>
      </c>
      <c r="C549" s="74" t="s">
        <v>287</v>
      </c>
      <c r="D549" s="27">
        <v>0</v>
      </c>
      <c r="E549" s="53">
        <v>2000000000</v>
      </c>
      <c r="F549" s="53">
        <v>2000000000</v>
      </c>
      <c r="G549" s="53">
        <v>346724861.95999998</v>
      </c>
      <c r="H549" s="53">
        <v>450273572.25999999</v>
      </c>
      <c r="I549" s="53">
        <v>472687435.31999999</v>
      </c>
      <c r="J549" s="53">
        <v>398681491.68000001</v>
      </c>
      <c r="K549" s="53">
        <v>559616496.69000006</v>
      </c>
      <c r="L549" s="53">
        <v>371883360.44</v>
      </c>
      <c r="M549" s="53">
        <v>422376162.97000003</v>
      </c>
      <c r="N549" s="53">
        <v>429331752.56</v>
      </c>
      <c r="O549" s="53">
        <v>515825873.86000001</v>
      </c>
      <c r="P549" s="53">
        <v>640209589.51999998</v>
      </c>
      <c r="Q549" s="53">
        <v>1089395947.6500001</v>
      </c>
      <c r="R549" s="53">
        <v>758097484.78999996</v>
      </c>
    </row>
    <row r="550" spans="1:18" x14ac:dyDescent="0.25">
      <c r="A550" s="25" t="s">
        <v>292</v>
      </c>
      <c r="B550" s="26">
        <v>2011</v>
      </c>
      <c r="C550" s="74" t="s">
        <v>281</v>
      </c>
      <c r="D550" s="27">
        <v>0</v>
      </c>
      <c r="E550" s="53">
        <v>27900000000</v>
      </c>
      <c r="F550" s="53">
        <v>27900000000</v>
      </c>
      <c r="G550" s="53">
        <v>2347677757.3699999</v>
      </c>
      <c r="H550" s="53">
        <v>1858912080.6900001</v>
      </c>
      <c r="I550" s="53">
        <v>2012734203.75</v>
      </c>
      <c r="J550" s="53">
        <v>2006050856.5</v>
      </c>
      <c r="K550" s="53">
        <v>2487654748.3499999</v>
      </c>
      <c r="L550" s="53">
        <v>2233506176.6100001</v>
      </c>
      <c r="M550" s="53">
        <v>2152822769.48</v>
      </c>
      <c r="N550" s="53">
        <v>2188044662.1799998</v>
      </c>
      <c r="O550" s="53">
        <v>2307973009.1300001</v>
      </c>
      <c r="P550" s="53">
        <v>2049400781</v>
      </c>
      <c r="Q550" s="53">
        <v>2022297463.53</v>
      </c>
      <c r="R550" s="53">
        <v>2190113375</v>
      </c>
    </row>
    <row r="551" spans="1:18" x14ac:dyDescent="0.25">
      <c r="A551" s="25" t="s">
        <v>291</v>
      </c>
      <c r="B551" s="26">
        <v>2011</v>
      </c>
      <c r="C551" s="74" t="s">
        <v>287</v>
      </c>
      <c r="D551" s="27">
        <v>0</v>
      </c>
      <c r="E551" s="53">
        <v>2100000000</v>
      </c>
      <c r="F551" s="53">
        <v>2100000000</v>
      </c>
      <c r="G551" s="53">
        <v>150053546.55000001</v>
      </c>
      <c r="H551" s="53">
        <v>131436169.8</v>
      </c>
      <c r="I551" s="53">
        <v>165619152.25</v>
      </c>
      <c r="J551" s="53">
        <v>141280324.78999999</v>
      </c>
      <c r="K551" s="53">
        <v>171196914.97</v>
      </c>
      <c r="L551" s="53">
        <v>151741919.28</v>
      </c>
      <c r="M551" s="53">
        <v>165975619.03999999</v>
      </c>
      <c r="N551" s="53">
        <v>177174446.06999999</v>
      </c>
      <c r="O551" s="53">
        <v>142199757.53</v>
      </c>
      <c r="P551" s="53">
        <v>136747975.74000001</v>
      </c>
      <c r="Q551" s="53">
        <v>175888050.15000001</v>
      </c>
      <c r="R551" s="53">
        <v>237197292.34999999</v>
      </c>
    </row>
    <row r="552" spans="1:18" x14ac:dyDescent="0.25">
      <c r="A552" s="25" t="s">
        <v>289</v>
      </c>
      <c r="B552" s="26">
        <v>2011</v>
      </c>
      <c r="C552" s="74" t="s">
        <v>287</v>
      </c>
      <c r="D552" s="27">
        <v>0</v>
      </c>
      <c r="E552" s="53">
        <v>1400000000</v>
      </c>
      <c r="F552" s="53">
        <v>1400000000</v>
      </c>
      <c r="G552" s="53">
        <v>85439795.099999994</v>
      </c>
      <c r="H552" s="53">
        <v>127913429.65000001</v>
      </c>
      <c r="I552" s="53">
        <v>137432091.80000001</v>
      </c>
      <c r="J552" s="53">
        <v>108430580.03</v>
      </c>
      <c r="K552" s="53">
        <v>103443705.93000001</v>
      </c>
      <c r="L552" s="53">
        <v>161157373.40000001</v>
      </c>
      <c r="M552" s="53">
        <v>97558075.379999995</v>
      </c>
      <c r="N552" s="53">
        <v>147318634.05000001</v>
      </c>
      <c r="O552" s="53">
        <v>78591693.829999998</v>
      </c>
      <c r="P552" s="53">
        <v>102073490.04000001</v>
      </c>
      <c r="Q552" s="53">
        <v>122833403.56</v>
      </c>
      <c r="R552" s="53">
        <v>153147884.49000001</v>
      </c>
    </row>
    <row r="553" spans="1:18" x14ac:dyDescent="0.25">
      <c r="A553" s="25" t="s">
        <v>286</v>
      </c>
      <c r="B553" s="26">
        <v>2011</v>
      </c>
      <c r="C553" s="74" t="s">
        <v>285</v>
      </c>
      <c r="D553" s="27">
        <v>0</v>
      </c>
      <c r="E553" s="53">
        <v>245000000</v>
      </c>
      <c r="F553" s="53">
        <v>245000000</v>
      </c>
      <c r="G553" s="53">
        <v>18398053.68</v>
      </c>
      <c r="H553" s="53">
        <v>14051862.98</v>
      </c>
      <c r="I553" s="53">
        <v>18613332.170000002</v>
      </c>
      <c r="J553" s="53">
        <v>19093163.550000001</v>
      </c>
      <c r="K553" s="53">
        <v>22518844.649999999</v>
      </c>
      <c r="L553" s="53">
        <v>20072197.199999999</v>
      </c>
      <c r="M553" s="53">
        <v>24144796.120000001</v>
      </c>
      <c r="N553" s="53">
        <v>18664550.420000002</v>
      </c>
      <c r="O553" s="53">
        <v>20611067.699999999</v>
      </c>
      <c r="P553" s="53">
        <v>20707845.879999999</v>
      </c>
      <c r="Q553" s="53">
        <v>18578741.859999999</v>
      </c>
      <c r="R553" s="53">
        <v>34080577.329999998</v>
      </c>
    </row>
    <row r="554" spans="1:18" x14ac:dyDescent="0.25">
      <c r="A554" s="25" t="s">
        <v>276</v>
      </c>
      <c r="B554" s="26">
        <v>2011</v>
      </c>
      <c r="C554" s="74" t="s">
        <v>275</v>
      </c>
      <c r="D554" s="27">
        <v>0</v>
      </c>
      <c r="E554" s="53">
        <v>575000000</v>
      </c>
      <c r="F554" s="53">
        <v>575000000</v>
      </c>
      <c r="G554" s="53">
        <v>40433532.619999997</v>
      </c>
      <c r="H554" s="53">
        <v>36818438.240000002</v>
      </c>
      <c r="I554" s="53">
        <v>64480924</v>
      </c>
      <c r="J554" s="53">
        <v>25740290</v>
      </c>
      <c r="K554" s="53">
        <v>193567263.34</v>
      </c>
      <c r="L554" s="53">
        <v>13496861.789999999</v>
      </c>
      <c r="M554" s="53">
        <v>-162262524.65000001</v>
      </c>
      <c r="N554" s="53">
        <v>32869002.84</v>
      </c>
      <c r="O554" s="53">
        <v>14757085.210000001</v>
      </c>
      <c r="P554" s="53">
        <v>9878975.7799999993</v>
      </c>
      <c r="Q554" s="53">
        <v>10104345.84</v>
      </c>
      <c r="R554" s="53">
        <v>8401542.0600000005</v>
      </c>
    </row>
    <row r="555" spans="1:18" x14ac:dyDescent="0.25">
      <c r="A555" s="25" t="s">
        <v>268</v>
      </c>
      <c r="B555" s="26">
        <v>2011</v>
      </c>
      <c r="C555" s="74" t="s">
        <v>267</v>
      </c>
      <c r="D555" s="27">
        <v>0</v>
      </c>
      <c r="E555" s="53">
        <v>119000000000</v>
      </c>
      <c r="F555" s="53">
        <v>119000000000</v>
      </c>
      <c r="G555" s="53">
        <v>7811277785.0799999</v>
      </c>
      <c r="H555" s="53">
        <v>8869308282.5100002</v>
      </c>
      <c r="I555" s="53">
        <v>9624095231.8199997</v>
      </c>
      <c r="J555" s="53">
        <v>8154392655.75</v>
      </c>
      <c r="K555" s="53">
        <v>10237225412.950001</v>
      </c>
      <c r="L555" s="53">
        <v>10407536131.57</v>
      </c>
      <c r="M555" s="53">
        <v>9629204309.5</v>
      </c>
      <c r="N555" s="53">
        <v>11075152497.889999</v>
      </c>
      <c r="O555" s="53">
        <v>11086527122.26</v>
      </c>
      <c r="P555" s="53">
        <v>11622154276.190001</v>
      </c>
      <c r="Q555" s="53">
        <v>12961684395.219999</v>
      </c>
      <c r="R555" s="53">
        <v>10876133643.549999</v>
      </c>
    </row>
    <row r="556" spans="1:18" x14ac:dyDescent="0.25">
      <c r="A556" s="25" t="s">
        <v>264</v>
      </c>
      <c r="B556" s="26">
        <v>2011</v>
      </c>
      <c r="C556" s="74" t="s">
        <v>263</v>
      </c>
      <c r="D556" s="27">
        <v>0</v>
      </c>
      <c r="E556" s="53">
        <v>27000000000</v>
      </c>
      <c r="F556" s="53">
        <v>27000000000</v>
      </c>
      <c r="G556" s="53">
        <v>1724480591.1500001</v>
      </c>
      <c r="H556" s="53">
        <v>1697780329.45</v>
      </c>
      <c r="I556" s="53">
        <v>2193095497.9899998</v>
      </c>
      <c r="J556" s="53">
        <v>1651086470.75</v>
      </c>
      <c r="K556" s="53">
        <v>2124684859.99</v>
      </c>
      <c r="L556" s="53">
        <v>2047840155.23</v>
      </c>
      <c r="M556" s="53">
        <v>1898945116.5599999</v>
      </c>
      <c r="N556" s="53">
        <v>2360117525.6700001</v>
      </c>
      <c r="O556" s="53">
        <v>2169727551.6199999</v>
      </c>
      <c r="P556" s="53">
        <v>1956543760.01</v>
      </c>
      <c r="Q556" s="53">
        <v>2362131599.8099999</v>
      </c>
      <c r="R556" s="53">
        <v>1969216084.54</v>
      </c>
    </row>
    <row r="557" spans="1:18" x14ac:dyDescent="0.25">
      <c r="A557" s="25" t="s">
        <v>260</v>
      </c>
      <c r="B557" s="26">
        <v>2011</v>
      </c>
      <c r="C557" s="74" t="s">
        <v>259</v>
      </c>
      <c r="D557" s="27">
        <v>0</v>
      </c>
      <c r="E557" s="53">
        <v>4300000000</v>
      </c>
      <c r="F557" s="53">
        <v>4300000000</v>
      </c>
      <c r="G557" s="53">
        <v>295955671.56999999</v>
      </c>
      <c r="H557" s="53">
        <v>276840513.89999998</v>
      </c>
      <c r="I557" s="53">
        <v>321081829.85000002</v>
      </c>
      <c r="J557" s="53">
        <v>279969631</v>
      </c>
      <c r="K557" s="53">
        <v>350053906.39999998</v>
      </c>
      <c r="L557" s="53">
        <v>354065257.41000003</v>
      </c>
      <c r="M557" s="53">
        <v>305221195.99000001</v>
      </c>
      <c r="N557" s="53">
        <v>275183115.19</v>
      </c>
      <c r="O557" s="53">
        <v>334478689.94</v>
      </c>
      <c r="P557" s="53">
        <v>368641370.07999998</v>
      </c>
      <c r="Q557" s="53">
        <v>347999947.26999998</v>
      </c>
      <c r="R557" s="53">
        <v>317580192</v>
      </c>
    </row>
    <row r="558" spans="1:18" x14ac:dyDescent="0.25">
      <c r="A558" s="25" t="s">
        <v>258</v>
      </c>
      <c r="B558" s="26">
        <v>2011</v>
      </c>
      <c r="C558" s="74" t="s">
        <v>257</v>
      </c>
      <c r="D558" s="27">
        <v>0</v>
      </c>
      <c r="E558" s="53">
        <v>160000000</v>
      </c>
      <c r="F558" s="53">
        <v>160000000</v>
      </c>
      <c r="G558" s="53">
        <v>12627792</v>
      </c>
      <c r="H558" s="53">
        <v>11916165</v>
      </c>
      <c r="I558" s="53">
        <v>13869711</v>
      </c>
      <c r="J558" s="53">
        <v>12051436.5</v>
      </c>
      <c r="K558" s="53">
        <v>15086956.5</v>
      </c>
      <c r="L558" s="53">
        <v>14901601.5</v>
      </c>
      <c r="M558" s="53">
        <v>13088346</v>
      </c>
      <c r="N558" s="53">
        <v>11876379</v>
      </c>
      <c r="O558" s="53">
        <v>14282428.5</v>
      </c>
      <c r="P558" s="53">
        <v>15471445.5</v>
      </c>
      <c r="Q558" s="53">
        <v>14687898</v>
      </c>
      <c r="R558" s="53">
        <v>13493230.029999999</v>
      </c>
    </row>
    <row r="559" spans="1:18" x14ac:dyDescent="0.25">
      <c r="A559" s="25" t="s">
        <v>253</v>
      </c>
      <c r="B559" s="26">
        <v>2011</v>
      </c>
      <c r="C559" s="74" t="s">
        <v>252</v>
      </c>
      <c r="D559" s="27">
        <v>0</v>
      </c>
      <c r="E559" s="53">
        <v>30750000000</v>
      </c>
      <c r="F559" s="53">
        <v>30750000000</v>
      </c>
      <c r="G559" s="53">
        <v>2427574291.8899999</v>
      </c>
      <c r="H559" s="53">
        <v>2098165443.6800001</v>
      </c>
      <c r="I559" s="53">
        <v>2811278234.1999998</v>
      </c>
      <c r="J559" s="53">
        <v>2110343976</v>
      </c>
      <c r="K559" s="53">
        <v>1766167711.3800001</v>
      </c>
      <c r="L559" s="53">
        <v>1845265437.0899999</v>
      </c>
      <c r="M559" s="53">
        <v>1977530908.8900001</v>
      </c>
      <c r="N559" s="53">
        <v>2191479885.6500001</v>
      </c>
      <c r="O559" s="53">
        <v>1436964305.1400001</v>
      </c>
      <c r="P559" s="53">
        <v>1320350609.05</v>
      </c>
      <c r="Q559" s="53">
        <v>1962630045.1300001</v>
      </c>
      <c r="R559" s="53">
        <v>1953887844.48</v>
      </c>
    </row>
    <row r="560" spans="1:18" x14ac:dyDescent="0.25">
      <c r="A560" s="25" t="s">
        <v>249</v>
      </c>
      <c r="B560" s="26">
        <v>2011</v>
      </c>
      <c r="C560" s="74" t="s">
        <v>248</v>
      </c>
      <c r="D560" s="27">
        <v>0</v>
      </c>
      <c r="E560" s="53">
        <v>6100000000</v>
      </c>
      <c r="F560" s="53">
        <v>6100000000</v>
      </c>
      <c r="G560" s="53">
        <v>655000383.00999999</v>
      </c>
      <c r="H560" s="53">
        <v>543789877.66999996</v>
      </c>
      <c r="I560" s="53">
        <v>484580527.61000001</v>
      </c>
      <c r="J560" s="53">
        <v>165798444</v>
      </c>
      <c r="K560" s="53">
        <v>635740559.88</v>
      </c>
      <c r="L560" s="53">
        <v>573694438.27999997</v>
      </c>
      <c r="M560" s="53">
        <v>471851093.89999998</v>
      </c>
      <c r="N560" s="53">
        <v>389396448.87</v>
      </c>
      <c r="O560" s="53">
        <v>557476921.24000001</v>
      </c>
      <c r="P560" s="53">
        <v>469108355.72000003</v>
      </c>
      <c r="Q560" s="53">
        <v>440650489.18000001</v>
      </c>
      <c r="R560" s="53">
        <v>524367534.36000001</v>
      </c>
    </row>
    <row r="561" spans="1:18" x14ac:dyDescent="0.25">
      <c r="A561" s="25" t="s">
        <v>497</v>
      </c>
      <c r="B561" s="26">
        <v>2011</v>
      </c>
      <c r="C561" s="74" t="s">
        <v>496</v>
      </c>
      <c r="D561" s="27">
        <v>0</v>
      </c>
      <c r="E561" s="53">
        <v>7000000000</v>
      </c>
      <c r="F561" s="53">
        <v>7000000000</v>
      </c>
      <c r="G561" s="53">
        <v>170732575.93000001</v>
      </c>
      <c r="H561" s="53">
        <v>483463024.07999998</v>
      </c>
      <c r="I561" s="53">
        <v>468166871.83999997</v>
      </c>
      <c r="J561" s="53">
        <v>738772080.76999998</v>
      </c>
      <c r="K561" s="53">
        <v>513574708.57999998</v>
      </c>
      <c r="L561" s="53">
        <v>648066027.30999994</v>
      </c>
      <c r="M561" s="53">
        <v>499184545.19</v>
      </c>
      <c r="N561" s="53">
        <v>441668907.31</v>
      </c>
      <c r="O561" s="53">
        <v>116827723.70999999</v>
      </c>
      <c r="P561" s="53">
        <v>460797162.38999999</v>
      </c>
      <c r="Q561" s="53">
        <v>471374059.89999998</v>
      </c>
      <c r="R561" s="53">
        <v>949385058.52999997</v>
      </c>
    </row>
    <row r="562" spans="1:18" x14ac:dyDescent="0.25">
      <c r="A562" s="25" t="s">
        <v>240</v>
      </c>
      <c r="B562" s="26">
        <v>2011</v>
      </c>
      <c r="C562" s="74" t="s">
        <v>239</v>
      </c>
      <c r="D562" s="27">
        <v>0</v>
      </c>
      <c r="E562" s="53">
        <v>660000000</v>
      </c>
      <c r="F562" s="53">
        <v>660000000</v>
      </c>
      <c r="G562" s="53">
        <v>44705653.549999997</v>
      </c>
      <c r="H562" s="53">
        <v>58007652.869999997</v>
      </c>
      <c r="I562" s="53">
        <v>67678434.450000003</v>
      </c>
      <c r="J562" s="53">
        <v>50613391.350000001</v>
      </c>
      <c r="K562" s="53">
        <v>80059358.590000004</v>
      </c>
      <c r="L562" s="53">
        <v>70742295.129999995</v>
      </c>
      <c r="M562" s="53">
        <v>64733222.549999997</v>
      </c>
      <c r="N562" s="53">
        <v>74916504.620000005</v>
      </c>
      <c r="O562" s="53">
        <v>82902004.969999999</v>
      </c>
      <c r="P562" s="53">
        <v>72747929.390000001</v>
      </c>
      <c r="Q562" s="53">
        <v>73547010.310000002</v>
      </c>
      <c r="R562" s="53">
        <v>45913271.520000003</v>
      </c>
    </row>
    <row r="563" spans="1:18" x14ac:dyDescent="0.25">
      <c r="A563" s="25" t="s">
        <v>236</v>
      </c>
      <c r="B563" s="26">
        <v>2011</v>
      </c>
      <c r="C563" s="74" t="s">
        <v>235</v>
      </c>
      <c r="D563" s="27">
        <v>0</v>
      </c>
      <c r="E563" s="53">
        <v>3700000000</v>
      </c>
      <c r="F563" s="53">
        <v>3700000000</v>
      </c>
      <c r="G563" s="53">
        <v>304937264.27999997</v>
      </c>
      <c r="H563" s="53">
        <v>325032030.98000002</v>
      </c>
      <c r="I563" s="53">
        <v>557869412.70000005</v>
      </c>
      <c r="J563" s="53">
        <v>204550378.22999999</v>
      </c>
      <c r="K563" s="53">
        <v>382187957.63999999</v>
      </c>
      <c r="L563" s="53">
        <v>429176967.41000003</v>
      </c>
      <c r="M563" s="53">
        <v>1648919465.3499999</v>
      </c>
      <c r="N563" s="53">
        <v>380486308.49000001</v>
      </c>
      <c r="O563" s="53">
        <v>425359919.23000002</v>
      </c>
      <c r="P563" s="53">
        <v>480684185.41000003</v>
      </c>
      <c r="Q563" s="53">
        <v>309635129.18000001</v>
      </c>
      <c r="R563" s="53">
        <v>665461131.34000003</v>
      </c>
    </row>
    <row r="564" spans="1:18" x14ac:dyDescent="0.25">
      <c r="A564" s="25" t="s">
        <v>234</v>
      </c>
      <c r="B564" s="26">
        <v>2011</v>
      </c>
      <c r="C564" s="74" t="s">
        <v>233</v>
      </c>
      <c r="D564" s="27">
        <v>0</v>
      </c>
      <c r="E564" s="53">
        <v>110000000</v>
      </c>
      <c r="F564" s="53">
        <v>110000000</v>
      </c>
      <c r="G564" s="53">
        <v>8638236.8900000006</v>
      </c>
      <c r="H564" s="53">
        <v>8998414.9900000002</v>
      </c>
      <c r="I564" s="53">
        <v>11727.39</v>
      </c>
      <c r="J564" s="53">
        <v>2864.29</v>
      </c>
      <c r="K564" s="53">
        <v>2418486.25</v>
      </c>
      <c r="L564" s="53">
        <v>20726685.260000002</v>
      </c>
      <c r="M564" s="53">
        <v>6562.5</v>
      </c>
      <c r="N564" s="53">
        <v>20906314.41</v>
      </c>
      <c r="O564" s="53">
        <v>9333188.8599999994</v>
      </c>
      <c r="P564" s="53">
        <v>9827025.8100000005</v>
      </c>
      <c r="Q564" s="53">
        <v>9776004.8699999992</v>
      </c>
      <c r="R564" s="53">
        <v>9089938.3900000006</v>
      </c>
    </row>
    <row r="565" spans="1:18" x14ac:dyDescent="0.25">
      <c r="A565" s="25" t="s">
        <v>230</v>
      </c>
      <c r="B565" s="26">
        <v>2011</v>
      </c>
      <c r="C565" s="74" t="s">
        <v>229</v>
      </c>
      <c r="D565" s="27">
        <v>0</v>
      </c>
      <c r="E565" s="53">
        <v>22000000000</v>
      </c>
      <c r="F565" s="53">
        <v>22000000000</v>
      </c>
      <c r="G565" s="53">
        <v>1984577432.03</v>
      </c>
      <c r="H565" s="53">
        <v>1387733635.1700001</v>
      </c>
      <c r="I565" s="53">
        <v>1415617002.52</v>
      </c>
      <c r="J565" s="53">
        <v>1821775461.6800001</v>
      </c>
      <c r="K565" s="53">
        <v>1564745197.2</v>
      </c>
      <c r="L565" s="53">
        <v>1534282887.3900001</v>
      </c>
      <c r="M565" s="53">
        <v>1161088622</v>
      </c>
      <c r="N565" s="53">
        <v>1525776914.3199999</v>
      </c>
      <c r="O565" s="53">
        <v>1692466823.22</v>
      </c>
      <c r="P565" s="53">
        <v>1650372586.49</v>
      </c>
      <c r="Q565" s="53">
        <v>1117793902.6800001</v>
      </c>
      <c r="R565" s="53">
        <v>2166912922.5999999</v>
      </c>
    </row>
    <row r="566" spans="1:18" x14ac:dyDescent="0.25">
      <c r="A566" s="25" t="s">
        <v>228</v>
      </c>
      <c r="B566" s="26">
        <v>2011</v>
      </c>
      <c r="C566" s="74" t="s">
        <v>227</v>
      </c>
      <c r="D566" s="27">
        <v>0</v>
      </c>
      <c r="E566" s="53">
        <v>38500000000</v>
      </c>
      <c r="F566" s="53">
        <v>38500000000</v>
      </c>
      <c r="G566" s="53">
        <v>2868400900</v>
      </c>
      <c r="H566" s="53">
        <v>2904457774.5999999</v>
      </c>
      <c r="I566" s="53">
        <v>2904802070.0999999</v>
      </c>
      <c r="J566" s="53">
        <v>3179781293.96</v>
      </c>
      <c r="K566" s="53">
        <v>2982760717.3499999</v>
      </c>
      <c r="L566" s="53">
        <v>3031309458.8499999</v>
      </c>
      <c r="M566" s="53">
        <v>3100446169.3899999</v>
      </c>
      <c r="N566" s="53">
        <v>3028905209.8000002</v>
      </c>
      <c r="O566" s="53">
        <v>3312613264.3000002</v>
      </c>
      <c r="P566" s="53">
        <v>3130772611.5</v>
      </c>
      <c r="Q566" s="53">
        <v>3139044618.75</v>
      </c>
      <c r="R566" s="53">
        <v>3149374353</v>
      </c>
    </row>
    <row r="567" spans="1:18" x14ac:dyDescent="0.25">
      <c r="A567" s="25" t="s">
        <v>226</v>
      </c>
      <c r="B567" s="26">
        <v>2011</v>
      </c>
      <c r="C567" s="74" t="s">
        <v>225</v>
      </c>
      <c r="D567" s="27">
        <v>0</v>
      </c>
      <c r="E567" s="53">
        <v>12200000000</v>
      </c>
      <c r="F567" s="53">
        <v>12200000000</v>
      </c>
      <c r="G567" s="53">
        <v>883154070.38</v>
      </c>
      <c r="H567" s="53">
        <v>825961959.92999995</v>
      </c>
      <c r="I567" s="53">
        <v>860222131.53999996</v>
      </c>
      <c r="J567" s="53">
        <v>853446973.16999996</v>
      </c>
      <c r="K567" s="53">
        <v>847100662.5</v>
      </c>
      <c r="L567" s="53">
        <v>844463534.26999998</v>
      </c>
      <c r="M567" s="53">
        <v>1280963735.3900001</v>
      </c>
      <c r="N567" s="53">
        <v>871359184.25</v>
      </c>
      <c r="O567" s="53">
        <v>964490275.92999995</v>
      </c>
      <c r="P567" s="53">
        <v>937062446.79999995</v>
      </c>
      <c r="Q567" s="53">
        <v>916356972.19000006</v>
      </c>
      <c r="R567" s="53">
        <v>929790652.54999995</v>
      </c>
    </row>
    <row r="568" spans="1:18" x14ac:dyDescent="0.25">
      <c r="A568" s="25" t="s">
        <v>449</v>
      </c>
      <c r="B568" s="26">
        <v>2011</v>
      </c>
      <c r="C568" s="74" t="s">
        <v>448</v>
      </c>
      <c r="D568" s="27">
        <v>0</v>
      </c>
      <c r="E568" s="53">
        <v>90000000</v>
      </c>
      <c r="F568" s="53">
        <v>90000000</v>
      </c>
      <c r="G568" s="53">
        <v>0</v>
      </c>
      <c r="H568" s="53">
        <v>1283234.97</v>
      </c>
      <c r="I568" s="53">
        <v>1587806.42</v>
      </c>
      <c r="J568" s="53">
        <v>1521076.75</v>
      </c>
      <c r="K568" s="53">
        <v>748443.96</v>
      </c>
      <c r="L568" s="53">
        <v>1395635.26</v>
      </c>
      <c r="M568" s="53">
        <v>1257715.8500000001</v>
      </c>
      <c r="N568" s="53">
        <v>993758.3</v>
      </c>
      <c r="O568" s="53">
        <v>1476070.39</v>
      </c>
      <c r="P568" s="53">
        <v>3258580</v>
      </c>
      <c r="Q568" s="53">
        <v>-1137316.43</v>
      </c>
      <c r="R568" s="53">
        <v>800427.01</v>
      </c>
    </row>
    <row r="569" spans="1:18" x14ac:dyDescent="0.25">
      <c r="A569" s="25" t="s">
        <v>222</v>
      </c>
      <c r="B569" s="26">
        <v>2011</v>
      </c>
      <c r="C569" s="74" t="s">
        <v>221</v>
      </c>
      <c r="D569" s="27">
        <v>0</v>
      </c>
      <c r="E569" s="53">
        <v>600000</v>
      </c>
      <c r="F569" s="53">
        <v>600000</v>
      </c>
      <c r="G569" s="53">
        <v>57417.120000000003</v>
      </c>
      <c r="H569" s="53">
        <v>53330.94</v>
      </c>
      <c r="I569" s="53">
        <v>62285.19</v>
      </c>
      <c r="J569" s="53">
        <v>96460</v>
      </c>
      <c r="K569" s="53">
        <v>58074.76</v>
      </c>
      <c r="L569" s="53">
        <v>85611.67</v>
      </c>
      <c r="M569" s="53">
        <v>22812.2</v>
      </c>
      <c r="N569" s="53">
        <v>12479.48</v>
      </c>
      <c r="O569" s="53">
        <v>94108.6</v>
      </c>
      <c r="P569" s="53">
        <v>23240.82</v>
      </c>
      <c r="Q569" s="53">
        <v>138003.63</v>
      </c>
      <c r="R569" s="53">
        <v>168994.17</v>
      </c>
    </row>
    <row r="570" spans="1:18" x14ac:dyDescent="0.25">
      <c r="A570" s="25" t="s">
        <v>215</v>
      </c>
      <c r="B570" s="26">
        <v>2011</v>
      </c>
      <c r="C570" s="74" t="s">
        <v>214</v>
      </c>
      <c r="D570" s="27">
        <v>0</v>
      </c>
      <c r="E570" s="53">
        <v>8000000</v>
      </c>
      <c r="F570" s="53">
        <v>8000000</v>
      </c>
      <c r="G570" s="53">
        <v>1575000</v>
      </c>
      <c r="H570" s="53">
        <v>401500</v>
      </c>
      <c r="I570" s="53">
        <v>401500</v>
      </c>
      <c r="J570" s="53">
        <v>401500</v>
      </c>
      <c r="K570" s="53">
        <v>280000</v>
      </c>
      <c r="L570" s="53">
        <v>280000</v>
      </c>
      <c r="M570" s="53">
        <v>280000</v>
      </c>
      <c r="N570" s="53">
        <v>180000</v>
      </c>
      <c r="O570" s="53">
        <v>787500</v>
      </c>
      <c r="P570" s="53">
        <v>1066256</v>
      </c>
      <c r="Q570" s="53">
        <v>301500</v>
      </c>
      <c r="R570" s="53">
        <v>574500</v>
      </c>
    </row>
    <row r="571" spans="1:18" x14ac:dyDescent="0.25">
      <c r="A571" s="25" t="s">
        <v>447</v>
      </c>
      <c r="B571" s="26">
        <v>2011</v>
      </c>
      <c r="C571" s="74" t="s">
        <v>446</v>
      </c>
      <c r="D571" s="27">
        <v>0</v>
      </c>
      <c r="E571" s="53">
        <v>22100000</v>
      </c>
      <c r="F571" s="53">
        <v>22100000</v>
      </c>
      <c r="G571" s="53">
        <v>0</v>
      </c>
      <c r="H571" s="53">
        <v>0</v>
      </c>
      <c r="I571" s="53">
        <v>0</v>
      </c>
      <c r="J571" s="53">
        <v>0</v>
      </c>
      <c r="K571" s="53">
        <v>0</v>
      </c>
      <c r="L571" s="53">
        <v>8170854</v>
      </c>
      <c r="M571" s="53">
        <v>0</v>
      </c>
      <c r="N571" s="53">
        <v>0</v>
      </c>
      <c r="O571" s="53">
        <v>0</v>
      </c>
      <c r="P571" s="53">
        <v>0</v>
      </c>
      <c r="Q571" s="53">
        <v>0</v>
      </c>
      <c r="R571" s="53">
        <v>0</v>
      </c>
    </row>
    <row r="572" spans="1:18" x14ac:dyDescent="0.25">
      <c r="A572" s="25" t="s">
        <v>213</v>
      </c>
      <c r="B572" s="26">
        <v>2011</v>
      </c>
      <c r="C572" s="74" t="s">
        <v>212</v>
      </c>
      <c r="D572" s="27">
        <v>0</v>
      </c>
      <c r="E572" s="53">
        <v>48000000</v>
      </c>
      <c r="F572" s="53">
        <v>48000000</v>
      </c>
      <c r="G572" s="53">
        <v>1388240.08</v>
      </c>
      <c r="H572" s="53">
        <v>2255853.2999999998</v>
      </c>
      <c r="I572" s="53">
        <v>8856568.9499999993</v>
      </c>
      <c r="J572" s="53">
        <v>2037113.5</v>
      </c>
      <c r="K572" s="53">
        <v>2853347.44</v>
      </c>
      <c r="L572" s="53">
        <v>2055772.7</v>
      </c>
      <c r="M572" s="53">
        <v>1756720.48</v>
      </c>
      <c r="N572" s="53">
        <v>3533110.19</v>
      </c>
      <c r="O572" s="53">
        <v>3734158.82</v>
      </c>
      <c r="P572" s="53">
        <v>6141469.1200000001</v>
      </c>
      <c r="Q572" s="53">
        <v>3100578.86</v>
      </c>
      <c r="R572" s="53">
        <v>1690624.81</v>
      </c>
    </row>
    <row r="573" spans="1:18" x14ac:dyDescent="0.25">
      <c r="A573" s="25" t="s">
        <v>211</v>
      </c>
      <c r="B573" s="26">
        <v>2011</v>
      </c>
      <c r="C573" s="74" t="s">
        <v>210</v>
      </c>
      <c r="D573" s="27">
        <v>0</v>
      </c>
      <c r="E573" s="53">
        <v>220000000</v>
      </c>
      <c r="F573" s="53">
        <v>220000000</v>
      </c>
      <c r="G573" s="53">
        <v>100730</v>
      </c>
      <c r="H573" s="53">
        <v>15359142.800000001</v>
      </c>
      <c r="I573" s="53">
        <v>13995115.220000001</v>
      </c>
      <c r="J573" s="53">
        <v>31361262.09</v>
      </c>
      <c r="K573" s="53">
        <v>14018836.77</v>
      </c>
      <c r="L573" s="53">
        <v>46707574.030000001</v>
      </c>
      <c r="M573" s="53">
        <v>19198908.73</v>
      </c>
      <c r="N573" s="53">
        <v>-5349073.7699999996</v>
      </c>
      <c r="O573" s="53">
        <v>30681580.09</v>
      </c>
      <c r="P573" s="53">
        <v>27488129.239999998</v>
      </c>
      <c r="Q573" s="53">
        <v>33945324.049999997</v>
      </c>
      <c r="R573" s="53">
        <v>20362638.890000001</v>
      </c>
    </row>
    <row r="574" spans="1:18" x14ac:dyDescent="0.25">
      <c r="A574" s="25" t="s">
        <v>433</v>
      </c>
      <c r="B574" s="26">
        <v>2011</v>
      </c>
      <c r="C574" s="74" t="s">
        <v>432</v>
      </c>
      <c r="D574" s="27">
        <v>0</v>
      </c>
      <c r="E574" s="53">
        <v>3000000000</v>
      </c>
      <c r="F574" s="53">
        <v>3000000000</v>
      </c>
      <c r="G574" s="53">
        <v>146077421.66999999</v>
      </c>
      <c r="H574" s="53">
        <v>137933948.88999999</v>
      </c>
      <c r="I574" s="53">
        <v>415356638.22000003</v>
      </c>
      <c r="J574" s="53">
        <v>210268311.53999999</v>
      </c>
      <c r="K574" s="53">
        <v>156534652.50999999</v>
      </c>
      <c r="L574" s="53">
        <v>203585728.28</v>
      </c>
      <c r="M574" s="53">
        <v>307996922.35000002</v>
      </c>
      <c r="N574" s="53">
        <v>244592159.62</v>
      </c>
      <c r="O574" s="53">
        <v>276174430.88999999</v>
      </c>
      <c r="P574" s="53">
        <v>270217867.60000002</v>
      </c>
      <c r="Q574" s="53">
        <v>309537480.81999999</v>
      </c>
      <c r="R574" s="53">
        <v>1055370996.99</v>
      </c>
    </row>
    <row r="575" spans="1:18" x14ac:dyDescent="0.25">
      <c r="A575" s="25" t="s">
        <v>407</v>
      </c>
      <c r="B575" s="26">
        <v>2011</v>
      </c>
      <c r="C575" s="74" t="s">
        <v>406</v>
      </c>
      <c r="D575" s="27">
        <v>0</v>
      </c>
      <c r="E575" s="53">
        <v>2000000</v>
      </c>
      <c r="F575" s="53">
        <v>2000000</v>
      </c>
      <c r="G575" s="53">
        <v>0</v>
      </c>
      <c r="H575" s="53">
        <v>905453.75</v>
      </c>
      <c r="I575" s="53">
        <v>567906.24</v>
      </c>
      <c r="J575" s="53">
        <v>2377365.25</v>
      </c>
      <c r="K575" s="53">
        <v>3696262.04</v>
      </c>
      <c r="L575" s="53">
        <v>1582657.48</v>
      </c>
      <c r="M575" s="53">
        <v>4891629.37</v>
      </c>
      <c r="N575" s="53">
        <v>3847363.25</v>
      </c>
      <c r="O575" s="53">
        <v>2748007.61</v>
      </c>
      <c r="P575" s="53">
        <v>2000000</v>
      </c>
      <c r="Q575" s="53">
        <v>2948031.95</v>
      </c>
      <c r="R575" s="53">
        <v>696347.86</v>
      </c>
    </row>
    <row r="576" spans="1:18" x14ac:dyDescent="0.25">
      <c r="A576" s="25" t="s">
        <v>374</v>
      </c>
      <c r="B576" s="26">
        <v>2011</v>
      </c>
      <c r="C576" s="74" t="s">
        <v>405</v>
      </c>
      <c r="D576" s="27">
        <v>0</v>
      </c>
      <c r="E576" s="53">
        <v>477000000</v>
      </c>
      <c r="F576" s="53">
        <v>477000000</v>
      </c>
      <c r="G576" s="53">
        <v>29584.41</v>
      </c>
      <c r="H576" s="53">
        <v>264580278.56999999</v>
      </c>
      <c r="I576" s="53">
        <v>215189158.49000001</v>
      </c>
      <c r="J576" s="53">
        <v>238625588.91</v>
      </c>
      <c r="K576" s="53">
        <v>196531155.52000001</v>
      </c>
      <c r="L576" s="53">
        <v>253591956.38</v>
      </c>
      <c r="M576" s="53">
        <v>235871098.94999999</v>
      </c>
      <c r="N576" s="53">
        <v>229867709.28999999</v>
      </c>
      <c r="O576" s="53">
        <v>167222967.13</v>
      </c>
      <c r="P576" s="53">
        <v>9555</v>
      </c>
      <c r="Q576" s="53">
        <v>19700</v>
      </c>
      <c r="R576" s="53">
        <v>19315</v>
      </c>
    </row>
    <row r="577" spans="1:18" x14ac:dyDescent="0.25">
      <c r="A577" s="25" t="s">
        <v>203</v>
      </c>
      <c r="B577" s="26">
        <v>2011</v>
      </c>
      <c r="C577" s="74" t="s">
        <v>202</v>
      </c>
      <c r="D577" s="27">
        <v>0</v>
      </c>
      <c r="E577" s="53">
        <v>3164200000</v>
      </c>
      <c r="F577" s="53">
        <v>3164200000</v>
      </c>
      <c r="G577" s="53">
        <v>952007447.04999995</v>
      </c>
      <c r="H577" s="53">
        <v>-679088592.50999999</v>
      </c>
      <c r="I577" s="53">
        <v>52698713.890000001</v>
      </c>
      <c r="J577" s="53">
        <v>31900435.34</v>
      </c>
      <c r="K577" s="53">
        <v>32693096.149999999</v>
      </c>
      <c r="L577" s="53">
        <v>20591455.300000001</v>
      </c>
      <c r="M577" s="53">
        <v>14768763.949999999</v>
      </c>
      <c r="N577" s="53">
        <v>18289362.960000001</v>
      </c>
      <c r="O577" s="53">
        <v>16710304.609999999</v>
      </c>
      <c r="P577" s="53">
        <v>8877093.0999999996</v>
      </c>
      <c r="Q577" s="53">
        <v>92047438.159999996</v>
      </c>
      <c r="R577" s="53">
        <v>2625335222.73</v>
      </c>
    </row>
    <row r="578" spans="1:18" x14ac:dyDescent="0.25">
      <c r="A578" s="25" t="s">
        <v>200</v>
      </c>
      <c r="B578" s="26">
        <v>2011</v>
      </c>
      <c r="C578" s="74" t="s">
        <v>199</v>
      </c>
      <c r="D578" s="27">
        <v>0</v>
      </c>
      <c r="E578" s="53">
        <v>50000000</v>
      </c>
      <c r="F578" s="53">
        <v>50000000</v>
      </c>
      <c r="G578" s="53">
        <v>4947882.16</v>
      </c>
      <c r="H578" s="53">
        <v>3737710.68</v>
      </c>
      <c r="I578" s="53">
        <v>4366055.29</v>
      </c>
      <c r="J578" s="53">
        <v>3587905.38</v>
      </c>
      <c r="K578" s="53">
        <v>4000385.68</v>
      </c>
      <c r="L578" s="53">
        <v>4276265.0199999996</v>
      </c>
      <c r="M578" s="53">
        <v>2701577.36</v>
      </c>
      <c r="N578" s="53">
        <v>4360378.9800000004</v>
      </c>
      <c r="O578" s="53">
        <v>4420025.42</v>
      </c>
      <c r="P578" s="53">
        <v>3408383.14</v>
      </c>
      <c r="Q578" s="53">
        <v>4500863.5199999996</v>
      </c>
      <c r="R578" s="53">
        <v>4042238.36</v>
      </c>
    </row>
    <row r="579" spans="1:18" x14ac:dyDescent="0.25">
      <c r="A579" s="25" t="s">
        <v>198</v>
      </c>
      <c r="B579" s="26">
        <v>2011</v>
      </c>
      <c r="C579" s="74" t="s">
        <v>197</v>
      </c>
      <c r="D579" s="27">
        <v>0</v>
      </c>
      <c r="E579" s="53">
        <v>4000000</v>
      </c>
      <c r="F579" s="53">
        <v>4000000</v>
      </c>
      <c r="G579" s="53">
        <v>72670</v>
      </c>
      <c r="H579" s="53">
        <v>164502</v>
      </c>
      <c r="I579" s="53">
        <v>77670</v>
      </c>
      <c r="J579" s="53">
        <v>144146</v>
      </c>
      <c r="K579" s="53">
        <v>182436</v>
      </c>
      <c r="L579" s="53">
        <v>83950</v>
      </c>
      <c r="M579" s="53">
        <v>136010</v>
      </c>
      <c r="N579" s="53">
        <v>78156</v>
      </c>
      <c r="O579" s="53">
        <v>125016</v>
      </c>
      <c r="P579" s="53">
        <v>135356</v>
      </c>
      <c r="Q579" s="53">
        <v>98291</v>
      </c>
      <c r="R579" s="53">
        <v>108640</v>
      </c>
    </row>
    <row r="580" spans="1:18" x14ac:dyDescent="0.25">
      <c r="A580" s="25" t="s">
        <v>196</v>
      </c>
      <c r="B580" s="26">
        <v>2011</v>
      </c>
      <c r="C580" s="74" t="s">
        <v>195</v>
      </c>
      <c r="D580" s="27">
        <v>0</v>
      </c>
      <c r="E580" s="53">
        <v>125000000</v>
      </c>
      <c r="F580" s="53">
        <v>125000000</v>
      </c>
      <c r="G580" s="53">
        <v>8983034.9900000002</v>
      </c>
      <c r="H580" s="53">
        <v>8581020.3000000007</v>
      </c>
      <c r="I580" s="53">
        <v>9039534.5</v>
      </c>
      <c r="J580" s="53">
        <v>8738177.9000000004</v>
      </c>
      <c r="K580" s="53">
        <v>8639193</v>
      </c>
      <c r="L580" s="53">
        <v>7645115.5</v>
      </c>
      <c r="M580" s="53">
        <v>7006799.0999999996</v>
      </c>
      <c r="N580" s="53">
        <v>7607324</v>
      </c>
      <c r="O580" s="53">
        <v>7820744.5999999996</v>
      </c>
      <c r="P580" s="53">
        <v>7582614.5</v>
      </c>
      <c r="Q580" s="53">
        <v>8325315.3099999996</v>
      </c>
      <c r="R580" s="53">
        <v>8746519.1500000004</v>
      </c>
    </row>
    <row r="581" spans="1:18" x14ac:dyDescent="0.25">
      <c r="A581" s="25" t="s">
        <v>194</v>
      </c>
      <c r="B581" s="26">
        <v>2011</v>
      </c>
      <c r="C581" s="74" t="s">
        <v>193</v>
      </c>
      <c r="D581" s="27">
        <v>0</v>
      </c>
      <c r="E581" s="53">
        <v>37000000</v>
      </c>
      <c r="F581" s="53">
        <v>37000000</v>
      </c>
      <c r="G581" s="53">
        <v>3635150.5</v>
      </c>
      <c r="H581" s="53">
        <v>2505001</v>
      </c>
      <c r="I581" s="53">
        <v>4946393.5</v>
      </c>
      <c r="J581" s="53">
        <v>1526292</v>
      </c>
      <c r="K581" s="53">
        <v>1164240</v>
      </c>
      <c r="L581" s="53">
        <v>3384370</v>
      </c>
      <c r="M581" s="53">
        <v>3573928</v>
      </c>
      <c r="N581" s="53">
        <v>3129217.7</v>
      </c>
      <c r="O581" s="53">
        <v>2014844</v>
      </c>
      <c r="P581" s="53">
        <v>2993584.84</v>
      </c>
      <c r="Q581" s="53">
        <v>3793600</v>
      </c>
      <c r="R581" s="53">
        <v>5517654</v>
      </c>
    </row>
    <row r="582" spans="1:18" x14ac:dyDescent="0.25">
      <c r="A582" s="25" t="s">
        <v>187</v>
      </c>
      <c r="B582" s="26">
        <v>2011</v>
      </c>
      <c r="C582" s="74" t="s">
        <v>186</v>
      </c>
      <c r="D582" s="27">
        <v>0</v>
      </c>
      <c r="E582" s="53">
        <v>27500000</v>
      </c>
      <c r="F582" s="53">
        <v>27500000</v>
      </c>
      <c r="G582" s="53">
        <v>1734000</v>
      </c>
      <c r="H582" s="53">
        <v>1588426.58</v>
      </c>
      <c r="I582" s="53">
        <v>3250000</v>
      </c>
      <c r="J582" s="53">
        <v>1728000</v>
      </c>
      <c r="K582" s="53">
        <v>1625000</v>
      </c>
      <c r="L582" s="53">
        <v>1072578</v>
      </c>
      <c r="M582" s="53">
        <v>2229000</v>
      </c>
      <c r="N582" s="53">
        <v>2493000</v>
      </c>
      <c r="O582" s="53">
        <v>1691000</v>
      </c>
      <c r="P582" s="53">
        <v>1830000</v>
      </c>
      <c r="Q582" s="53">
        <v>1578000</v>
      </c>
      <c r="R582" s="53">
        <v>1122000</v>
      </c>
    </row>
    <row r="583" spans="1:18" x14ac:dyDescent="0.25">
      <c r="A583" s="25" t="s">
        <v>185</v>
      </c>
      <c r="B583" s="26">
        <v>2011</v>
      </c>
      <c r="C583" s="74" t="s">
        <v>184</v>
      </c>
      <c r="D583" s="27">
        <v>0</v>
      </c>
      <c r="E583" s="53">
        <v>55000000</v>
      </c>
      <c r="F583" s="53">
        <v>55000000</v>
      </c>
      <c r="G583" s="53">
        <v>2989665.11</v>
      </c>
      <c r="H583" s="53">
        <v>13583000</v>
      </c>
      <c r="I583" s="53">
        <v>11282914.01</v>
      </c>
      <c r="J583" s="53">
        <v>86196.18</v>
      </c>
      <c r="K583" s="53">
        <v>649404.43000000005</v>
      </c>
      <c r="L583" s="53">
        <v>410000</v>
      </c>
      <c r="M583" s="53">
        <v>1958011.46</v>
      </c>
      <c r="N583" s="53">
        <v>0</v>
      </c>
      <c r="O583" s="53">
        <v>0</v>
      </c>
      <c r="P583" s="53">
        <v>4500</v>
      </c>
      <c r="Q583" s="53">
        <v>240000</v>
      </c>
      <c r="R583" s="53">
        <v>0</v>
      </c>
    </row>
    <row r="584" spans="1:18" x14ac:dyDescent="0.25">
      <c r="A584" s="25" t="s">
        <v>495</v>
      </c>
      <c r="B584" s="26">
        <v>2011</v>
      </c>
      <c r="C584" s="74" t="s">
        <v>494</v>
      </c>
      <c r="D584" s="27">
        <v>0</v>
      </c>
      <c r="E584" s="53">
        <v>6400000</v>
      </c>
      <c r="F584" s="53">
        <v>6400000</v>
      </c>
      <c r="G584" s="53">
        <v>0</v>
      </c>
      <c r="H584" s="53">
        <v>0</v>
      </c>
      <c r="I584" s="53">
        <v>0</v>
      </c>
      <c r="J584" s="53">
        <v>2225372.2200000002</v>
      </c>
      <c r="K584" s="53">
        <v>0</v>
      </c>
      <c r="L584" s="53">
        <v>1686808.35</v>
      </c>
      <c r="M584" s="53">
        <v>0</v>
      </c>
      <c r="N584" s="53">
        <v>0</v>
      </c>
      <c r="O584" s="53">
        <v>1150063.44</v>
      </c>
      <c r="P584" s="53">
        <v>0</v>
      </c>
      <c r="Q584" s="53">
        <v>0</v>
      </c>
      <c r="R584" s="53">
        <v>564601.51</v>
      </c>
    </row>
    <row r="585" spans="1:18" x14ac:dyDescent="0.25">
      <c r="A585" s="25" t="s">
        <v>493</v>
      </c>
      <c r="B585" s="26">
        <v>2011</v>
      </c>
      <c r="C585" s="74" t="s">
        <v>492</v>
      </c>
      <c r="D585" s="27">
        <v>0</v>
      </c>
      <c r="E585" s="53">
        <v>700000</v>
      </c>
      <c r="F585" s="53">
        <v>700000</v>
      </c>
      <c r="G585" s="53">
        <v>0</v>
      </c>
      <c r="H585" s="53">
        <v>0</v>
      </c>
      <c r="I585" s="53">
        <v>0</v>
      </c>
      <c r="J585" s="53">
        <v>0</v>
      </c>
      <c r="K585" s="53">
        <v>655939.56000000006</v>
      </c>
      <c r="L585" s="53">
        <v>0</v>
      </c>
      <c r="M585" s="53">
        <v>0</v>
      </c>
      <c r="N585" s="53">
        <v>0</v>
      </c>
      <c r="O585" s="53">
        <v>0</v>
      </c>
      <c r="P585" s="53">
        <v>0</v>
      </c>
      <c r="Q585" s="53">
        <v>0</v>
      </c>
      <c r="R585" s="53">
        <v>0</v>
      </c>
    </row>
    <row r="586" spans="1:18" x14ac:dyDescent="0.25">
      <c r="A586" s="25" t="s">
        <v>176</v>
      </c>
      <c r="B586" s="26">
        <v>2011</v>
      </c>
      <c r="C586" s="74" t="s">
        <v>175</v>
      </c>
      <c r="D586" s="27">
        <v>0</v>
      </c>
      <c r="E586" s="53">
        <v>285000000</v>
      </c>
      <c r="F586" s="53">
        <v>285000000</v>
      </c>
      <c r="G586" s="53">
        <v>9076564.1199999992</v>
      </c>
      <c r="H586" s="53">
        <v>20533602.34</v>
      </c>
      <c r="I586" s="53">
        <v>29416153.420000002</v>
      </c>
      <c r="J586" s="53">
        <v>21564388.920000002</v>
      </c>
      <c r="K586" s="53">
        <v>8541299.8599999994</v>
      </c>
      <c r="L586" s="53">
        <v>14919535.82</v>
      </c>
      <c r="M586" s="53">
        <v>18593558.93</v>
      </c>
      <c r="N586" s="53">
        <v>8964658.6300000008</v>
      </c>
      <c r="O586" s="53">
        <v>31154086.57</v>
      </c>
      <c r="P586" s="53">
        <v>13716065.300000001</v>
      </c>
      <c r="Q586" s="53">
        <v>24388746.57</v>
      </c>
      <c r="R586" s="53">
        <v>-70176129.299999997</v>
      </c>
    </row>
    <row r="587" spans="1:18" x14ac:dyDescent="0.25">
      <c r="A587" s="25" t="s">
        <v>174</v>
      </c>
      <c r="B587" s="26">
        <v>2011</v>
      </c>
      <c r="C587" s="74" t="s">
        <v>173</v>
      </c>
      <c r="D587" s="27">
        <v>0</v>
      </c>
      <c r="E587" s="53">
        <v>1550000000</v>
      </c>
      <c r="F587" s="53">
        <v>1550000000</v>
      </c>
      <c r="G587" s="53">
        <v>0</v>
      </c>
      <c r="H587" s="53">
        <v>306769986.07999998</v>
      </c>
      <c r="I587" s="53">
        <v>0</v>
      </c>
      <c r="J587" s="53">
        <v>1200</v>
      </c>
      <c r="K587" s="53">
        <v>0</v>
      </c>
      <c r="L587" s="53">
        <v>0</v>
      </c>
      <c r="M587" s="53">
        <v>1592353379</v>
      </c>
      <c r="N587" s="53">
        <v>0</v>
      </c>
      <c r="O587" s="53">
        <v>0</v>
      </c>
      <c r="P587" s="53">
        <v>0</v>
      </c>
      <c r="Q587" s="53">
        <v>0</v>
      </c>
      <c r="R587" s="53">
        <v>864651572.61000001</v>
      </c>
    </row>
    <row r="588" spans="1:18" x14ac:dyDescent="0.25">
      <c r="A588" s="25" t="s">
        <v>172</v>
      </c>
      <c r="B588" s="26">
        <v>2011</v>
      </c>
      <c r="C588" s="74" t="s">
        <v>171</v>
      </c>
      <c r="D588" s="27">
        <v>0</v>
      </c>
      <c r="E588" s="53">
        <v>200000000</v>
      </c>
      <c r="F588" s="53">
        <v>200000000</v>
      </c>
      <c r="G588" s="53">
        <v>1389</v>
      </c>
      <c r="H588" s="53">
        <v>33725</v>
      </c>
      <c r="I588" s="53">
        <v>0</v>
      </c>
      <c r="J588" s="53">
        <v>0</v>
      </c>
      <c r="K588" s="53">
        <v>0</v>
      </c>
      <c r="L588" s="53">
        <v>0</v>
      </c>
      <c r="M588" s="53">
        <v>0</v>
      </c>
      <c r="N588" s="53">
        <v>0</v>
      </c>
      <c r="O588" s="53">
        <v>0</v>
      </c>
      <c r="P588" s="53">
        <v>0</v>
      </c>
      <c r="Q588" s="53">
        <v>38913</v>
      </c>
      <c r="R588" s="53">
        <v>50185</v>
      </c>
    </row>
    <row r="589" spans="1:18" x14ac:dyDescent="0.25">
      <c r="A589" s="25" t="s">
        <v>170</v>
      </c>
      <c r="B589" s="26">
        <v>2011</v>
      </c>
      <c r="C589" s="74" t="s">
        <v>168</v>
      </c>
      <c r="D589" s="27">
        <v>0</v>
      </c>
      <c r="E589" s="53">
        <v>600000000</v>
      </c>
      <c r="F589" s="53">
        <v>600000000</v>
      </c>
      <c r="G589" s="53">
        <v>10738036.52</v>
      </c>
      <c r="H589" s="53">
        <v>25765055.25</v>
      </c>
      <c r="I589" s="53">
        <v>41997612.869999997</v>
      </c>
      <c r="J589" s="53">
        <v>21459102.550000001</v>
      </c>
      <c r="K589" s="53">
        <v>25777180.010000002</v>
      </c>
      <c r="L589" s="53">
        <v>19101168.84</v>
      </c>
      <c r="M589" s="53">
        <v>16874345.359999999</v>
      </c>
      <c r="N589" s="53">
        <v>23952122.300000001</v>
      </c>
      <c r="O589" s="53">
        <v>11862019.23</v>
      </c>
      <c r="P589" s="53">
        <v>16031210.84</v>
      </c>
      <c r="Q589" s="53">
        <v>21900464.719999999</v>
      </c>
      <c r="R589" s="53">
        <v>21771767.350000001</v>
      </c>
    </row>
    <row r="590" spans="1:18" x14ac:dyDescent="0.25">
      <c r="A590" s="25" t="s">
        <v>167</v>
      </c>
      <c r="B590" s="26">
        <v>2011</v>
      </c>
      <c r="C590" s="74" t="s">
        <v>166</v>
      </c>
      <c r="D590" s="27">
        <v>0</v>
      </c>
      <c r="E590" s="53">
        <v>4500000000</v>
      </c>
      <c r="F590" s="53">
        <v>4500000000</v>
      </c>
      <c r="G590" s="53">
        <v>251441282</v>
      </c>
      <c r="H590" s="53">
        <v>483752653</v>
      </c>
      <c r="I590" s="53">
        <v>540758424.85000002</v>
      </c>
      <c r="J590" s="53">
        <v>345900506</v>
      </c>
      <c r="K590" s="53">
        <v>377030741</v>
      </c>
      <c r="L590" s="53">
        <v>610132765</v>
      </c>
      <c r="M590" s="53">
        <v>640507939</v>
      </c>
      <c r="N590" s="53">
        <v>481503354</v>
      </c>
      <c r="O590" s="53">
        <v>434818043</v>
      </c>
      <c r="P590" s="53">
        <v>779643465</v>
      </c>
      <c r="Q590" s="53">
        <v>560125213</v>
      </c>
      <c r="R590" s="53">
        <v>678733997</v>
      </c>
    </row>
    <row r="591" spans="1:18" x14ac:dyDescent="0.25">
      <c r="A591" s="25" t="s">
        <v>165</v>
      </c>
      <c r="B591" s="26">
        <v>2011</v>
      </c>
      <c r="C591" s="74" t="s">
        <v>164</v>
      </c>
      <c r="D591" s="27">
        <v>0</v>
      </c>
      <c r="E591" s="53">
        <v>60000000</v>
      </c>
      <c r="F591" s="53">
        <v>60000000</v>
      </c>
      <c r="G591" s="53">
        <v>29438395.129999999</v>
      </c>
      <c r="H591" s="53">
        <v>363762.35</v>
      </c>
      <c r="I591" s="53">
        <v>4498586.91</v>
      </c>
      <c r="J591" s="53">
        <v>1572044.68</v>
      </c>
      <c r="K591" s="53">
        <v>1501261.45</v>
      </c>
      <c r="L591" s="53">
        <v>1672614.52</v>
      </c>
      <c r="M591" s="53">
        <v>4077449.87</v>
      </c>
      <c r="N591" s="53">
        <v>1465620.8</v>
      </c>
      <c r="O591" s="53">
        <v>0</v>
      </c>
      <c r="P591" s="53">
        <v>1604041.56</v>
      </c>
      <c r="Q591" s="53">
        <v>14023412.16</v>
      </c>
      <c r="R591" s="53">
        <v>2550000</v>
      </c>
    </row>
    <row r="592" spans="1:18" x14ac:dyDescent="0.25">
      <c r="A592" s="25" t="s">
        <v>445</v>
      </c>
      <c r="B592" s="26">
        <v>2011</v>
      </c>
      <c r="C592" s="74" t="s">
        <v>444</v>
      </c>
      <c r="D592" s="27">
        <v>0</v>
      </c>
      <c r="E592" s="53">
        <v>43000000</v>
      </c>
      <c r="F592" s="53">
        <v>43000000</v>
      </c>
      <c r="G592" s="53">
        <v>2871000</v>
      </c>
      <c r="H592" s="53">
        <v>2871000</v>
      </c>
      <c r="I592" s="53">
        <v>2871000</v>
      </c>
      <c r="J592" s="53">
        <v>0</v>
      </c>
      <c r="K592" s="53">
        <v>1100</v>
      </c>
      <c r="L592" s="53">
        <v>1500000</v>
      </c>
      <c r="M592" s="53">
        <v>0</v>
      </c>
      <c r="N592" s="53">
        <v>1000000</v>
      </c>
      <c r="O592" s="53">
        <v>49312000</v>
      </c>
      <c r="P592" s="53">
        <v>0</v>
      </c>
      <c r="Q592" s="53">
        <v>37920000</v>
      </c>
      <c r="R592" s="53">
        <v>0</v>
      </c>
    </row>
    <row r="593" spans="1:18" x14ac:dyDescent="0.25">
      <c r="A593" s="25" t="s">
        <v>163</v>
      </c>
      <c r="B593" s="26">
        <v>2011</v>
      </c>
      <c r="C593" s="74" t="s">
        <v>162</v>
      </c>
      <c r="D593" s="27">
        <v>0</v>
      </c>
      <c r="E593" s="53">
        <v>82000000</v>
      </c>
      <c r="F593" s="53">
        <v>82000000</v>
      </c>
      <c r="G593" s="53">
        <v>11445000</v>
      </c>
      <c r="H593" s="53">
        <v>3771500</v>
      </c>
      <c r="I593" s="53">
        <v>4090500</v>
      </c>
      <c r="J593" s="53">
        <v>0</v>
      </c>
      <c r="K593" s="53">
        <v>0</v>
      </c>
      <c r="L593" s="53">
        <v>8164000</v>
      </c>
      <c r="M593" s="53">
        <v>6785500</v>
      </c>
      <c r="N593" s="53">
        <v>952500</v>
      </c>
      <c r="O593" s="53">
        <v>7452500</v>
      </c>
      <c r="P593" s="53">
        <v>4895500</v>
      </c>
      <c r="Q593" s="53">
        <v>2636500</v>
      </c>
      <c r="R593" s="53">
        <v>5168000</v>
      </c>
    </row>
    <row r="594" spans="1:18" x14ac:dyDescent="0.25">
      <c r="A594" s="25" t="s">
        <v>161</v>
      </c>
      <c r="B594" s="26">
        <v>2011</v>
      </c>
      <c r="C594" s="74" t="s">
        <v>160</v>
      </c>
      <c r="D594" s="27">
        <v>0</v>
      </c>
      <c r="E594" s="53">
        <v>6300000</v>
      </c>
      <c r="F594" s="53">
        <v>6300000</v>
      </c>
      <c r="G594" s="53">
        <v>1499376.61</v>
      </c>
      <c r="H594" s="53">
        <v>3653181.19</v>
      </c>
      <c r="I594" s="53">
        <v>9293895.0500000007</v>
      </c>
      <c r="J594" s="53">
        <v>445180.47</v>
      </c>
      <c r="K594" s="53">
        <v>732057.11</v>
      </c>
      <c r="L594" s="53">
        <v>99065.3</v>
      </c>
      <c r="M594" s="53">
        <v>3021151.48</v>
      </c>
      <c r="N594" s="53">
        <v>6918447.0999999996</v>
      </c>
      <c r="O594" s="53">
        <v>29278239.5</v>
      </c>
      <c r="P594" s="53">
        <v>18414471.52</v>
      </c>
      <c r="Q594" s="53">
        <v>86387327.109999999</v>
      </c>
      <c r="R594" s="53">
        <v>32471253.899999999</v>
      </c>
    </row>
    <row r="595" spans="1:18" x14ac:dyDescent="0.25">
      <c r="A595" s="25" t="s">
        <v>153</v>
      </c>
      <c r="B595" s="26">
        <v>2011</v>
      </c>
      <c r="C595" s="74" t="s">
        <v>151</v>
      </c>
      <c r="D595" s="27">
        <v>0</v>
      </c>
      <c r="E595" s="53">
        <v>80400000</v>
      </c>
      <c r="F595" s="53">
        <v>80400000</v>
      </c>
      <c r="G595" s="53">
        <v>544782.88</v>
      </c>
      <c r="H595" s="53">
        <v>1309268.7</v>
      </c>
      <c r="I595" s="53">
        <v>954497.4</v>
      </c>
      <c r="J595" s="53">
        <v>2790271.93</v>
      </c>
      <c r="K595" s="53">
        <v>36872389.689999998</v>
      </c>
      <c r="L595" s="53">
        <v>590982.68999999994</v>
      </c>
      <c r="M595" s="53">
        <v>1408265.76</v>
      </c>
      <c r="N595" s="53">
        <v>18393665.719999999</v>
      </c>
      <c r="O595" s="53">
        <v>709711.15</v>
      </c>
      <c r="P595" s="53">
        <v>1600041.12</v>
      </c>
      <c r="Q595" s="53">
        <v>3368251.3</v>
      </c>
      <c r="R595" s="53">
        <v>1646040.7</v>
      </c>
    </row>
    <row r="596" spans="1:18" x14ac:dyDescent="0.25">
      <c r="A596" s="25" t="s">
        <v>150</v>
      </c>
      <c r="B596" s="26">
        <v>2011</v>
      </c>
      <c r="C596" s="74" t="s">
        <v>149</v>
      </c>
      <c r="D596" s="27">
        <v>0</v>
      </c>
      <c r="E596" s="53">
        <v>70000000</v>
      </c>
      <c r="F596" s="53">
        <v>70000000</v>
      </c>
      <c r="G596" s="53">
        <v>10500469.09</v>
      </c>
      <c r="H596" s="53">
        <v>3470000</v>
      </c>
      <c r="I596" s="53">
        <v>20909998.379999999</v>
      </c>
      <c r="J596" s="53">
        <v>5101607</v>
      </c>
      <c r="K596" s="53">
        <v>7267765.1799999997</v>
      </c>
      <c r="L596" s="53">
        <v>17327181.850000001</v>
      </c>
      <c r="M596" s="53">
        <v>6227038.2300000004</v>
      </c>
      <c r="N596" s="53">
        <v>10792542.130000001</v>
      </c>
      <c r="O596" s="53">
        <v>16285587.619999999</v>
      </c>
      <c r="P596" s="53">
        <v>12236340</v>
      </c>
      <c r="Q596" s="53">
        <v>2407919.2599999998</v>
      </c>
      <c r="R596" s="53">
        <v>6562561.6100000003</v>
      </c>
    </row>
    <row r="597" spans="1:18" x14ac:dyDescent="0.25">
      <c r="A597" s="25" t="s">
        <v>144</v>
      </c>
      <c r="B597" s="26">
        <v>2011</v>
      </c>
      <c r="C597" s="74" t="s">
        <v>143</v>
      </c>
      <c r="D597" s="27">
        <v>0</v>
      </c>
      <c r="E597" s="53">
        <v>900000000</v>
      </c>
      <c r="F597" s="53">
        <v>900000000</v>
      </c>
      <c r="G597" s="53">
        <v>372798324.98000002</v>
      </c>
      <c r="H597" s="53">
        <v>136460532.78</v>
      </c>
      <c r="I597" s="53">
        <v>167474151.28999999</v>
      </c>
      <c r="J597" s="53">
        <v>71032656.859999999</v>
      </c>
      <c r="K597" s="53">
        <v>79209910.879999995</v>
      </c>
      <c r="L597" s="53">
        <v>277336711.77999997</v>
      </c>
      <c r="M597" s="53">
        <v>588214591.25999999</v>
      </c>
      <c r="N597" s="53">
        <v>134730939.28</v>
      </c>
      <c r="O597" s="53">
        <v>168371558.53</v>
      </c>
      <c r="P597" s="53">
        <v>80696047.480000004</v>
      </c>
      <c r="Q597" s="53">
        <v>290528135.19999999</v>
      </c>
      <c r="R597" s="53">
        <v>-138945702.84</v>
      </c>
    </row>
    <row r="598" spans="1:18" x14ac:dyDescent="0.25">
      <c r="A598" s="25" t="s">
        <v>142</v>
      </c>
      <c r="B598" s="26">
        <v>2011</v>
      </c>
      <c r="C598" s="74" t="s">
        <v>141</v>
      </c>
      <c r="D598" s="27">
        <v>0</v>
      </c>
      <c r="E598" s="53">
        <v>1385000000</v>
      </c>
      <c r="F598" s="53">
        <v>1385000000</v>
      </c>
      <c r="G598" s="53">
        <v>84299631.510000005</v>
      </c>
      <c r="H598" s="53">
        <v>82307557.120000005</v>
      </c>
      <c r="I598" s="53">
        <v>153195280.13</v>
      </c>
      <c r="J598" s="53">
        <v>60811541.369999997</v>
      </c>
      <c r="K598" s="53">
        <v>219150993.55000001</v>
      </c>
      <c r="L598" s="53">
        <v>129897399.75</v>
      </c>
      <c r="M598" s="53">
        <v>98612349.540000007</v>
      </c>
      <c r="N598" s="53">
        <v>86888044.590000004</v>
      </c>
      <c r="O598" s="53">
        <v>94818797.909999996</v>
      </c>
      <c r="P598" s="53">
        <v>88686222.349999994</v>
      </c>
      <c r="Q598" s="53">
        <v>69385763.540000007</v>
      </c>
      <c r="R598" s="53">
        <v>43680705.479999997</v>
      </c>
    </row>
    <row r="599" spans="1:18" x14ac:dyDescent="0.25">
      <c r="A599" s="25" t="s">
        <v>140</v>
      </c>
      <c r="B599" s="26">
        <v>2011</v>
      </c>
      <c r="C599" s="74" t="s">
        <v>139</v>
      </c>
      <c r="D599" s="27">
        <v>0</v>
      </c>
      <c r="E599" s="53">
        <v>22042600000</v>
      </c>
      <c r="F599" s="53">
        <v>22042600000</v>
      </c>
      <c r="G599" s="53">
        <v>0</v>
      </c>
      <c r="H599" s="53">
        <v>0</v>
      </c>
      <c r="I599" s="53">
        <v>0</v>
      </c>
      <c r="J599" s="53">
        <v>0</v>
      </c>
      <c r="K599" s="53">
        <v>0</v>
      </c>
      <c r="L599" s="53">
        <v>0</v>
      </c>
      <c r="M599" s="53">
        <v>4376920786</v>
      </c>
      <c r="N599" s="53">
        <v>0</v>
      </c>
      <c r="O599" s="53">
        <v>6802706711</v>
      </c>
      <c r="P599" s="53">
        <v>0</v>
      </c>
      <c r="Q599" s="53">
        <v>4285960990</v>
      </c>
      <c r="R599" s="53">
        <v>4943310492</v>
      </c>
    </row>
    <row r="600" spans="1:18" x14ac:dyDescent="0.25">
      <c r="A600" s="25" t="s">
        <v>138</v>
      </c>
      <c r="B600" s="26">
        <v>2011</v>
      </c>
      <c r="C600" s="74" t="s">
        <v>137</v>
      </c>
      <c r="D600" s="27">
        <v>0</v>
      </c>
      <c r="E600" s="53">
        <v>2000000000</v>
      </c>
      <c r="F600" s="53">
        <v>2000000000</v>
      </c>
      <c r="G600" s="53">
        <v>0</v>
      </c>
      <c r="H600" s="53">
        <v>0</v>
      </c>
      <c r="I600" s="53">
        <v>0</v>
      </c>
      <c r="J600" s="53">
        <v>0</v>
      </c>
      <c r="K600" s="53">
        <v>257760000</v>
      </c>
      <c r="L600" s="53">
        <v>0</v>
      </c>
      <c r="M600" s="53">
        <v>0</v>
      </c>
      <c r="N600" s="53">
        <v>623800000</v>
      </c>
      <c r="O600" s="53">
        <v>0</v>
      </c>
      <c r="P600" s="53">
        <v>0</v>
      </c>
      <c r="Q600" s="53">
        <v>308360000</v>
      </c>
      <c r="R600" s="53">
        <v>727280000</v>
      </c>
    </row>
    <row r="601" spans="1:18" x14ac:dyDescent="0.25">
      <c r="A601" s="25" t="s">
        <v>136</v>
      </c>
      <c r="B601" s="26">
        <v>2011</v>
      </c>
      <c r="C601" s="74" t="s">
        <v>135</v>
      </c>
      <c r="D601" s="27">
        <v>0</v>
      </c>
      <c r="E601" s="53">
        <v>1500000000</v>
      </c>
      <c r="F601" s="53">
        <v>1500000000</v>
      </c>
      <c r="G601" s="53">
        <v>0</v>
      </c>
      <c r="H601" s="53">
        <v>0</v>
      </c>
      <c r="I601" s="53">
        <v>0</v>
      </c>
      <c r="J601" s="53">
        <v>0</v>
      </c>
      <c r="K601" s="53">
        <v>463830000</v>
      </c>
      <c r="L601" s="53">
        <v>0</v>
      </c>
      <c r="M601" s="53">
        <v>0</v>
      </c>
      <c r="N601" s="53">
        <v>492000000</v>
      </c>
      <c r="O601" s="53">
        <v>0</v>
      </c>
      <c r="P601" s="53">
        <v>0</v>
      </c>
      <c r="Q601" s="53">
        <v>43000000</v>
      </c>
      <c r="R601" s="53">
        <v>0</v>
      </c>
    </row>
    <row r="602" spans="1:18" x14ac:dyDescent="0.25">
      <c r="A602" s="25" t="s">
        <v>134</v>
      </c>
      <c r="B602" s="26">
        <v>2011</v>
      </c>
      <c r="C602" s="74" t="s">
        <v>133</v>
      </c>
      <c r="D602" s="27">
        <v>0</v>
      </c>
      <c r="E602" s="53">
        <v>56296100000</v>
      </c>
      <c r="F602" s="53">
        <v>56296100000</v>
      </c>
      <c r="G602" s="53">
        <v>0</v>
      </c>
      <c r="H602" s="53">
        <v>0</v>
      </c>
      <c r="I602" s="53">
        <v>0</v>
      </c>
      <c r="J602" s="53">
        <v>0</v>
      </c>
      <c r="K602" s="53">
        <v>14077000000</v>
      </c>
      <c r="L602" s="53">
        <v>5000000000</v>
      </c>
      <c r="M602" s="53">
        <v>0</v>
      </c>
      <c r="N602" s="53">
        <v>15000000000</v>
      </c>
      <c r="O602" s="53">
        <v>0</v>
      </c>
      <c r="P602" s="53">
        <v>5000000000</v>
      </c>
      <c r="Q602" s="53">
        <v>10000000000</v>
      </c>
      <c r="R602" s="53">
        <v>7219100000</v>
      </c>
    </row>
    <row r="603" spans="1:18" x14ac:dyDescent="0.25">
      <c r="A603" s="25" t="s">
        <v>132</v>
      </c>
      <c r="B603" s="26">
        <v>2011</v>
      </c>
      <c r="C603" s="74" t="s">
        <v>131</v>
      </c>
      <c r="D603" s="27">
        <v>0</v>
      </c>
      <c r="E603" s="53">
        <v>18550200000</v>
      </c>
      <c r="F603" s="53">
        <v>18550200000</v>
      </c>
      <c r="G603" s="53">
        <v>0</v>
      </c>
      <c r="H603" s="53">
        <v>0</v>
      </c>
      <c r="I603" s="53">
        <v>2518481942</v>
      </c>
      <c r="J603" s="53">
        <v>0</v>
      </c>
      <c r="K603" s="53">
        <v>7842407077</v>
      </c>
      <c r="L603" s="53">
        <v>4490913456</v>
      </c>
      <c r="M603" s="53">
        <v>0</v>
      </c>
      <c r="N603" s="53">
        <v>0</v>
      </c>
      <c r="O603" s="53">
        <v>0</v>
      </c>
      <c r="P603" s="53">
        <v>0</v>
      </c>
      <c r="Q603" s="53">
        <v>3024151699.7399998</v>
      </c>
      <c r="R603" s="53">
        <v>-305920000</v>
      </c>
    </row>
    <row r="604" spans="1:18" x14ac:dyDescent="0.25">
      <c r="A604" s="25" t="s">
        <v>130</v>
      </c>
      <c r="B604" s="26">
        <v>2011</v>
      </c>
      <c r="C604" s="74" t="s">
        <v>129</v>
      </c>
      <c r="D604" s="27">
        <v>0</v>
      </c>
      <c r="E604" s="53">
        <v>60000000000</v>
      </c>
      <c r="F604" s="53">
        <v>60000000000</v>
      </c>
      <c r="G604" s="53">
        <v>0</v>
      </c>
      <c r="H604" s="53">
        <v>0</v>
      </c>
      <c r="I604" s="53">
        <v>11519077275</v>
      </c>
      <c r="J604" s="53">
        <v>0</v>
      </c>
      <c r="K604" s="53">
        <v>10192369090</v>
      </c>
      <c r="L604" s="53">
        <v>5096184545</v>
      </c>
      <c r="M604" s="53">
        <v>5096184545</v>
      </c>
      <c r="N604" s="53">
        <v>0</v>
      </c>
      <c r="O604" s="53">
        <v>10192369090</v>
      </c>
      <c r="P604" s="53">
        <v>0</v>
      </c>
      <c r="Q604" s="53">
        <v>7307630908</v>
      </c>
      <c r="R604" s="53">
        <v>1096184545</v>
      </c>
    </row>
    <row r="605" spans="1:18" x14ac:dyDescent="0.25">
      <c r="A605" s="25" t="s">
        <v>128</v>
      </c>
      <c r="B605" s="26">
        <v>2011</v>
      </c>
      <c r="C605" s="74" t="s">
        <v>127</v>
      </c>
      <c r="D605" s="27">
        <v>0</v>
      </c>
      <c r="E605" s="53">
        <v>6400000000</v>
      </c>
      <c r="F605" s="53">
        <v>6400000000</v>
      </c>
      <c r="G605" s="53">
        <v>0</v>
      </c>
      <c r="H605" s="53">
        <v>0</v>
      </c>
      <c r="I605" s="53">
        <v>0</v>
      </c>
      <c r="J605" s="53">
        <v>0</v>
      </c>
      <c r="K605" s="53">
        <v>2099999999</v>
      </c>
      <c r="L605" s="53">
        <v>533333333.32999998</v>
      </c>
      <c r="M605" s="53">
        <v>0</v>
      </c>
      <c r="N605" s="53">
        <v>1066666665.67</v>
      </c>
      <c r="O605" s="53">
        <v>0</v>
      </c>
      <c r="P605" s="53">
        <v>533333333</v>
      </c>
      <c r="Q605" s="53">
        <v>1066666666</v>
      </c>
      <c r="R605" s="53">
        <v>1040000003</v>
      </c>
    </row>
    <row r="606" spans="1:18" x14ac:dyDescent="0.25">
      <c r="A606" s="25" t="s">
        <v>126</v>
      </c>
      <c r="B606" s="26">
        <v>2011</v>
      </c>
      <c r="C606" s="74" t="s">
        <v>125</v>
      </c>
      <c r="D606" s="27">
        <v>0</v>
      </c>
      <c r="E606" s="53">
        <v>1891600000</v>
      </c>
      <c r="F606" s="53">
        <v>1891600000</v>
      </c>
      <c r="G606" s="53">
        <v>0</v>
      </c>
      <c r="H606" s="53">
        <v>0</v>
      </c>
      <c r="I606" s="53">
        <v>0</v>
      </c>
      <c r="J606" s="53">
        <v>0</v>
      </c>
      <c r="K606" s="53">
        <v>0</v>
      </c>
      <c r="L606" s="53">
        <v>411812938</v>
      </c>
      <c r="M606" s="53">
        <v>59462776</v>
      </c>
      <c r="N606" s="53">
        <v>59465246</v>
      </c>
      <c r="O606" s="53">
        <v>0</v>
      </c>
      <c r="P606" s="53">
        <v>68577351</v>
      </c>
      <c r="Q606" s="53">
        <v>169486447</v>
      </c>
      <c r="R606" s="53">
        <v>155323947</v>
      </c>
    </row>
    <row r="607" spans="1:18" x14ac:dyDescent="0.25">
      <c r="A607" s="25" t="s">
        <v>122</v>
      </c>
      <c r="B607" s="26">
        <v>2011</v>
      </c>
      <c r="C607" s="74" t="s">
        <v>121</v>
      </c>
      <c r="D607" s="27">
        <v>0</v>
      </c>
      <c r="E607" s="53">
        <v>4287600000</v>
      </c>
      <c r="F607" s="53">
        <v>4287600000</v>
      </c>
      <c r="G607" s="53">
        <v>0</v>
      </c>
      <c r="H607" s="53">
        <v>0</v>
      </c>
      <c r="I607" s="53">
        <v>0</v>
      </c>
      <c r="J607" s="53">
        <v>279143522.17000002</v>
      </c>
      <c r="K607" s="53">
        <v>1094762514.7</v>
      </c>
      <c r="L607" s="53">
        <v>295622263.61000001</v>
      </c>
      <c r="M607" s="53">
        <v>291720742.83999997</v>
      </c>
      <c r="N607" s="53">
        <v>0</v>
      </c>
      <c r="O607" s="53">
        <v>595392572.74000001</v>
      </c>
      <c r="P607" s="53">
        <v>297555125.95999998</v>
      </c>
      <c r="Q607" s="53">
        <v>561936674.13</v>
      </c>
      <c r="R607" s="53">
        <v>857520243.35000002</v>
      </c>
    </row>
    <row r="608" spans="1:18" x14ac:dyDescent="0.25">
      <c r="A608" s="25" t="s">
        <v>485</v>
      </c>
      <c r="B608" s="26">
        <v>2011</v>
      </c>
      <c r="C608" s="74" t="s">
        <v>484</v>
      </c>
      <c r="D608" s="27">
        <v>0</v>
      </c>
      <c r="E608" s="53">
        <v>503500000</v>
      </c>
      <c r="F608" s="53">
        <v>503500000</v>
      </c>
      <c r="G608" s="53">
        <v>0</v>
      </c>
      <c r="H608" s="53">
        <v>0</v>
      </c>
      <c r="I608" s="53">
        <v>0</v>
      </c>
      <c r="J608" s="53">
        <v>0</v>
      </c>
      <c r="K608" s="53">
        <v>0</v>
      </c>
      <c r="L608" s="53">
        <v>0</v>
      </c>
      <c r="M608" s="53">
        <v>0</v>
      </c>
      <c r="N608" s="53">
        <v>0</v>
      </c>
      <c r="O608" s="53">
        <v>0</v>
      </c>
      <c r="P608" s="53">
        <v>0</v>
      </c>
      <c r="Q608" s="53">
        <v>0</v>
      </c>
      <c r="R608" s="53">
        <v>503455584.52999997</v>
      </c>
    </row>
    <row r="609" spans="1:18" x14ac:dyDescent="0.25">
      <c r="A609" s="25" t="s">
        <v>115</v>
      </c>
      <c r="B609" s="26">
        <v>2011</v>
      </c>
      <c r="C609" s="74" t="s">
        <v>114</v>
      </c>
      <c r="D609" s="27">
        <v>0</v>
      </c>
      <c r="E609" s="53">
        <v>2400000</v>
      </c>
      <c r="F609" s="53">
        <v>2400000</v>
      </c>
      <c r="G609" s="53">
        <v>0</v>
      </c>
      <c r="H609" s="53">
        <v>0</v>
      </c>
      <c r="I609" s="53">
        <v>0</v>
      </c>
      <c r="J609" s="53">
        <v>0</v>
      </c>
      <c r="K609" s="53">
        <v>0</v>
      </c>
      <c r="L609" s="53">
        <v>0</v>
      </c>
      <c r="M609" s="53">
        <v>2400000</v>
      </c>
      <c r="N609" s="53">
        <v>0</v>
      </c>
      <c r="O609" s="53">
        <v>0</v>
      </c>
      <c r="P609" s="53">
        <v>0</v>
      </c>
      <c r="Q609" s="53">
        <v>0</v>
      </c>
      <c r="R609" s="53">
        <v>0</v>
      </c>
    </row>
    <row r="610" spans="1:18" x14ac:dyDescent="0.25">
      <c r="A610" s="25" t="s">
        <v>113</v>
      </c>
      <c r="B610" s="26">
        <v>2011</v>
      </c>
      <c r="C610" s="74" t="s">
        <v>112</v>
      </c>
      <c r="D610" s="27">
        <v>0</v>
      </c>
      <c r="E610" s="53">
        <v>600000</v>
      </c>
      <c r="F610" s="53">
        <v>600000</v>
      </c>
      <c r="G610" s="53">
        <v>0</v>
      </c>
      <c r="H610" s="53">
        <v>0</v>
      </c>
      <c r="I610" s="53">
        <v>0</v>
      </c>
      <c r="J610" s="53">
        <v>0</v>
      </c>
      <c r="K610" s="53">
        <v>0</v>
      </c>
      <c r="L610" s="53">
        <v>0</v>
      </c>
      <c r="M610" s="53">
        <v>0</v>
      </c>
      <c r="N610" s="53">
        <v>0</v>
      </c>
      <c r="O610" s="53">
        <v>0</v>
      </c>
      <c r="P610" s="53">
        <v>0</v>
      </c>
      <c r="Q610" s="53">
        <v>0</v>
      </c>
      <c r="R610" s="53">
        <v>0</v>
      </c>
    </row>
    <row r="611" spans="1:18" x14ac:dyDescent="0.25">
      <c r="A611" s="25" t="s">
        <v>111</v>
      </c>
      <c r="B611" s="26">
        <v>2011</v>
      </c>
      <c r="C611" s="74" t="s">
        <v>110</v>
      </c>
      <c r="D611" s="27">
        <v>0</v>
      </c>
      <c r="E611" s="53">
        <v>16000000</v>
      </c>
      <c r="F611" s="53">
        <v>16000000</v>
      </c>
      <c r="G611" s="53">
        <v>0</v>
      </c>
      <c r="H611" s="53">
        <v>0</v>
      </c>
      <c r="I611" s="53">
        <v>0</v>
      </c>
      <c r="J611" s="53">
        <v>0</v>
      </c>
      <c r="K611" s="53">
        <v>0</v>
      </c>
      <c r="L611" s="53">
        <v>0</v>
      </c>
      <c r="M611" s="53">
        <v>3821536.71</v>
      </c>
      <c r="N611" s="53">
        <v>0</v>
      </c>
      <c r="O611" s="53">
        <v>0</v>
      </c>
      <c r="P611" s="53">
        <v>0</v>
      </c>
      <c r="Q611" s="53">
        <v>0</v>
      </c>
      <c r="R611" s="53">
        <v>0</v>
      </c>
    </row>
    <row r="612" spans="1:18" x14ac:dyDescent="0.25">
      <c r="A612" s="25" t="s">
        <v>109</v>
      </c>
      <c r="B612" s="26">
        <v>2011</v>
      </c>
      <c r="C612" s="74" t="s">
        <v>108</v>
      </c>
      <c r="D612" s="27">
        <v>0</v>
      </c>
      <c r="E612" s="53">
        <v>3800000</v>
      </c>
      <c r="F612" s="53">
        <v>3800000</v>
      </c>
      <c r="G612" s="53">
        <v>3800000</v>
      </c>
      <c r="H612" s="53">
        <v>0</v>
      </c>
      <c r="I612" s="53">
        <v>0</v>
      </c>
      <c r="J612" s="53">
        <v>0</v>
      </c>
      <c r="K612" s="53">
        <v>0</v>
      </c>
      <c r="L612" s="53">
        <v>0</v>
      </c>
      <c r="M612" s="53">
        <v>0</v>
      </c>
      <c r="N612" s="53">
        <v>0</v>
      </c>
      <c r="O612" s="53">
        <v>0</v>
      </c>
      <c r="P612" s="53">
        <v>0</v>
      </c>
      <c r="Q612" s="53">
        <v>0</v>
      </c>
      <c r="R612" s="53">
        <v>0</v>
      </c>
    </row>
    <row r="613" spans="1:18" x14ac:dyDescent="0.25">
      <c r="A613" s="25" t="s">
        <v>107</v>
      </c>
      <c r="B613" s="26">
        <v>2011</v>
      </c>
      <c r="C613" s="74" t="s">
        <v>106</v>
      </c>
      <c r="D613" s="27">
        <v>0</v>
      </c>
      <c r="E613" s="53">
        <v>8700000</v>
      </c>
      <c r="F613" s="53">
        <v>8700000</v>
      </c>
      <c r="G613" s="53">
        <v>0</v>
      </c>
      <c r="H613" s="53">
        <v>0</v>
      </c>
      <c r="I613" s="53">
        <v>8700000</v>
      </c>
      <c r="J613" s="53">
        <v>0</v>
      </c>
      <c r="K613" s="53">
        <v>0</v>
      </c>
      <c r="L613" s="53">
        <v>0</v>
      </c>
      <c r="M613" s="53">
        <v>0</v>
      </c>
      <c r="N613" s="53">
        <v>0</v>
      </c>
      <c r="O613" s="53">
        <v>0</v>
      </c>
      <c r="P613" s="53">
        <v>0</v>
      </c>
      <c r="Q613" s="53">
        <v>0</v>
      </c>
      <c r="R613" s="53">
        <v>0</v>
      </c>
    </row>
    <row r="614" spans="1:18" x14ac:dyDescent="0.25">
      <c r="A614" s="25" t="s">
        <v>105</v>
      </c>
      <c r="B614" s="26">
        <v>2011</v>
      </c>
      <c r="C614" s="74" t="s">
        <v>104</v>
      </c>
      <c r="D614" s="27">
        <v>0</v>
      </c>
      <c r="E614" s="53">
        <v>10200000</v>
      </c>
      <c r="F614" s="53">
        <v>10200000</v>
      </c>
      <c r="G614" s="53">
        <v>0</v>
      </c>
      <c r="H614" s="53">
        <v>10200000</v>
      </c>
      <c r="I614" s="53">
        <v>0</v>
      </c>
      <c r="J614" s="53">
        <v>0</v>
      </c>
      <c r="K614" s="53">
        <v>0</v>
      </c>
      <c r="L614" s="53">
        <v>0</v>
      </c>
      <c r="M614" s="53">
        <v>0</v>
      </c>
      <c r="N614" s="53">
        <v>0</v>
      </c>
      <c r="O614" s="53">
        <v>0</v>
      </c>
      <c r="P614" s="53">
        <v>0</v>
      </c>
      <c r="Q614" s="53">
        <v>0</v>
      </c>
      <c r="R614" s="53">
        <v>0</v>
      </c>
    </row>
    <row r="615" spans="1:18" x14ac:dyDescent="0.25">
      <c r="A615" s="25" t="s">
        <v>103</v>
      </c>
      <c r="B615" s="26">
        <v>2011</v>
      </c>
      <c r="C615" s="74" t="s">
        <v>102</v>
      </c>
      <c r="D615" s="27">
        <v>0</v>
      </c>
      <c r="E615" s="53">
        <v>18700000</v>
      </c>
      <c r="F615" s="53">
        <v>18700000</v>
      </c>
      <c r="G615" s="53">
        <v>0</v>
      </c>
      <c r="H615" s="53">
        <v>18700000</v>
      </c>
      <c r="I615" s="53">
        <v>0</v>
      </c>
      <c r="J615" s="53">
        <v>0</v>
      </c>
      <c r="K615" s="53">
        <v>0</v>
      </c>
      <c r="L615" s="53">
        <v>0</v>
      </c>
      <c r="M615" s="53">
        <v>0</v>
      </c>
      <c r="N615" s="53">
        <v>0</v>
      </c>
      <c r="O615" s="53">
        <v>0</v>
      </c>
      <c r="P615" s="53">
        <v>0</v>
      </c>
      <c r="Q615" s="53">
        <v>0</v>
      </c>
      <c r="R615" s="53">
        <v>0</v>
      </c>
    </row>
    <row r="616" spans="1:18" x14ac:dyDescent="0.25">
      <c r="A616" s="25" t="s">
        <v>101</v>
      </c>
      <c r="B616" s="26">
        <v>2011</v>
      </c>
      <c r="C616" s="74" t="s">
        <v>100</v>
      </c>
      <c r="D616" s="27">
        <v>0</v>
      </c>
      <c r="E616" s="53">
        <v>5400000</v>
      </c>
      <c r="F616" s="53">
        <v>5400000</v>
      </c>
      <c r="G616" s="53">
        <v>0</v>
      </c>
      <c r="H616" s="53">
        <v>0</v>
      </c>
      <c r="I616" s="53">
        <v>0</v>
      </c>
      <c r="J616" s="53">
        <v>0</v>
      </c>
      <c r="K616" s="53">
        <v>0</v>
      </c>
      <c r="L616" s="53">
        <v>0</v>
      </c>
      <c r="M616" s="53">
        <v>0</v>
      </c>
      <c r="N616" s="53">
        <v>0</v>
      </c>
      <c r="O616" s="53">
        <v>0</v>
      </c>
      <c r="P616" s="53">
        <v>0</v>
      </c>
      <c r="Q616" s="53">
        <v>3046496.75</v>
      </c>
      <c r="R616" s="53">
        <v>2353503.25</v>
      </c>
    </row>
    <row r="617" spans="1:18" x14ac:dyDescent="0.25">
      <c r="A617" s="25" t="s">
        <v>99</v>
      </c>
      <c r="B617" s="26">
        <v>2011</v>
      </c>
      <c r="C617" s="74" t="s">
        <v>98</v>
      </c>
      <c r="D617" s="27">
        <v>0</v>
      </c>
      <c r="E617" s="53">
        <v>16800000</v>
      </c>
      <c r="F617" s="53">
        <v>16800000</v>
      </c>
      <c r="G617" s="53">
        <v>0</v>
      </c>
      <c r="H617" s="53">
        <v>0</v>
      </c>
      <c r="I617" s="53">
        <v>0</v>
      </c>
      <c r="J617" s="53">
        <v>0</v>
      </c>
      <c r="K617" s="53">
        <v>0</v>
      </c>
      <c r="L617" s="53">
        <v>0</v>
      </c>
      <c r="M617" s="53">
        <v>0</v>
      </c>
      <c r="N617" s="53">
        <v>0</v>
      </c>
      <c r="O617" s="53">
        <v>0</v>
      </c>
      <c r="P617" s="53">
        <v>0</v>
      </c>
      <c r="Q617" s="53">
        <v>0</v>
      </c>
      <c r="R617" s="53">
        <v>16800000</v>
      </c>
    </row>
    <row r="618" spans="1:18" x14ac:dyDescent="0.25">
      <c r="A618" s="25" t="s">
        <v>97</v>
      </c>
      <c r="B618" s="26">
        <v>2011</v>
      </c>
      <c r="C618" s="74" t="s">
        <v>96</v>
      </c>
      <c r="D618" s="27">
        <v>0</v>
      </c>
      <c r="E618" s="53">
        <v>4400000</v>
      </c>
      <c r="F618" s="53">
        <v>4400000</v>
      </c>
      <c r="G618" s="53">
        <v>0</v>
      </c>
      <c r="H618" s="53">
        <v>0</v>
      </c>
      <c r="I618" s="53">
        <v>0</v>
      </c>
      <c r="J618" s="53">
        <v>0</v>
      </c>
      <c r="K618" s="53">
        <v>0</v>
      </c>
      <c r="L618" s="53">
        <v>0</v>
      </c>
      <c r="M618" s="53">
        <v>0</v>
      </c>
      <c r="N618" s="53">
        <v>0</v>
      </c>
      <c r="O618" s="53">
        <v>0</v>
      </c>
      <c r="P618" s="53">
        <v>0</v>
      </c>
      <c r="Q618" s="53">
        <v>0</v>
      </c>
      <c r="R618" s="53">
        <v>4400000</v>
      </c>
    </row>
    <row r="619" spans="1:18" x14ac:dyDescent="0.25">
      <c r="A619" s="25" t="s">
        <v>95</v>
      </c>
      <c r="B619" s="26">
        <v>2011</v>
      </c>
      <c r="C619" s="74" t="s">
        <v>94</v>
      </c>
      <c r="D619" s="27">
        <v>0</v>
      </c>
      <c r="E619" s="53">
        <v>52700000</v>
      </c>
      <c r="F619" s="53">
        <v>52700000</v>
      </c>
      <c r="G619" s="53">
        <v>0</v>
      </c>
      <c r="H619" s="53">
        <v>52700000</v>
      </c>
      <c r="I619" s="53">
        <v>0</v>
      </c>
      <c r="J619" s="53">
        <v>0</v>
      </c>
      <c r="K619" s="53">
        <v>0</v>
      </c>
      <c r="L619" s="53">
        <v>0</v>
      </c>
      <c r="M619" s="53">
        <v>0</v>
      </c>
      <c r="N619" s="53">
        <v>0</v>
      </c>
      <c r="O619" s="53">
        <v>0</v>
      </c>
      <c r="P619" s="53">
        <v>0</v>
      </c>
      <c r="Q619" s="53">
        <v>0</v>
      </c>
      <c r="R619" s="53">
        <v>0</v>
      </c>
    </row>
    <row r="620" spans="1:18" x14ac:dyDescent="0.25">
      <c r="A620" s="25" t="s">
        <v>93</v>
      </c>
      <c r="B620" s="26">
        <v>2011</v>
      </c>
      <c r="C620" s="74" t="s">
        <v>92</v>
      </c>
      <c r="D620" s="27">
        <v>0</v>
      </c>
      <c r="E620" s="53">
        <v>4500000</v>
      </c>
      <c r="F620" s="53">
        <v>4500000</v>
      </c>
      <c r="G620" s="53">
        <v>0</v>
      </c>
      <c r="H620" s="53">
        <v>0</v>
      </c>
      <c r="I620" s="53">
        <v>0</v>
      </c>
      <c r="J620" s="53">
        <v>0</v>
      </c>
      <c r="K620" s="53">
        <v>0</v>
      </c>
      <c r="L620" s="53">
        <v>2250000</v>
      </c>
      <c r="M620" s="53">
        <v>0</v>
      </c>
      <c r="N620" s="53">
        <v>0</v>
      </c>
      <c r="O620" s="53">
        <v>0</v>
      </c>
      <c r="P620" s="53">
        <v>0</v>
      </c>
      <c r="Q620" s="53">
        <v>0</v>
      </c>
      <c r="R620" s="53">
        <v>0</v>
      </c>
    </row>
    <row r="621" spans="1:18" x14ac:dyDescent="0.25">
      <c r="A621" s="25" t="s">
        <v>91</v>
      </c>
      <c r="B621" s="26">
        <v>2011</v>
      </c>
      <c r="C621" s="74" t="s">
        <v>90</v>
      </c>
      <c r="D621" s="27">
        <v>0</v>
      </c>
      <c r="E621" s="53">
        <v>3649200000</v>
      </c>
      <c r="F621" s="53">
        <v>3649200000</v>
      </c>
      <c r="G621" s="53">
        <v>0</v>
      </c>
      <c r="H621" s="53">
        <v>0</v>
      </c>
      <c r="I621" s="53">
        <v>0</v>
      </c>
      <c r="J621" s="53">
        <v>0</v>
      </c>
      <c r="K621" s="53">
        <v>3649200000</v>
      </c>
      <c r="L621" s="53">
        <v>0</v>
      </c>
      <c r="M621" s="53">
        <v>0</v>
      </c>
      <c r="N621" s="53">
        <v>0</v>
      </c>
      <c r="O621" s="53">
        <v>0</v>
      </c>
      <c r="P621" s="53">
        <v>0</v>
      </c>
      <c r="Q621" s="53">
        <v>0</v>
      </c>
      <c r="R621" s="53">
        <v>0</v>
      </c>
    </row>
    <row r="622" spans="1:18" x14ac:dyDescent="0.25">
      <c r="A622" s="25" t="s">
        <v>89</v>
      </c>
      <c r="B622" s="26">
        <v>2011</v>
      </c>
      <c r="C622" s="74" t="s">
        <v>88</v>
      </c>
      <c r="D622" s="27">
        <v>0</v>
      </c>
      <c r="E622" s="53">
        <v>306000000</v>
      </c>
      <c r="F622" s="53">
        <v>306000000</v>
      </c>
      <c r="G622" s="53">
        <v>0</v>
      </c>
      <c r="H622" s="53">
        <v>0</v>
      </c>
      <c r="I622" s="53">
        <v>0</v>
      </c>
      <c r="J622" s="53">
        <v>0</v>
      </c>
      <c r="K622" s="53">
        <v>76510040</v>
      </c>
      <c r="L622" s="53">
        <v>51006693.340000004</v>
      </c>
      <c r="M622" s="53">
        <v>141019105</v>
      </c>
      <c r="N622" s="53">
        <v>51006693.340000004</v>
      </c>
      <c r="O622" s="53">
        <v>0</v>
      </c>
      <c r="P622" s="53">
        <v>25503346.670000002</v>
      </c>
      <c r="Q622" s="53">
        <v>51006693.340000004</v>
      </c>
      <c r="R622" s="53">
        <v>51006693.340000004</v>
      </c>
    </row>
    <row r="623" spans="1:18" x14ac:dyDescent="0.25">
      <c r="A623" s="25" t="s">
        <v>83</v>
      </c>
      <c r="B623" s="26">
        <v>2011</v>
      </c>
      <c r="C623" s="74" t="s">
        <v>82</v>
      </c>
      <c r="D623" s="27">
        <v>0</v>
      </c>
      <c r="E623" s="53">
        <v>340000000</v>
      </c>
      <c r="F623" s="53">
        <v>340000000</v>
      </c>
      <c r="G623" s="53">
        <v>15221039.130000001</v>
      </c>
      <c r="H623" s="53">
        <v>26593394.780000001</v>
      </c>
      <c r="I623" s="53">
        <v>9863407.6099999994</v>
      </c>
      <c r="J623" s="53">
        <v>25156595.210000001</v>
      </c>
      <c r="K623" s="53">
        <v>36089114.490000002</v>
      </c>
      <c r="L623" s="53">
        <v>27451380.949999999</v>
      </c>
      <c r="M623" s="53">
        <v>27385694.25</v>
      </c>
      <c r="N623" s="53">
        <v>10848103.439999999</v>
      </c>
      <c r="O623" s="53">
        <v>28655783.079999998</v>
      </c>
      <c r="P623" s="53">
        <v>33518494.379999999</v>
      </c>
      <c r="Q623" s="53">
        <v>29711109.800000001</v>
      </c>
      <c r="R623" s="53">
        <v>83397977.420000002</v>
      </c>
    </row>
    <row r="624" spans="1:18" x14ac:dyDescent="0.25">
      <c r="A624" s="25" t="s">
        <v>80</v>
      </c>
      <c r="B624" s="26">
        <v>2011</v>
      </c>
      <c r="C624" s="74" t="s">
        <v>79</v>
      </c>
      <c r="D624" s="27">
        <v>0</v>
      </c>
      <c r="E624" s="53">
        <v>45200000</v>
      </c>
      <c r="F624" s="53">
        <v>45200000</v>
      </c>
      <c r="G624" s="53">
        <v>0</v>
      </c>
      <c r="H624" s="53">
        <v>40000000</v>
      </c>
      <c r="I624" s="53">
        <v>0</v>
      </c>
      <c r="J624" s="53">
        <v>0</v>
      </c>
      <c r="K624" s="53">
        <v>0</v>
      </c>
      <c r="L624" s="53">
        <v>5200000</v>
      </c>
      <c r="M624" s="53">
        <v>0</v>
      </c>
      <c r="N624" s="53">
        <v>0</v>
      </c>
      <c r="O624" s="53">
        <v>0</v>
      </c>
      <c r="P624" s="53">
        <v>0</v>
      </c>
      <c r="Q624" s="53">
        <v>0</v>
      </c>
      <c r="R624" s="53">
        <v>0</v>
      </c>
    </row>
    <row r="625" spans="1:18" x14ac:dyDescent="0.25">
      <c r="A625" s="25" t="s">
        <v>78</v>
      </c>
      <c r="B625" s="26">
        <v>2011</v>
      </c>
      <c r="C625" s="74" t="s">
        <v>77</v>
      </c>
      <c r="D625" s="27">
        <v>0</v>
      </c>
      <c r="E625" s="53">
        <v>126600000</v>
      </c>
      <c r="F625" s="53">
        <v>126600000</v>
      </c>
      <c r="G625" s="53">
        <v>0</v>
      </c>
      <c r="H625" s="53">
        <v>0</v>
      </c>
      <c r="I625" s="53">
        <v>126600000</v>
      </c>
      <c r="J625" s="53">
        <v>0</v>
      </c>
      <c r="K625" s="53">
        <v>0</v>
      </c>
      <c r="L625" s="53">
        <v>0</v>
      </c>
      <c r="M625" s="53">
        <v>0</v>
      </c>
      <c r="N625" s="53">
        <v>0</v>
      </c>
      <c r="O625" s="53">
        <v>0</v>
      </c>
      <c r="P625" s="53">
        <v>0</v>
      </c>
      <c r="Q625" s="53">
        <v>0</v>
      </c>
      <c r="R625" s="53">
        <v>0</v>
      </c>
    </row>
    <row r="626" spans="1:18" x14ac:dyDescent="0.25">
      <c r="A626" s="25" t="s">
        <v>76</v>
      </c>
      <c r="B626" s="26">
        <v>2011</v>
      </c>
      <c r="C626" s="74" t="s">
        <v>75</v>
      </c>
      <c r="D626" s="27">
        <v>0</v>
      </c>
      <c r="E626" s="53">
        <v>10000000</v>
      </c>
      <c r="F626" s="53">
        <v>10000000</v>
      </c>
      <c r="G626" s="53">
        <v>0</v>
      </c>
      <c r="H626" s="53">
        <v>0</v>
      </c>
      <c r="I626" s="53">
        <v>10000000</v>
      </c>
      <c r="J626" s="53">
        <v>0</v>
      </c>
      <c r="K626" s="53">
        <v>0</v>
      </c>
      <c r="L626" s="53">
        <v>0</v>
      </c>
      <c r="M626" s="53">
        <v>0</v>
      </c>
      <c r="N626" s="53">
        <v>0</v>
      </c>
      <c r="O626" s="53">
        <v>0</v>
      </c>
      <c r="P626" s="53">
        <v>0</v>
      </c>
      <c r="Q626" s="53">
        <v>0</v>
      </c>
      <c r="R626" s="53">
        <v>0</v>
      </c>
    </row>
    <row r="627" spans="1:18" x14ac:dyDescent="0.25">
      <c r="A627" s="25" t="s">
        <v>74</v>
      </c>
      <c r="B627" s="26">
        <v>2011</v>
      </c>
      <c r="C627" s="74" t="s">
        <v>73</v>
      </c>
      <c r="D627" s="27">
        <v>0</v>
      </c>
      <c r="E627" s="53">
        <v>13500000</v>
      </c>
      <c r="F627" s="53">
        <v>13500000</v>
      </c>
      <c r="G627" s="53">
        <v>0</v>
      </c>
      <c r="H627" s="53">
        <v>0</v>
      </c>
      <c r="I627" s="53">
        <v>0</v>
      </c>
      <c r="J627" s="53">
        <v>0</v>
      </c>
      <c r="K627" s="53">
        <v>0</v>
      </c>
      <c r="L627" s="53">
        <v>0</v>
      </c>
      <c r="M627" s="53">
        <v>0</v>
      </c>
      <c r="N627" s="53">
        <v>0</v>
      </c>
      <c r="O627" s="53">
        <v>0</v>
      </c>
      <c r="P627" s="53">
        <v>0</v>
      </c>
      <c r="Q627" s="53">
        <v>0</v>
      </c>
      <c r="R627" s="53">
        <v>0</v>
      </c>
    </row>
    <row r="628" spans="1:18" x14ac:dyDescent="0.25">
      <c r="A628" s="25" t="s">
        <v>72</v>
      </c>
      <c r="B628" s="26">
        <v>2011</v>
      </c>
      <c r="C628" s="74" t="s">
        <v>71</v>
      </c>
      <c r="D628" s="27">
        <v>0</v>
      </c>
      <c r="E628" s="53">
        <v>14100000</v>
      </c>
      <c r="F628" s="53">
        <v>14100000</v>
      </c>
      <c r="G628" s="53">
        <v>0</v>
      </c>
      <c r="H628" s="53">
        <v>0</v>
      </c>
      <c r="I628" s="53">
        <v>0</v>
      </c>
      <c r="J628" s="53">
        <v>0</v>
      </c>
      <c r="K628" s="53">
        <v>0</v>
      </c>
      <c r="L628" s="53">
        <v>0</v>
      </c>
      <c r="M628" s="53">
        <v>0</v>
      </c>
      <c r="N628" s="53">
        <v>0</v>
      </c>
      <c r="O628" s="53">
        <v>0</v>
      </c>
      <c r="P628" s="53">
        <v>0</v>
      </c>
      <c r="Q628" s="53">
        <v>0</v>
      </c>
      <c r="R628" s="53">
        <v>0</v>
      </c>
    </row>
    <row r="629" spans="1:18" x14ac:dyDescent="0.25">
      <c r="A629" s="25" t="s">
        <v>70</v>
      </c>
      <c r="B629" s="26">
        <v>2011</v>
      </c>
      <c r="C629" s="74" t="s">
        <v>69</v>
      </c>
      <c r="D629" s="27">
        <v>0</v>
      </c>
      <c r="E629" s="53">
        <v>3300000</v>
      </c>
      <c r="F629" s="53">
        <v>3300000</v>
      </c>
      <c r="G629" s="53">
        <v>0</v>
      </c>
      <c r="H629" s="53">
        <v>0</v>
      </c>
      <c r="I629" s="53">
        <v>0</v>
      </c>
      <c r="J629" s="53">
        <v>0</v>
      </c>
      <c r="K629" s="53">
        <v>0</v>
      </c>
      <c r="L629" s="53">
        <v>0</v>
      </c>
      <c r="M629" s="53">
        <v>0</v>
      </c>
      <c r="N629" s="53">
        <v>0</v>
      </c>
      <c r="O629" s="53">
        <v>0</v>
      </c>
      <c r="P629" s="53">
        <v>0</v>
      </c>
      <c r="Q629" s="53">
        <v>0</v>
      </c>
      <c r="R629" s="53">
        <v>0</v>
      </c>
    </row>
    <row r="630" spans="1:18" x14ac:dyDescent="0.25">
      <c r="A630" s="25" t="s">
        <v>68</v>
      </c>
      <c r="B630" s="26">
        <v>2011</v>
      </c>
      <c r="C630" s="74" t="s">
        <v>67</v>
      </c>
      <c r="D630" s="27">
        <v>0</v>
      </c>
      <c r="E630" s="53">
        <v>350900000</v>
      </c>
      <c r="F630" s="53">
        <v>350900000</v>
      </c>
      <c r="G630" s="53">
        <v>0</v>
      </c>
      <c r="H630" s="53">
        <v>503835731.88999999</v>
      </c>
      <c r="I630" s="53">
        <v>0</v>
      </c>
      <c r="J630" s="53">
        <v>0</v>
      </c>
      <c r="K630" s="53">
        <v>0</v>
      </c>
      <c r="L630" s="53">
        <v>0</v>
      </c>
      <c r="M630" s="53">
        <v>0</v>
      </c>
      <c r="N630" s="53">
        <v>0</v>
      </c>
      <c r="O630" s="53">
        <v>0</v>
      </c>
      <c r="P630" s="53">
        <v>0</v>
      </c>
      <c r="Q630" s="53">
        <v>0</v>
      </c>
      <c r="R630" s="53">
        <v>0</v>
      </c>
    </row>
    <row r="631" spans="1:18" x14ac:dyDescent="0.25">
      <c r="A631" s="25" t="s">
        <v>66</v>
      </c>
      <c r="B631" s="26">
        <v>2011</v>
      </c>
      <c r="C631" s="74" t="s">
        <v>65</v>
      </c>
      <c r="D631" s="27">
        <v>0</v>
      </c>
      <c r="E631" s="53">
        <v>51800000</v>
      </c>
      <c r="F631" s="53">
        <v>51800000</v>
      </c>
      <c r="G631" s="53">
        <v>4316666.67</v>
      </c>
      <c r="H631" s="53">
        <v>4316666.67</v>
      </c>
      <c r="I631" s="53">
        <v>4316666.67</v>
      </c>
      <c r="J631" s="53">
        <v>4316666.67</v>
      </c>
      <c r="K631" s="53">
        <v>4316666.67</v>
      </c>
      <c r="L631" s="53">
        <v>4316666.67</v>
      </c>
      <c r="M631" s="53">
        <v>4316666.67</v>
      </c>
      <c r="N631" s="53">
        <v>4316666.67</v>
      </c>
      <c r="O631" s="53">
        <v>4316666.67</v>
      </c>
      <c r="P631" s="53">
        <v>4316666.67</v>
      </c>
      <c r="Q631" s="53">
        <v>4316666.67</v>
      </c>
      <c r="R631" s="53">
        <v>4316666.63</v>
      </c>
    </row>
    <row r="632" spans="1:18" x14ac:dyDescent="0.25">
      <c r="A632" s="25" t="s">
        <v>64</v>
      </c>
      <c r="B632" s="26">
        <v>2011</v>
      </c>
      <c r="C632" s="74" t="s">
        <v>63</v>
      </c>
      <c r="D632" s="27">
        <v>0</v>
      </c>
      <c r="E632" s="53">
        <v>473700000</v>
      </c>
      <c r="F632" s="53">
        <v>473700000</v>
      </c>
      <c r="G632" s="53">
        <v>0</v>
      </c>
      <c r="H632" s="53">
        <v>0</v>
      </c>
      <c r="I632" s="53">
        <v>185042061.22999999</v>
      </c>
      <c r="J632" s="53">
        <v>0</v>
      </c>
      <c r="K632" s="53">
        <v>0</v>
      </c>
      <c r="L632" s="53">
        <v>0</v>
      </c>
      <c r="M632" s="53">
        <v>0</v>
      </c>
      <c r="N632" s="53">
        <v>0</v>
      </c>
      <c r="O632" s="53">
        <v>0</v>
      </c>
      <c r="P632" s="53">
        <v>0</v>
      </c>
      <c r="Q632" s="53">
        <v>0</v>
      </c>
      <c r="R632" s="53">
        <v>0</v>
      </c>
    </row>
    <row r="633" spans="1:18" x14ac:dyDescent="0.25">
      <c r="A633" s="25" t="s">
        <v>62</v>
      </c>
      <c r="B633" s="26">
        <v>2011</v>
      </c>
      <c r="C633" s="74" t="s">
        <v>61</v>
      </c>
      <c r="D633" s="27">
        <v>0</v>
      </c>
      <c r="E633" s="53">
        <v>5200000</v>
      </c>
      <c r="F633" s="53">
        <v>5200000</v>
      </c>
      <c r="G633" s="53">
        <v>0</v>
      </c>
      <c r="H633" s="53">
        <v>0</v>
      </c>
      <c r="I633" s="53">
        <v>5200000</v>
      </c>
      <c r="J633" s="53">
        <v>0</v>
      </c>
      <c r="K633" s="53">
        <v>0</v>
      </c>
      <c r="L633" s="53">
        <v>0</v>
      </c>
      <c r="M633" s="53">
        <v>0</v>
      </c>
      <c r="N633" s="53">
        <v>0</v>
      </c>
      <c r="O633" s="53">
        <v>0</v>
      </c>
      <c r="P633" s="53">
        <v>0</v>
      </c>
      <c r="Q633" s="53">
        <v>0</v>
      </c>
      <c r="R633" s="53">
        <v>0</v>
      </c>
    </row>
    <row r="634" spans="1:18" x14ac:dyDescent="0.25">
      <c r="A634" s="25" t="s">
        <v>60</v>
      </c>
      <c r="B634" s="26">
        <v>2011</v>
      </c>
      <c r="C634" s="74" t="s">
        <v>59</v>
      </c>
      <c r="D634" s="27">
        <v>0</v>
      </c>
      <c r="E634" s="53">
        <v>7300000</v>
      </c>
      <c r="F634" s="53">
        <v>7300000</v>
      </c>
      <c r="G634" s="53">
        <v>0</v>
      </c>
      <c r="H634" s="53">
        <v>0</v>
      </c>
      <c r="I634" s="53">
        <v>0</v>
      </c>
      <c r="J634" s="53">
        <v>0</v>
      </c>
      <c r="K634" s="53">
        <v>0</v>
      </c>
      <c r="L634" s="53">
        <v>0</v>
      </c>
      <c r="M634" s="53">
        <v>0</v>
      </c>
      <c r="N634" s="53">
        <v>0</v>
      </c>
      <c r="O634" s="53">
        <v>0</v>
      </c>
      <c r="P634" s="53">
        <v>0</v>
      </c>
      <c r="Q634" s="53">
        <v>0</v>
      </c>
      <c r="R634" s="53">
        <v>7300000</v>
      </c>
    </row>
    <row r="635" spans="1:18" x14ac:dyDescent="0.25">
      <c r="A635" s="25" t="s">
        <v>491</v>
      </c>
      <c r="B635" s="26">
        <v>2011</v>
      </c>
      <c r="C635" s="74" t="s">
        <v>490</v>
      </c>
      <c r="D635" s="27">
        <v>0</v>
      </c>
      <c r="E635" s="53">
        <v>100000000</v>
      </c>
      <c r="F635" s="53">
        <v>100000000</v>
      </c>
      <c r="G635" s="53">
        <v>0</v>
      </c>
      <c r="H635" s="53">
        <v>0</v>
      </c>
      <c r="I635" s="53">
        <v>0</v>
      </c>
      <c r="J635" s="53">
        <v>0</v>
      </c>
      <c r="K635" s="53">
        <v>0</v>
      </c>
      <c r="L635" s="53">
        <v>100000000</v>
      </c>
      <c r="M635" s="53">
        <v>0</v>
      </c>
      <c r="N635" s="53">
        <v>0</v>
      </c>
      <c r="O635" s="53">
        <v>0</v>
      </c>
      <c r="P635" s="53">
        <v>0</v>
      </c>
      <c r="Q635" s="53">
        <v>0</v>
      </c>
      <c r="R635" s="53">
        <v>0</v>
      </c>
    </row>
    <row r="636" spans="1:18" x14ac:dyDescent="0.25">
      <c r="A636" s="25" t="s">
        <v>461</v>
      </c>
      <c r="B636" s="26">
        <v>2011</v>
      </c>
      <c r="C636" s="74" t="s">
        <v>460</v>
      </c>
      <c r="D636" s="27">
        <v>0</v>
      </c>
      <c r="E636" s="53">
        <v>295346719.97000003</v>
      </c>
      <c r="F636" s="53">
        <v>295346719.97000003</v>
      </c>
      <c r="G636" s="53">
        <v>0</v>
      </c>
      <c r="H636" s="53">
        <v>0</v>
      </c>
      <c r="I636" s="53">
        <v>15500000</v>
      </c>
      <c r="J636" s="53">
        <v>0</v>
      </c>
      <c r="K636" s="53">
        <v>0</v>
      </c>
      <c r="L636" s="53">
        <v>38000000</v>
      </c>
      <c r="M636" s="53">
        <v>25000000</v>
      </c>
      <c r="N636" s="53">
        <v>0</v>
      </c>
      <c r="O636" s="53">
        <v>85000000</v>
      </c>
      <c r="P636" s="53">
        <v>75546719.969999999</v>
      </c>
      <c r="Q636" s="53">
        <v>56300000</v>
      </c>
      <c r="R636" s="53">
        <v>0</v>
      </c>
    </row>
    <row r="637" spans="1:18" x14ac:dyDescent="0.25">
      <c r="A637" s="25" t="s">
        <v>49</v>
      </c>
      <c r="B637" s="26">
        <v>2011</v>
      </c>
      <c r="C637" s="74" t="s">
        <v>48</v>
      </c>
      <c r="D637" s="27">
        <v>0</v>
      </c>
      <c r="E637" s="53">
        <v>506414529000</v>
      </c>
      <c r="F637" s="53">
        <v>506414529000</v>
      </c>
      <c r="G637" s="53">
        <v>4546605080.3500004</v>
      </c>
      <c r="H637" s="53">
        <v>18797411571.099998</v>
      </c>
      <c r="I637" s="53">
        <v>27471165351.869999</v>
      </c>
      <c r="J637" s="53">
        <v>14035361996.24</v>
      </c>
      <c r="K637" s="53">
        <v>27753083196.290001</v>
      </c>
      <c r="L637" s="53">
        <v>80835709817.639999</v>
      </c>
      <c r="M637" s="53">
        <v>34252619003.459999</v>
      </c>
      <c r="N637" s="53">
        <v>35294836470.720001</v>
      </c>
      <c r="O637" s="53">
        <v>23141082826.369999</v>
      </c>
      <c r="P637" s="53">
        <v>46684582255.360001</v>
      </c>
      <c r="Q637" s="53">
        <v>96039765699.210007</v>
      </c>
      <c r="R637" s="53">
        <v>116892955076.35001</v>
      </c>
    </row>
    <row r="638" spans="1:18" x14ac:dyDescent="0.25">
      <c r="A638" s="25" t="s">
        <v>43</v>
      </c>
      <c r="B638" s="26">
        <v>2011</v>
      </c>
      <c r="C638" s="74" t="s">
        <v>42</v>
      </c>
      <c r="D638" s="27">
        <v>0</v>
      </c>
      <c r="E638" s="53">
        <v>1940032471000</v>
      </c>
      <c r="F638" s="53">
        <v>1940032471000</v>
      </c>
      <c r="G638" s="53">
        <v>55143197683.919998</v>
      </c>
      <c r="H638" s="53">
        <v>84827627780.550003</v>
      </c>
      <c r="I638" s="53">
        <v>267326768865</v>
      </c>
      <c r="J638" s="53">
        <v>82580606541.800003</v>
      </c>
      <c r="K638" s="53">
        <v>167574203300.16</v>
      </c>
      <c r="L638" s="53">
        <v>87510966501.440002</v>
      </c>
      <c r="M638" s="53">
        <v>46148729320</v>
      </c>
      <c r="N638" s="53">
        <v>258651930242.10001</v>
      </c>
      <c r="O638" s="53">
        <v>108294518530</v>
      </c>
      <c r="P638" s="53">
        <v>77180162579</v>
      </c>
      <c r="Q638" s="53">
        <v>64951463928.230003</v>
      </c>
      <c r="R638" s="53">
        <v>119500895493.56</v>
      </c>
    </row>
    <row r="639" spans="1:18" x14ac:dyDescent="0.25">
      <c r="A639" s="25" t="s">
        <v>457</v>
      </c>
      <c r="B639" s="26">
        <v>2011</v>
      </c>
      <c r="C639" s="74" t="s">
        <v>456</v>
      </c>
      <c r="D639" s="27">
        <v>0</v>
      </c>
      <c r="E639" s="54">
        <v>2261046143.48</v>
      </c>
      <c r="F639" s="53">
        <v>543525288.27999997</v>
      </c>
      <c r="G639" s="53">
        <v>0</v>
      </c>
      <c r="H639" s="53">
        <v>148816392.03999999</v>
      </c>
      <c r="I639" s="53">
        <v>22979695.48</v>
      </c>
      <c r="J639" s="53">
        <v>0</v>
      </c>
      <c r="K639" s="53">
        <v>70729944.040000007</v>
      </c>
      <c r="L639" s="53">
        <v>141913333.19</v>
      </c>
      <c r="M639" s="53">
        <v>0</v>
      </c>
      <c r="N639" s="53">
        <v>0</v>
      </c>
      <c r="O639" s="53">
        <v>0</v>
      </c>
      <c r="P639" s="53">
        <v>0</v>
      </c>
      <c r="Q639" s="53">
        <v>1471251.95</v>
      </c>
      <c r="R639" s="53">
        <v>157614671.58000001</v>
      </c>
    </row>
    <row r="640" spans="1:18" x14ac:dyDescent="0.25">
      <c r="A640" s="25" t="s">
        <v>41</v>
      </c>
      <c r="B640" s="26">
        <v>2011</v>
      </c>
      <c r="C640" s="74" t="s">
        <v>40</v>
      </c>
      <c r="D640" s="27">
        <v>0</v>
      </c>
      <c r="E640" s="54">
        <v>20579306653.700001</v>
      </c>
      <c r="F640" s="53">
        <v>485252839</v>
      </c>
      <c r="G640" s="53">
        <v>0</v>
      </c>
      <c r="H640" s="53">
        <v>0</v>
      </c>
      <c r="I640" s="53">
        <v>0</v>
      </c>
      <c r="J640" s="53">
        <v>0</v>
      </c>
      <c r="K640" s="53">
        <v>0</v>
      </c>
      <c r="L640" s="53">
        <v>448252839</v>
      </c>
      <c r="M640" s="53">
        <v>37000000</v>
      </c>
      <c r="N640" s="53">
        <v>0</v>
      </c>
      <c r="O640" s="53">
        <v>0</v>
      </c>
      <c r="P640" s="53">
        <v>0</v>
      </c>
      <c r="Q640" s="53">
        <v>0</v>
      </c>
      <c r="R640" s="53">
        <v>0</v>
      </c>
    </row>
    <row r="641" spans="1:18" x14ac:dyDescent="0.25">
      <c r="A641" s="25" t="s">
        <v>419</v>
      </c>
      <c r="B641" s="26">
        <v>2011</v>
      </c>
      <c r="C641" s="74" t="s">
        <v>418</v>
      </c>
      <c r="D641" s="27">
        <v>0</v>
      </c>
      <c r="E641" s="54">
        <v>13110016352.469999</v>
      </c>
      <c r="F641" s="53">
        <v>4671574904.0299997</v>
      </c>
      <c r="G641" s="53">
        <v>0</v>
      </c>
      <c r="H641" s="53">
        <v>741754044.90999997</v>
      </c>
      <c r="I641" s="53">
        <v>0</v>
      </c>
      <c r="J641" s="53">
        <v>548715072.25999999</v>
      </c>
      <c r="K641" s="53">
        <v>541668608.98000002</v>
      </c>
      <c r="L641" s="53">
        <v>388979851.49000001</v>
      </c>
      <c r="M641" s="53">
        <v>132796557.67</v>
      </c>
      <c r="N641" s="53">
        <v>648386415.13</v>
      </c>
      <c r="O641" s="53">
        <v>76920639.909999996</v>
      </c>
      <c r="P641" s="53">
        <v>326248331.14999998</v>
      </c>
      <c r="Q641" s="53">
        <v>330193736.95999998</v>
      </c>
      <c r="R641" s="53">
        <v>935911645.57000005</v>
      </c>
    </row>
    <row r="642" spans="1:18" x14ac:dyDescent="0.25">
      <c r="A642" s="25" t="s">
        <v>455</v>
      </c>
      <c r="B642" s="26">
        <v>2011</v>
      </c>
      <c r="C642" s="74" t="s">
        <v>454</v>
      </c>
      <c r="D642" s="27">
        <v>0</v>
      </c>
      <c r="E642" s="54">
        <v>1503442882.5</v>
      </c>
      <c r="F642" s="53">
        <v>251490000</v>
      </c>
      <c r="G642" s="53">
        <v>0</v>
      </c>
      <c r="H642" s="53">
        <v>200420000</v>
      </c>
      <c r="I642" s="53">
        <v>0</v>
      </c>
      <c r="J642" s="53">
        <v>0</v>
      </c>
      <c r="K642" s="53">
        <v>51070000</v>
      </c>
      <c r="L642" s="53">
        <v>0</v>
      </c>
      <c r="M642" s="53">
        <v>0</v>
      </c>
      <c r="N642" s="53">
        <v>0</v>
      </c>
      <c r="O642" s="53">
        <v>0</v>
      </c>
      <c r="P642" s="53">
        <v>0</v>
      </c>
      <c r="Q642" s="53">
        <v>0</v>
      </c>
      <c r="R642" s="53">
        <v>0</v>
      </c>
    </row>
    <row r="643" spans="1:18" x14ac:dyDescent="0.25">
      <c r="A643" s="25" t="s">
        <v>480</v>
      </c>
      <c r="B643" s="26">
        <v>2011</v>
      </c>
      <c r="C643" s="74" t="s">
        <v>479</v>
      </c>
      <c r="D643" s="27">
        <v>0</v>
      </c>
      <c r="E643" s="54">
        <v>27709718.949999999</v>
      </c>
      <c r="F643" s="53">
        <v>0</v>
      </c>
      <c r="G643" s="53">
        <v>0</v>
      </c>
      <c r="H643" s="53">
        <v>0</v>
      </c>
      <c r="I643" s="53">
        <v>0</v>
      </c>
      <c r="J643" s="53">
        <v>0</v>
      </c>
      <c r="K643" s="53">
        <v>0</v>
      </c>
      <c r="L643" s="53">
        <v>0</v>
      </c>
      <c r="M643" s="53">
        <v>0</v>
      </c>
      <c r="N643" s="53">
        <v>0</v>
      </c>
      <c r="O643" s="53">
        <v>0</v>
      </c>
      <c r="P643" s="53">
        <v>0</v>
      </c>
      <c r="Q643" s="53">
        <v>0</v>
      </c>
      <c r="R643" s="53">
        <v>0</v>
      </c>
    </row>
    <row r="644" spans="1:18" x14ac:dyDescent="0.25">
      <c r="A644" s="25" t="s">
        <v>478</v>
      </c>
      <c r="B644" s="26">
        <v>2011</v>
      </c>
      <c r="C644" s="74" t="s">
        <v>477</v>
      </c>
      <c r="D644" s="27">
        <v>0</v>
      </c>
      <c r="E644" s="54">
        <v>1992563017.3700001</v>
      </c>
      <c r="F644" s="53">
        <v>0</v>
      </c>
      <c r="G644" s="53">
        <v>0</v>
      </c>
      <c r="H644" s="53">
        <v>0</v>
      </c>
      <c r="I644" s="53">
        <v>0</v>
      </c>
      <c r="J644" s="53">
        <v>0</v>
      </c>
      <c r="K644" s="53">
        <v>0</v>
      </c>
      <c r="L644" s="53">
        <v>0</v>
      </c>
      <c r="M644" s="53">
        <v>0</v>
      </c>
      <c r="N644" s="53">
        <v>0</v>
      </c>
      <c r="O644" s="53">
        <v>0</v>
      </c>
      <c r="P644" s="53">
        <v>0</v>
      </c>
      <c r="Q644" s="53">
        <v>0</v>
      </c>
      <c r="R644" s="53">
        <v>0</v>
      </c>
    </row>
    <row r="645" spans="1:18" x14ac:dyDescent="0.25">
      <c r="A645" s="25" t="s">
        <v>37</v>
      </c>
      <c r="B645" s="26">
        <v>2011</v>
      </c>
      <c r="C645" s="74" t="s">
        <v>36</v>
      </c>
      <c r="D645" s="27">
        <v>0</v>
      </c>
      <c r="E645" s="54">
        <v>5059016649.5900002</v>
      </c>
      <c r="F645" s="53">
        <v>142655329.38999999</v>
      </c>
      <c r="G645" s="53">
        <v>0</v>
      </c>
      <c r="H645" s="53">
        <v>0</v>
      </c>
      <c r="I645" s="53">
        <v>2200000</v>
      </c>
      <c r="J645" s="53">
        <v>2100001.12</v>
      </c>
      <c r="K645" s="53">
        <v>13300425</v>
      </c>
      <c r="L645" s="53">
        <v>1100000</v>
      </c>
      <c r="M645" s="53">
        <v>4195800</v>
      </c>
      <c r="N645" s="53">
        <v>121284.12</v>
      </c>
      <c r="O645" s="53">
        <v>29487920</v>
      </c>
      <c r="P645" s="53">
        <v>2800000</v>
      </c>
      <c r="Q645" s="53">
        <v>15637415.5</v>
      </c>
      <c r="R645" s="53">
        <v>71712483.650000006</v>
      </c>
    </row>
    <row r="646" spans="1:18" x14ac:dyDescent="0.25">
      <c r="A646" s="25" t="s">
        <v>35</v>
      </c>
      <c r="B646" s="26">
        <v>2011</v>
      </c>
      <c r="C646" s="74" t="s">
        <v>34</v>
      </c>
      <c r="D646" s="27">
        <v>0</v>
      </c>
      <c r="E646" s="54">
        <v>154815000000</v>
      </c>
      <c r="F646" s="53">
        <v>9407000000</v>
      </c>
      <c r="G646" s="53">
        <v>0</v>
      </c>
      <c r="H646" s="53">
        <v>0</v>
      </c>
      <c r="I646" s="53">
        <v>0</v>
      </c>
      <c r="J646" s="53">
        <v>0</v>
      </c>
      <c r="K646" s="53">
        <v>9407000000</v>
      </c>
      <c r="L646" s="53">
        <v>0</v>
      </c>
      <c r="M646" s="53">
        <v>0</v>
      </c>
      <c r="N646" s="53">
        <v>0</v>
      </c>
      <c r="O646" s="53">
        <v>0</v>
      </c>
      <c r="P646" s="53">
        <v>0</v>
      </c>
      <c r="Q646" s="53">
        <v>0</v>
      </c>
      <c r="R646" s="53">
        <v>0</v>
      </c>
    </row>
    <row r="647" spans="1:18" x14ac:dyDescent="0.25">
      <c r="A647" s="25" t="s">
        <v>476</v>
      </c>
      <c r="B647" s="26">
        <v>2011</v>
      </c>
      <c r="C647" s="74" t="s">
        <v>475</v>
      </c>
      <c r="D647" s="27">
        <v>0</v>
      </c>
      <c r="E647" s="54">
        <v>270320576.99000001</v>
      </c>
      <c r="F647" s="53">
        <v>0</v>
      </c>
      <c r="G647" s="53">
        <v>0</v>
      </c>
      <c r="H647" s="53">
        <v>0</v>
      </c>
      <c r="I647" s="53">
        <v>0</v>
      </c>
      <c r="J647" s="53">
        <v>0</v>
      </c>
      <c r="K647" s="53">
        <v>0</v>
      </c>
      <c r="L647" s="53">
        <v>0</v>
      </c>
      <c r="M647" s="53">
        <v>0</v>
      </c>
      <c r="N647" s="53">
        <v>0</v>
      </c>
      <c r="O647" s="53">
        <v>0</v>
      </c>
      <c r="P647" s="53">
        <v>0</v>
      </c>
      <c r="Q647" s="53">
        <v>0</v>
      </c>
      <c r="R647" s="53">
        <v>0</v>
      </c>
    </row>
    <row r="648" spans="1:18" x14ac:dyDescent="0.25">
      <c r="A648" s="25" t="s">
        <v>383</v>
      </c>
      <c r="B648" s="26">
        <v>2011</v>
      </c>
      <c r="C648" s="74" t="s">
        <v>382</v>
      </c>
      <c r="D648" s="27">
        <v>0</v>
      </c>
      <c r="E648" s="54">
        <v>13011577867.690001</v>
      </c>
      <c r="F648" s="53">
        <v>4714923982.3599997</v>
      </c>
      <c r="G648" s="53">
        <v>0</v>
      </c>
      <c r="H648" s="53">
        <v>0</v>
      </c>
      <c r="I648" s="53">
        <v>492785650</v>
      </c>
      <c r="J648" s="53">
        <v>629200934.38999999</v>
      </c>
      <c r="K648" s="53">
        <v>445144180.19999999</v>
      </c>
      <c r="L648" s="53">
        <v>598667021.14999998</v>
      </c>
      <c r="M648" s="53">
        <v>537503210.71000004</v>
      </c>
      <c r="N648" s="53">
        <v>0</v>
      </c>
      <c r="O648" s="53">
        <v>673992076.60000002</v>
      </c>
      <c r="P648" s="53">
        <v>0</v>
      </c>
      <c r="Q648" s="53">
        <v>817302925.01999998</v>
      </c>
      <c r="R648" s="53">
        <v>520327984.29000002</v>
      </c>
    </row>
    <row r="649" spans="1:18" x14ac:dyDescent="0.25">
      <c r="A649" s="25" t="s">
        <v>381</v>
      </c>
      <c r="B649" s="26">
        <v>2011</v>
      </c>
      <c r="C649" s="74" t="s">
        <v>380</v>
      </c>
      <c r="D649" s="27">
        <v>0</v>
      </c>
      <c r="E649" s="54">
        <v>12758655703.93</v>
      </c>
      <c r="F649" s="53">
        <v>3012266751.5999999</v>
      </c>
      <c r="G649" s="53">
        <v>0</v>
      </c>
      <c r="H649" s="53">
        <v>0</v>
      </c>
      <c r="I649" s="53">
        <v>0</v>
      </c>
      <c r="J649" s="53">
        <v>0</v>
      </c>
      <c r="K649" s="53">
        <v>0</v>
      </c>
      <c r="L649" s="53">
        <v>0</v>
      </c>
      <c r="M649" s="53">
        <v>1529429196.6800001</v>
      </c>
      <c r="N649" s="53">
        <v>0</v>
      </c>
      <c r="O649" s="53">
        <v>0</v>
      </c>
      <c r="P649" s="53">
        <v>0</v>
      </c>
      <c r="Q649" s="53">
        <v>0</v>
      </c>
      <c r="R649" s="53">
        <v>1482837554.9200001</v>
      </c>
    </row>
    <row r="650" spans="1:18" x14ac:dyDescent="0.25">
      <c r="A650" s="25" t="s">
        <v>15</v>
      </c>
      <c r="B650" s="26">
        <v>2011</v>
      </c>
      <c r="C650" s="74" t="s">
        <v>14</v>
      </c>
      <c r="D650" s="27">
        <v>0</v>
      </c>
      <c r="E650" s="54">
        <v>10994380711.41</v>
      </c>
      <c r="F650" s="53">
        <v>5086301091.5100002</v>
      </c>
      <c r="G650" s="53">
        <v>0</v>
      </c>
      <c r="H650" s="53">
        <v>0</v>
      </c>
      <c r="I650" s="53">
        <v>0</v>
      </c>
      <c r="J650" s="53">
        <v>0</v>
      </c>
      <c r="K650" s="53">
        <v>759213687.99000001</v>
      </c>
      <c r="L650" s="53">
        <v>0</v>
      </c>
      <c r="M650" s="53">
        <v>0</v>
      </c>
      <c r="N650" s="53">
        <v>0</v>
      </c>
      <c r="O650" s="53">
        <v>4327087403.5200005</v>
      </c>
      <c r="P650" s="53">
        <v>0</v>
      </c>
      <c r="Q650" s="53">
        <v>0</v>
      </c>
      <c r="R650" s="53">
        <v>0</v>
      </c>
    </row>
    <row r="651" spans="1:18" x14ac:dyDescent="0.25">
      <c r="A651" s="25" t="s">
        <v>417</v>
      </c>
      <c r="B651" s="26">
        <v>2011</v>
      </c>
      <c r="C651" s="74" t="s">
        <v>416</v>
      </c>
      <c r="D651" s="27">
        <v>0</v>
      </c>
      <c r="E651" s="54">
        <v>40387275000</v>
      </c>
      <c r="F651" s="53">
        <v>0</v>
      </c>
      <c r="G651" s="53">
        <v>0</v>
      </c>
      <c r="H651" s="53">
        <v>0</v>
      </c>
      <c r="I651" s="53">
        <v>0</v>
      </c>
      <c r="J651" s="53">
        <v>0</v>
      </c>
      <c r="K651" s="53">
        <v>0</v>
      </c>
      <c r="L651" s="53">
        <v>0</v>
      </c>
      <c r="M651" s="53">
        <v>0</v>
      </c>
      <c r="N651" s="53">
        <v>0</v>
      </c>
      <c r="O651" s="53">
        <v>0</v>
      </c>
      <c r="P651" s="53">
        <v>0</v>
      </c>
      <c r="Q651" s="53">
        <v>0</v>
      </c>
      <c r="R651" s="53">
        <v>0</v>
      </c>
    </row>
    <row r="652" spans="1:18" x14ac:dyDescent="0.25">
      <c r="A652" s="25" t="s">
        <v>489</v>
      </c>
      <c r="B652" s="26">
        <v>2011</v>
      </c>
      <c r="C652" s="74" t="s">
        <v>488</v>
      </c>
      <c r="D652" s="27">
        <v>0</v>
      </c>
      <c r="E652" s="54">
        <v>195931125480</v>
      </c>
      <c r="F652" s="53">
        <v>195931125480</v>
      </c>
      <c r="G652" s="53">
        <v>0</v>
      </c>
      <c r="H652" s="53">
        <v>6741677110</v>
      </c>
      <c r="I652" s="53">
        <v>149376885303.39001</v>
      </c>
      <c r="J652" s="53">
        <v>2753797623.25</v>
      </c>
      <c r="K652" s="53">
        <v>1829057243.0699999</v>
      </c>
      <c r="L652" s="53">
        <v>0</v>
      </c>
      <c r="M652" s="53">
        <v>35229708200.290001</v>
      </c>
      <c r="N652" s="53">
        <v>0</v>
      </c>
      <c r="O652" s="53">
        <v>0</v>
      </c>
      <c r="P652" s="53">
        <v>0</v>
      </c>
      <c r="Q652" s="53">
        <v>0</v>
      </c>
      <c r="R652" s="53">
        <v>0</v>
      </c>
    </row>
    <row r="653" spans="1:18" x14ac:dyDescent="0.25">
      <c r="A653" s="25" t="s">
        <v>10</v>
      </c>
      <c r="B653" s="26">
        <v>2011</v>
      </c>
      <c r="C653" s="74" t="s">
        <v>9</v>
      </c>
      <c r="D653" s="27">
        <v>0</v>
      </c>
      <c r="E653" s="54">
        <v>68019225727.510002</v>
      </c>
      <c r="F653" s="53">
        <v>1351225289.48</v>
      </c>
      <c r="G653" s="53">
        <v>0</v>
      </c>
      <c r="H653" s="53">
        <v>0</v>
      </c>
      <c r="I653" s="53">
        <v>516969259.50999999</v>
      </c>
      <c r="J653" s="53">
        <v>97154617.420000002</v>
      </c>
      <c r="K653" s="53">
        <v>102465977.48999999</v>
      </c>
      <c r="L653" s="53">
        <v>44856918.130000003</v>
      </c>
      <c r="M653" s="53">
        <v>58874912.710000001</v>
      </c>
      <c r="N653" s="53">
        <v>58191755.75</v>
      </c>
      <c r="O653" s="53">
        <v>64958422.259999998</v>
      </c>
      <c r="P653" s="53">
        <v>161898482.27000001</v>
      </c>
      <c r="Q653" s="53">
        <v>92649052.810000002</v>
      </c>
      <c r="R653" s="53">
        <v>153205891.13</v>
      </c>
    </row>
    <row r="654" spans="1:18" x14ac:dyDescent="0.25">
      <c r="A654" s="25" t="s">
        <v>8</v>
      </c>
      <c r="B654" s="26">
        <v>2011</v>
      </c>
      <c r="C654" s="74" t="s">
        <v>7</v>
      </c>
      <c r="D654" s="27">
        <v>0</v>
      </c>
      <c r="E654" s="54">
        <v>27066822500</v>
      </c>
      <c r="F654" s="53">
        <v>0</v>
      </c>
      <c r="G654" s="53">
        <v>0</v>
      </c>
      <c r="H654" s="53">
        <v>0</v>
      </c>
      <c r="I654" s="53">
        <v>0</v>
      </c>
      <c r="J654" s="53">
        <v>0</v>
      </c>
      <c r="K654" s="53">
        <v>0</v>
      </c>
      <c r="L654" s="53">
        <v>0</v>
      </c>
      <c r="M654" s="53">
        <v>0</v>
      </c>
      <c r="N654" s="53">
        <v>0</v>
      </c>
      <c r="O654" s="53">
        <v>0</v>
      </c>
      <c r="P654" s="53">
        <v>0</v>
      </c>
      <c r="Q654" s="53">
        <v>0</v>
      </c>
      <c r="R654" s="53">
        <v>0</v>
      </c>
    </row>
    <row r="655" spans="1:18" x14ac:dyDescent="0.25">
      <c r="A655" s="25" t="s">
        <v>474</v>
      </c>
      <c r="B655" s="26">
        <v>2011</v>
      </c>
      <c r="C655" s="74" t="s">
        <v>473</v>
      </c>
      <c r="D655" s="27">
        <v>0</v>
      </c>
      <c r="E655" s="54">
        <v>900799.01</v>
      </c>
      <c r="F655" s="53">
        <v>0</v>
      </c>
      <c r="G655" s="53">
        <v>0</v>
      </c>
      <c r="H655" s="53">
        <v>0</v>
      </c>
      <c r="I655" s="53">
        <v>0</v>
      </c>
      <c r="J655" s="53">
        <v>0</v>
      </c>
      <c r="K655" s="53">
        <v>0</v>
      </c>
      <c r="L655" s="53">
        <v>0</v>
      </c>
      <c r="M655" s="53">
        <v>0</v>
      </c>
      <c r="N655" s="53">
        <v>0</v>
      </c>
      <c r="O655" s="53">
        <v>0</v>
      </c>
      <c r="P655" s="53">
        <v>0</v>
      </c>
      <c r="Q655" s="53">
        <v>0</v>
      </c>
      <c r="R655" s="53">
        <v>0</v>
      </c>
    </row>
    <row r="656" spans="1:18" x14ac:dyDescent="0.25">
      <c r="A656" s="25" t="s">
        <v>453</v>
      </c>
      <c r="B656" s="26">
        <v>2011</v>
      </c>
      <c r="C656" s="74" t="s">
        <v>452</v>
      </c>
      <c r="D656" s="27">
        <v>0</v>
      </c>
      <c r="E656" s="54">
        <v>1310048892.9099998</v>
      </c>
      <c r="F656" s="53">
        <v>592630609.13999999</v>
      </c>
      <c r="G656" s="53">
        <v>0</v>
      </c>
      <c r="H656" s="53">
        <v>46195977.850000001</v>
      </c>
      <c r="I656" s="53">
        <v>7358003.1500000004</v>
      </c>
      <c r="J656" s="53">
        <v>5082391.99</v>
      </c>
      <c r="K656" s="53">
        <v>53083875.789999999</v>
      </c>
      <c r="L656" s="53">
        <v>163301852.96000001</v>
      </c>
      <c r="M656" s="53">
        <v>32176897.350000001</v>
      </c>
      <c r="N656" s="53">
        <v>109683234.31999999</v>
      </c>
      <c r="O656" s="53">
        <v>0</v>
      </c>
      <c r="P656" s="53">
        <v>0</v>
      </c>
      <c r="Q656" s="53">
        <v>37127556.270000003</v>
      </c>
      <c r="R656" s="53">
        <v>138620819.46000001</v>
      </c>
    </row>
    <row r="657" spans="1:18" x14ac:dyDescent="0.25">
      <c r="A657" s="25" t="s">
        <v>3</v>
      </c>
      <c r="B657" s="26">
        <v>2011</v>
      </c>
      <c r="C657" s="74" t="s">
        <v>0</v>
      </c>
      <c r="D657" s="27">
        <v>0</v>
      </c>
      <c r="E657" s="54">
        <v>3978026401.8000002</v>
      </c>
      <c r="F657" s="53">
        <v>1033400673.13</v>
      </c>
      <c r="G657" s="53">
        <v>0</v>
      </c>
      <c r="H657" s="53">
        <v>0</v>
      </c>
      <c r="I657" s="53">
        <v>70162323.909999996</v>
      </c>
      <c r="J657" s="53">
        <v>597163984.38</v>
      </c>
      <c r="K657" s="53">
        <v>14400005.68</v>
      </c>
      <c r="L657" s="53">
        <v>0</v>
      </c>
      <c r="M657" s="53">
        <v>0</v>
      </c>
      <c r="N657" s="53">
        <v>14434103.58</v>
      </c>
      <c r="O657" s="53">
        <v>0</v>
      </c>
      <c r="P657" s="53">
        <v>0</v>
      </c>
      <c r="Q657" s="53">
        <v>13375891.810000001</v>
      </c>
      <c r="R657" s="53">
        <v>323864363.76999998</v>
      </c>
    </row>
    <row r="658" spans="1:18" x14ac:dyDescent="0.25">
      <c r="A658" s="25" t="s">
        <v>360</v>
      </c>
      <c r="B658" s="26">
        <v>2012</v>
      </c>
      <c r="C658" s="74" t="s">
        <v>359</v>
      </c>
      <c r="D658" s="27">
        <v>0</v>
      </c>
      <c r="E658" s="53">
        <v>150000000000</v>
      </c>
      <c r="F658" s="53">
        <v>150000000000</v>
      </c>
      <c r="G658" s="53">
        <v>12145186504.959999</v>
      </c>
      <c r="H658" s="53">
        <v>10761529713.129999</v>
      </c>
      <c r="I658" s="53">
        <v>11384176159.040001</v>
      </c>
      <c r="J658" s="53">
        <v>11757921283.93</v>
      </c>
      <c r="K658" s="53">
        <v>11137729057.389999</v>
      </c>
      <c r="L658" s="53">
        <v>13908313370.09</v>
      </c>
      <c r="M658" s="53">
        <v>13123045859.52</v>
      </c>
      <c r="N658" s="53">
        <v>12121021215.5</v>
      </c>
      <c r="O658" s="53">
        <v>13065190039.690001</v>
      </c>
      <c r="P658" s="53">
        <v>12829568748.700001</v>
      </c>
      <c r="Q658" s="53">
        <v>12669488053.459999</v>
      </c>
      <c r="R658" s="53">
        <v>14106067113.33</v>
      </c>
    </row>
    <row r="659" spans="1:18" x14ac:dyDescent="0.25">
      <c r="A659" s="25" t="s">
        <v>358</v>
      </c>
      <c r="B659" s="26">
        <v>2012</v>
      </c>
      <c r="C659" s="74" t="s">
        <v>357</v>
      </c>
      <c r="D659" s="27">
        <v>0</v>
      </c>
      <c r="E659" s="53">
        <v>87500000000</v>
      </c>
      <c r="F659" s="53">
        <v>87500000000</v>
      </c>
      <c r="G659" s="53">
        <v>8152351657.6599998</v>
      </c>
      <c r="H659" s="53">
        <v>8084637755.3400002</v>
      </c>
      <c r="I659" s="53">
        <v>10413904104.139999</v>
      </c>
      <c r="J659" s="53">
        <v>6917786219.5500002</v>
      </c>
      <c r="K659" s="53">
        <v>5451380496.3699999</v>
      </c>
      <c r="L659" s="53">
        <v>8663992040.25</v>
      </c>
      <c r="M659" s="53">
        <v>7493033919.3500004</v>
      </c>
      <c r="N659" s="53">
        <v>8265261716.4799995</v>
      </c>
      <c r="O659" s="53">
        <v>7600262737.8999996</v>
      </c>
      <c r="P659" s="53">
        <v>11028990599.68</v>
      </c>
      <c r="Q659" s="53">
        <v>7806462806.2200003</v>
      </c>
      <c r="R659" s="53">
        <v>17065576970</v>
      </c>
    </row>
    <row r="660" spans="1:18" x14ac:dyDescent="0.25">
      <c r="A660" s="25" t="s">
        <v>356</v>
      </c>
      <c r="B660" s="26">
        <v>2012</v>
      </c>
      <c r="C660" s="74" t="s">
        <v>355</v>
      </c>
      <c r="D660" s="27">
        <v>0</v>
      </c>
      <c r="E660" s="53">
        <v>22500000000</v>
      </c>
      <c r="F660" s="53">
        <v>22500000000</v>
      </c>
      <c r="G660" s="53">
        <v>1072972473.3</v>
      </c>
      <c r="H660" s="53">
        <v>606758948.51999998</v>
      </c>
      <c r="I660" s="53">
        <v>1676980895.1600001</v>
      </c>
      <c r="J660" s="53">
        <v>2669808643.7199998</v>
      </c>
      <c r="K660" s="53">
        <v>350064154.67000002</v>
      </c>
      <c r="L660" s="53">
        <v>2753677873.8800001</v>
      </c>
      <c r="M660" s="53">
        <v>1715703559.8800001</v>
      </c>
      <c r="N660" s="53">
        <v>1913424876.7</v>
      </c>
      <c r="O660" s="53">
        <v>2202642541.6599998</v>
      </c>
      <c r="P660" s="53">
        <v>4121717985.6799998</v>
      </c>
      <c r="Q660" s="53">
        <v>1570265463</v>
      </c>
      <c r="R660" s="53">
        <v>30881609098.619999</v>
      </c>
    </row>
    <row r="661" spans="1:18" x14ac:dyDescent="0.25">
      <c r="A661" s="25" t="s">
        <v>353</v>
      </c>
      <c r="B661" s="26">
        <v>2012</v>
      </c>
      <c r="C661" s="74" t="s">
        <v>352</v>
      </c>
      <c r="D661" s="27">
        <v>0</v>
      </c>
      <c r="E661" s="53">
        <v>45000000000</v>
      </c>
      <c r="F661" s="53">
        <v>45000000000</v>
      </c>
      <c r="G661" s="53">
        <v>9093503883.9799995</v>
      </c>
      <c r="H661" s="53">
        <v>-2591472343.8899999</v>
      </c>
      <c r="I661" s="53">
        <v>13347498732.5</v>
      </c>
      <c r="J661" s="53">
        <v>2474423173.23</v>
      </c>
      <c r="K661" s="53">
        <v>2490543766.8899999</v>
      </c>
      <c r="L661" s="53">
        <v>11009076918.17</v>
      </c>
      <c r="M661" s="53">
        <v>2722867906.9899998</v>
      </c>
      <c r="N661" s="53">
        <v>2671173847.6999998</v>
      </c>
      <c r="O661" s="53">
        <v>10006680904.83</v>
      </c>
      <c r="P661" s="53">
        <v>3477003698.23</v>
      </c>
      <c r="Q661" s="53">
        <v>3145013534</v>
      </c>
      <c r="R661" s="53">
        <v>12056405081.879999</v>
      </c>
    </row>
    <row r="662" spans="1:18" x14ac:dyDescent="0.25">
      <c r="A662" s="25" t="s">
        <v>351</v>
      </c>
      <c r="B662" s="26">
        <v>2012</v>
      </c>
      <c r="C662" s="74" t="s">
        <v>350</v>
      </c>
      <c r="D662" s="27">
        <v>0</v>
      </c>
      <c r="E662" s="53">
        <v>450000000000</v>
      </c>
      <c r="F662" s="53">
        <v>450000000000</v>
      </c>
      <c r="G662" s="53">
        <v>1605230398.45</v>
      </c>
      <c r="H662" s="53">
        <v>12082727636.33</v>
      </c>
      <c r="I662" s="53">
        <v>91177243780.800003</v>
      </c>
      <c r="J662" s="53">
        <v>12275380564.27</v>
      </c>
      <c r="K662" s="53">
        <v>5166218092.1800003</v>
      </c>
      <c r="L662" s="53">
        <v>74939959250.399994</v>
      </c>
      <c r="M662" s="53">
        <v>15129828360.030001</v>
      </c>
      <c r="N662" s="53">
        <v>3789551935.48</v>
      </c>
      <c r="O662" s="53">
        <v>74623868042.610001</v>
      </c>
      <c r="P662" s="53">
        <v>9472922112.3500004</v>
      </c>
      <c r="Q662" s="53">
        <v>7801891167.8599997</v>
      </c>
      <c r="R662" s="53">
        <v>83255756122.520004</v>
      </c>
    </row>
    <row r="663" spans="1:18" x14ac:dyDescent="0.25">
      <c r="A663" s="25" t="s">
        <v>348</v>
      </c>
      <c r="B663" s="26">
        <v>2012</v>
      </c>
      <c r="C663" s="74" t="s">
        <v>344</v>
      </c>
      <c r="D663" s="27">
        <v>0</v>
      </c>
      <c r="E663" s="53">
        <v>1000000000</v>
      </c>
      <c r="F663" s="53">
        <v>1000000000</v>
      </c>
      <c r="G663" s="53">
        <v>6721137</v>
      </c>
      <c r="H663" s="53">
        <v>254370661.53999999</v>
      </c>
      <c r="I663" s="53">
        <v>89425988</v>
      </c>
      <c r="J663" s="53">
        <v>14583359</v>
      </c>
      <c r="K663" s="53">
        <v>8244634.7300000004</v>
      </c>
      <c r="L663" s="53">
        <v>12223039</v>
      </c>
      <c r="M663" s="53">
        <v>13900658</v>
      </c>
      <c r="N663" s="53">
        <v>16285272</v>
      </c>
      <c r="O663" s="53">
        <v>14845241</v>
      </c>
      <c r="P663" s="53">
        <v>14589811</v>
      </c>
      <c r="Q663" s="53">
        <v>27289121</v>
      </c>
      <c r="R663" s="53">
        <v>25525873</v>
      </c>
    </row>
    <row r="664" spans="1:18" x14ac:dyDescent="0.25">
      <c r="A664" s="25" t="s">
        <v>347</v>
      </c>
      <c r="B664" s="26">
        <v>2012</v>
      </c>
      <c r="C664" s="74" t="s">
        <v>342</v>
      </c>
      <c r="D664" s="27">
        <v>0</v>
      </c>
      <c r="E664" s="53">
        <v>17000000000</v>
      </c>
      <c r="F664" s="53">
        <v>17000000000</v>
      </c>
      <c r="G664" s="53">
        <v>3448410828.9200001</v>
      </c>
      <c r="H664" s="53">
        <v>-228109127.47999999</v>
      </c>
      <c r="I664" s="53">
        <v>879369815.70000005</v>
      </c>
      <c r="J664" s="53">
        <v>1075361471.1300001</v>
      </c>
      <c r="K664" s="53">
        <v>210494142.22999999</v>
      </c>
      <c r="L664" s="53">
        <v>2288578984.3699999</v>
      </c>
      <c r="M664" s="53">
        <v>1812177398.2</v>
      </c>
      <c r="N664" s="53">
        <v>508237916.70999998</v>
      </c>
      <c r="O664" s="53">
        <v>546257520.21000004</v>
      </c>
      <c r="P664" s="53">
        <v>846662861.15999997</v>
      </c>
      <c r="Q664" s="53">
        <v>1420094527.5999999</v>
      </c>
      <c r="R664" s="53">
        <v>5980614449.7600002</v>
      </c>
    </row>
    <row r="665" spans="1:18" x14ac:dyDescent="0.25">
      <c r="A665" s="25" t="s">
        <v>345</v>
      </c>
      <c r="B665" s="26">
        <v>2012</v>
      </c>
      <c r="C665" s="74" t="s">
        <v>344</v>
      </c>
      <c r="D665" s="27">
        <v>0</v>
      </c>
      <c r="E665" s="53">
        <v>47500000000</v>
      </c>
      <c r="F665" s="53">
        <v>47500000000</v>
      </c>
      <c r="G665" s="53">
        <v>3912707626.6700001</v>
      </c>
      <c r="H665" s="53">
        <v>2262986873.8000002</v>
      </c>
      <c r="I665" s="53">
        <v>496924110.69999999</v>
      </c>
      <c r="J665" s="53">
        <v>10039173752.309999</v>
      </c>
      <c r="K665" s="53">
        <v>5001496073.7399998</v>
      </c>
      <c r="L665" s="53">
        <v>1706882537.25</v>
      </c>
      <c r="M665" s="53">
        <v>3706942336.2600002</v>
      </c>
      <c r="N665" s="53">
        <v>2844441804.8899999</v>
      </c>
      <c r="O665" s="53">
        <v>1268094553.0699999</v>
      </c>
      <c r="P665" s="53">
        <v>5873927313.7700005</v>
      </c>
      <c r="Q665" s="53">
        <v>1792929685.9100001</v>
      </c>
      <c r="R665" s="53">
        <v>2999685146.8299999</v>
      </c>
    </row>
    <row r="666" spans="1:18" x14ac:dyDescent="0.25">
      <c r="A666" s="25" t="s">
        <v>343</v>
      </c>
      <c r="B666" s="26">
        <v>2012</v>
      </c>
      <c r="C666" s="74" t="s">
        <v>342</v>
      </c>
      <c r="D666" s="27">
        <v>0</v>
      </c>
      <c r="E666" s="53">
        <v>8500000000</v>
      </c>
      <c r="F666" s="53">
        <v>8500000000</v>
      </c>
      <c r="G666" s="53">
        <v>768156254.45000005</v>
      </c>
      <c r="H666" s="53">
        <v>720362971.78999996</v>
      </c>
      <c r="I666" s="53">
        <v>556911856.19000006</v>
      </c>
      <c r="J666" s="53">
        <v>606076690.55999994</v>
      </c>
      <c r="K666" s="53">
        <v>525166619</v>
      </c>
      <c r="L666" s="53">
        <v>616091043.54999995</v>
      </c>
      <c r="M666" s="53">
        <v>734374751.91999996</v>
      </c>
      <c r="N666" s="53">
        <v>745130994.59000003</v>
      </c>
      <c r="O666" s="53">
        <v>712856611.60000002</v>
      </c>
      <c r="P666" s="53">
        <v>902471815.30999994</v>
      </c>
      <c r="Q666" s="53">
        <v>859800928.60000002</v>
      </c>
      <c r="R666" s="53">
        <v>919714377.53999996</v>
      </c>
    </row>
    <row r="667" spans="1:18" x14ac:dyDescent="0.25">
      <c r="A667" s="25" t="s">
        <v>340</v>
      </c>
      <c r="B667" s="26">
        <v>2012</v>
      </c>
      <c r="C667" s="74" t="s">
        <v>339</v>
      </c>
      <c r="D667" s="27">
        <v>0</v>
      </c>
      <c r="E667" s="53">
        <v>50600000000</v>
      </c>
      <c r="F667" s="53">
        <v>50600000000</v>
      </c>
      <c r="G667" s="53">
        <v>4185475393.6500001</v>
      </c>
      <c r="H667" s="53">
        <v>4249277650.6399999</v>
      </c>
      <c r="I667" s="53">
        <v>2764003014.6100001</v>
      </c>
      <c r="J667" s="53">
        <v>4236576376.6500001</v>
      </c>
      <c r="K667" s="53">
        <v>2672949591.27</v>
      </c>
      <c r="L667" s="53">
        <v>4238907560.8499999</v>
      </c>
      <c r="M667" s="53">
        <v>4782678217.5</v>
      </c>
      <c r="N667" s="53">
        <v>3809462131.8800001</v>
      </c>
      <c r="O667" s="53">
        <v>4106427568.5799999</v>
      </c>
      <c r="P667" s="53">
        <v>5462793886.8699999</v>
      </c>
      <c r="Q667" s="53">
        <v>4680251052.8400002</v>
      </c>
      <c r="R667" s="53">
        <v>7651563616.1000004</v>
      </c>
    </row>
    <row r="668" spans="1:18" x14ac:dyDescent="0.25">
      <c r="A668" s="25" t="s">
        <v>338</v>
      </c>
      <c r="B668" s="26">
        <v>2012</v>
      </c>
      <c r="C668" s="74" t="s">
        <v>337</v>
      </c>
      <c r="D668" s="27">
        <v>0</v>
      </c>
      <c r="E668" s="53">
        <v>400000000</v>
      </c>
      <c r="F668" s="53">
        <v>400000000</v>
      </c>
      <c r="G668" s="53">
        <v>256754000</v>
      </c>
      <c r="H668" s="53">
        <v>0</v>
      </c>
      <c r="I668" s="53">
        <v>0</v>
      </c>
      <c r="J668" s="53">
        <v>0</v>
      </c>
      <c r="K668" s="53">
        <v>0</v>
      </c>
      <c r="L668" s="53">
        <v>0</v>
      </c>
      <c r="M668" s="53">
        <v>0</v>
      </c>
      <c r="N668" s="53">
        <v>0</v>
      </c>
      <c r="O668" s="53">
        <v>0</v>
      </c>
      <c r="P668" s="53">
        <v>0</v>
      </c>
      <c r="Q668" s="53">
        <v>0</v>
      </c>
      <c r="R668" s="53">
        <v>0</v>
      </c>
    </row>
    <row r="669" spans="1:18" x14ac:dyDescent="0.25">
      <c r="A669" s="25" t="s">
        <v>335</v>
      </c>
      <c r="B669" s="26">
        <v>2012</v>
      </c>
      <c r="C669" s="74" t="s">
        <v>334</v>
      </c>
      <c r="D669" s="27">
        <v>0</v>
      </c>
      <c r="E669" s="53">
        <v>2500000000</v>
      </c>
      <c r="F669" s="53">
        <v>2500000000</v>
      </c>
      <c r="G669" s="53">
        <v>2251895949.5300002</v>
      </c>
      <c r="H669" s="53">
        <v>108612380.26000001</v>
      </c>
      <c r="I669" s="53">
        <v>30633421.629999999</v>
      </c>
      <c r="J669" s="53">
        <v>14183796</v>
      </c>
      <c r="K669" s="53">
        <v>11175196</v>
      </c>
      <c r="L669" s="53">
        <v>14192336.310000001</v>
      </c>
      <c r="M669" s="53">
        <v>11452471</v>
      </c>
      <c r="N669" s="53">
        <v>10528496</v>
      </c>
      <c r="O669" s="53">
        <v>10718262</v>
      </c>
      <c r="P669" s="53">
        <v>15824186</v>
      </c>
      <c r="Q669" s="53">
        <v>52567796</v>
      </c>
      <c r="R669" s="53">
        <v>106528851</v>
      </c>
    </row>
    <row r="670" spans="1:18" x14ac:dyDescent="0.25">
      <c r="A670" s="25" t="s">
        <v>332</v>
      </c>
      <c r="B670" s="26">
        <v>2012</v>
      </c>
      <c r="C670" s="74" t="s">
        <v>331</v>
      </c>
      <c r="D670" s="27">
        <v>0</v>
      </c>
      <c r="E670" s="53">
        <v>94000000000</v>
      </c>
      <c r="F670" s="53">
        <v>94000000000</v>
      </c>
      <c r="G670" s="53">
        <v>4054883284</v>
      </c>
      <c r="H670" s="53">
        <v>3196802003</v>
      </c>
      <c r="I670" s="53">
        <v>1786984321</v>
      </c>
      <c r="J670" s="53">
        <v>1502154457</v>
      </c>
      <c r="K670" s="53">
        <v>1899555432</v>
      </c>
      <c r="L670" s="53">
        <v>1596833381</v>
      </c>
      <c r="M670" s="53">
        <v>1083338028</v>
      </c>
      <c r="N670" s="53">
        <v>979870724</v>
      </c>
      <c r="O670" s="53">
        <v>953480817</v>
      </c>
      <c r="P670" s="53">
        <v>577201708</v>
      </c>
      <c r="Q670" s="53">
        <v>7622466394</v>
      </c>
      <c r="R670" s="53">
        <v>76649456579</v>
      </c>
    </row>
    <row r="671" spans="1:18" x14ac:dyDescent="0.25">
      <c r="A671" s="25" t="s">
        <v>329</v>
      </c>
      <c r="B671" s="26">
        <v>2012</v>
      </c>
      <c r="C671" s="74" t="s">
        <v>328</v>
      </c>
      <c r="D671" s="27">
        <v>0</v>
      </c>
      <c r="E671" s="53">
        <v>114000000</v>
      </c>
      <c r="F671" s="53">
        <v>114000000</v>
      </c>
      <c r="G671" s="53">
        <v>7701498</v>
      </c>
      <c r="H671" s="53">
        <v>5025013</v>
      </c>
      <c r="I671" s="53">
        <v>2645121</v>
      </c>
      <c r="J671" s="53">
        <v>1843213</v>
      </c>
      <c r="K671" s="53">
        <v>2122272</v>
      </c>
      <c r="L671" s="53">
        <v>1888962</v>
      </c>
      <c r="M671" s="53">
        <v>1501714</v>
      </c>
      <c r="N671" s="53">
        <v>1501558</v>
      </c>
      <c r="O671" s="53">
        <v>1676273</v>
      </c>
      <c r="P671" s="53">
        <v>1402998</v>
      </c>
      <c r="Q671" s="53">
        <v>8193570</v>
      </c>
      <c r="R671" s="53">
        <v>87777375</v>
      </c>
    </row>
    <row r="672" spans="1:18" x14ac:dyDescent="0.25">
      <c r="A672" s="25" t="s">
        <v>325</v>
      </c>
      <c r="B672" s="26">
        <v>2012</v>
      </c>
      <c r="C672" s="74" t="s">
        <v>324</v>
      </c>
      <c r="D672" s="27">
        <v>0</v>
      </c>
      <c r="E672" s="53">
        <v>550000000</v>
      </c>
      <c r="F672" s="53">
        <v>550000000</v>
      </c>
      <c r="G672" s="53">
        <v>224455</v>
      </c>
      <c r="H672" s="53">
        <v>10477319.82</v>
      </c>
      <c r="I672" s="53">
        <v>15781585.060000001</v>
      </c>
      <c r="J672" s="53">
        <v>214968639.88999999</v>
      </c>
      <c r="K672" s="53">
        <v>141834952.25999999</v>
      </c>
      <c r="L672" s="53">
        <v>21170865.039999999</v>
      </c>
      <c r="M672" s="53">
        <v>61568815.350000001</v>
      </c>
      <c r="N672" s="53">
        <v>15473069.939999999</v>
      </c>
      <c r="O672" s="53">
        <v>6135113.7300000004</v>
      </c>
      <c r="P672" s="53">
        <v>-96478506.829999998</v>
      </c>
      <c r="Q672" s="53">
        <v>9922418.6300000008</v>
      </c>
      <c r="R672" s="53">
        <v>-101586896.39</v>
      </c>
    </row>
    <row r="673" spans="1:18" x14ac:dyDescent="0.25">
      <c r="A673" s="25" t="s">
        <v>378</v>
      </c>
      <c r="B673" s="26">
        <v>2012</v>
      </c>
      <c r="C673" s="74" t="s">
        <v>411</v>
      </c>
      <c r="D673" s="27">
        <v>0</v>
      </c>
      <c r="E673" s="53">
        <v>19886307469.48</v>
      </c>
      <c r="F673" s="53">
        <v>19886307469.48</v>
      </c>
      <c r="G673" s="53">
        <v>0</v>
      </c>
      <c r="H673" s="53">
        <v>0</v>
      </c>
      <c r="I673" s="53">
        <v>0</v>
      </c>
      <c r="J673" s="53">
        <v>0</v>
      </c>
      <c r="K673" s="53">
        <v>15847228141.59</v>
      </c>
      <c r="L673" s="53">
        <v>1853807314.49</v>
      </c>
      <c r="M673" s="53">
        <v>1333200601.1099999</v>
      </c>
      <c r="N673" s="53">
        <v>852071412.28999996</v>
      </c>
      <c r="O673" s="53">
        <v>649951804.82000005</v>
      </c>
      <c r="P673" s="53">
        <v>717257436.50999999</v>
      </c>
      <c r="Q673" s="53">
        <v>553735327.63</v>
      </c>
      <c r="R673" s="53">
        <v>617451680.66999996</v>
      </c>
    </row>
    <row r="674" spans="1:18" x14ac:dyDescent="0.25">
      <c r="A674" s="25" t="s">
        <v>320</v>
      </c>
      <c r="B674" s="26">
        <v>2012</v>
      </c>
      <c r="C674" s="74" t="s">
        <v>319</v>
      </c>
      <c r="D674" s="27">
        <v>0</v>
      </c>
      <c r="E674" s="53">
        <v>20000000000</v>
      </c>
      <c r="F674" s="53">
        <v>20000000000</v>
      </c>
      <c r="G674" s="53">
        <v>1141244313</v>
      </c>
      <c r="H674" s="53">
        <v>1598961332</v>
      </c>
      <c r="I674" s="53">
        <v>1690860288</v>
      </c>
      <c r="J674" s="53">
        <v>1263622476</v>
      </c>
      <c r="K674" s="53">
        <v>1757072680</v>
      </c>
      <c r="L674" s="53">
        <v>1602557637</v>
      </c>
      <c r="M674" s="53">
        <v>1664979560</v>
      </c>
      <c r="N674" s="53">
        <v>1899860356</v>
      </c>
      <c r="O674" s="53">
        <v>1736116298.1600001</v>
      </c>
      <c r="P674" s="53">
        <v>2020504580</v>
      </c>
      <c r="Q674" s="53">
        <v>2233715703</v>
      </c>
      <c r="R674" s="53">
        <v>2340638975.27</v>
      </c>
    </row>
    <row r="675" spans="1:18" x14ac:dyDescent="0.25">
      <c r="A675" s="25" t="s">
        <v>317</v>
      </c>
      <c r="B675" s="26">
        <v>2012</v>
      </c>
      <c r="C675" s="74" t="s">
        <v>316</v>
      </c>
      <c r="D675" s="27">
        <v>0</v>
      </c>
      <c r="E675" s="53">
        <v>15400000000</v>
      </c>
      <c r="F675" s="53">
        <v>15400000000</v>
      </c>
      <c r="G675" s="53">
        <v>1074924468</v>
      </c>
      <c r="H675" s="53">
        <v>1259990957</v>
      </c>
      <c r="I675" s="53">
        <v>1277649217</v>
      </c>
      <c r="J675" s="53">
        <v>904540139</v>
      </c>
      <c r="K675" s="53">
        <v>1220412630.3800001</v>
      </c>
      <c r="L675" s="53">
        <v>1123638983</v>
      </c>
      <c r="M675" s="53">
        <v>1040852859</v>
      </c>
      <c r="N675" s="53">
        <v>1076214191</v>
      </c>
      <c r="O675" s="53">
        <v>939060932</v>
      </c>
      <c r="P675" s="53">
        <v>1087213634</v>
      </c>
      <c r="Q675" s="53">
        <v>1035818640</v>
      </c>
      <c r="R675" s="53">
        <v>906305006.5</v>
      </c>
    </row>
    <row r="676" spans="1:18" x14ac:dyDescent="0.25">
      <c r="A676" s="25" t="s">
        <v>313</v>
      </c>
      <c r="B676" s="26">
        <v>2012</v>
      </c>
      <c r="C676" s="74" t="s">
        <v>312</v>
      </c>
      <c r="D676" s="27">
        <v>0</v>
      </c>
      <c r="E676" s="53">
        <v>583000000000</v>
      </c>
      <c r="F676" s="53">
        <v>583000000000</v>
      </c>
      <c r="G676" s="53">
        <v>60501084035.239998</v>
      </c>
      <c r="H676" s="53">
        <v>48830003504.120003</v>
      </c>
      <c r="I676" s="53">
        <v>49178664610.379997</v>
      </c>
      <c r="J676" s="53">
        <v>49050228683.459999</v>
      </c>
      <c r="K676" s="53">
        <v>44524633210.699997</v>
      </c>
      <c r="L676" s="53">
        <v>41844007796.120003</v>
      </c>
      <c r="M676" s="53">
        <v>49594356232.669998</v>
      </c>
      <c r="N676" s="53">
        <v>46807970067.660004</v>
      </c>
      <c r="O676" s="53">
        <v>46597275405.269997</v>
      </c>
      <c r="P676" s="53">
        <v>46852639833.82</v>
      </c>
      <c r="Q676" s="53">
        <v>46327435829.760002</v>
      </c>
      <c r="R676" s="53">
        <v>54529606023.919998</v>
      </c>
    </row>
    <row r="677" spans="1:18" x14ac:dyDescent="0.25">
      <c r="A677" s="25" t="s">
        <v>310</v>
      </c>
      <c r="B677" s="26">
        <v>2012</v>
      </c>
      <c r="C677" s="74" t="s">
        <v>309</v>
      </c>
      <c r="D677" s="27">
        <v>0</v>
      </c>
      <c r="E677" s="53">
        <v>542000000000</v>
      </c>
      <c r="F677" s="53">
        <v>542000000000</v>
      </c>
      <c r="G677" s="53">
        <v>44343065835.190002</v>
      </c>
      <c r="H677" s="53">
        <v>41628482651.650002</v>
      </c>
      <c r="I677" s="53">
        <v>48947277900.029999</v>
      </c>
      <c r="J677" s="53">
        <v>38726805193.099998</v>
      </c>
      <c r="K677" s="53">
        <v>45577703632.75</v>
      </c>
      <c r="L677" s="53">
        <v>41294864031.050003</v>
      </c>
      <c r="M677" s="53">
        <v>46549368451.57</v>
      </c>
      <c r="N677" s="53">
        <v>47011055945.989998</v>
      </c>
      <c r="O677" s="53">
        <v>38699822564.300003</v>
      </c>
      <c r="P677" s="53">
        <v>48746710262.989998</v>
      </c>
      <c r="Q677" s="53">
        <v>53091967120.089996</v>
      </c>
      <c r="R677" s="53">
        <v>43722895593.870003</v>
      </c>
    </row>
    <row r="678" spans="1:18" x14ac:dyDescent="0.25">
      <c r="A678" s="25" t="s">
        <v>306</v>
      </c>
      <c r="B678" s="26">
        <v>2012</v>
      </c>
      <c r="C678" s="74" t="s">
        <v>305</v>
      </c>
      <c r="D678" s="27">
        <v>0</v>
      </c>
      <c r="E678" s="53">
        <v>29200000000</v>
      </c>
      <c r="F678" s="53">
        <v>29200000000</v>
      </c>
      <c r="G678" s="53">
        <v>3089532148.1100001</v>
      </c>
      <c r="H678" s="53">
        <v>1964501056.98</v>
      </c>
      <c r="I678" s="53">
        <v>2460419962.0599999</v>
      </c>
      <c r="J678" s="53">
        <v>5526193455.6499996</v>
      </c>
      <c r="K678" s="53">
        <v>1954319391.6400001</v>
      </c>
      <c r="L678" s="53">
        <v>858517673.67999995</v>
      </c>
      <c r="M678" s="53">
        <v>993959669.88</v>
      </c>
      <c r="N678" s="53">
        <v>1186297879.3900001</v>
      </c>
      <c r="O678" s="53">
        <v>1569813502.3399999</v>
      </c>
      <c r="P678" s="53">
        <v>1719405286.3399999</v>
      </c>
      <c r="Q678" s="53">
        <v>2324339885.3499999</v>
      </c>
      <c r="R678" s="53">
        <v>2274175242.4400001</v>
      </c>
    </row>
    <row r="679" spans="1:18" x14ac:dyDescent="0.25">
      <c r="A679" s="25" t="s">
        <v>303</v>
      </c>
      <c r="B679" s="26">
        <v>2012</v>
      </c>
      <c r="C679" s="74" t="s">
        <v>302</v>
      </c>
      <c r="D679" s="27">
        <v>0</v>
      </c>
      <c r="E679" s="53">
        <v>162000000000</v>
      </c>
      <c r="F679" s="53">
        <v>162000000000</v>
      </c>
      <c r="G679" s="53">
        <v>12376736114.940001</v>
      </c>
      <c r="H679" s="53">
        <v>12529038787.17</v>
      </c>
      <c r="I679" s="53">
        <v>18097239792.130001</v>
      </c>
      <c r="J679" s="53">
        <v>12315478029.84</v>
      </c>
      <c r="K679" s="53">
        <v>13664808857.629999</v>
      </c>
      <c r="L679" s="53">
        <v>12204899438.51</v>
      </c>
      <c r="M679" s="53">
        <v>12771432537.27</v>
      </c>
      <c r="N679" s="53">
        <v>14320596826.08</v>
      </c>
      <c r="O679" s="53">
        <v>10597467193.84</v>
      </c>
      <c r="P679" s="53">
        <v>13219750588.809999</v>
      </c>
      <c r="Q679" s="53">
        <v>16444673616.459999</v>
      </c>
      <c r="R679" s="53">
        <v>13398952390.83</v>
      </c>
    </row>
    <row r="680" spans="1:18" x14ac:dyDescent="0.25">
      <c r="A680" s="25" t="s">
        <v>472</v>
      </c>
      <c r="B680" s="26">
        <v>2012</v>
      </c>
      <c r="C680" s="74" t="s">
        <v>471</v>
      </c>
      <c r="D680" s="27">
        <v>0</v>
      </c>
      <c r="E680" s="53">
        <v>0</v>
      </c>
      <c r="F680" s="53">
        <v>0</v>
      </c>
      <c r="G680" s="53">
        <v>0</v>
      </c>
      <c r="H680" s="53">
        <v>0</v>
      </c>
      <c r="I680" s="53">
        <v>1000</v>
      </c>
      <c r="J680" s="53">
        <v>0</v>
      </c>
      <c r="K680" s="53">
        <v>6500</v>
      </c>
      <c r="L680" s="53">
        <v>0</v>
      </c>
      <c r="M680" s="53">
        <v>0</v>
      </c>
      <c r="N680" s="53">
        <v>0</v>
      </c>
      <c r="O680" s="53">
        <v>0</v>
      </c>
      <c r="P680" s="53">
        <v>13200</v>
      </c>
      <c r="Q680" s="53">
        <v>6600</v>
      </c>
      <c r="R680" s="53">
        <v>0</v>
      </c>
    </row>
    <row r="681" spans="1:18" x14ac:dyDescent="0.25">
      <c r="A681" s="25" t="s">
        <v>298</v>
      </c>
      <c r="B681" s="26">
        <v>2012</v>
      </c>
      <c r="C681" s="74" t="s">
        <v>281</v>
      </c>
      <c r="D681" s="27">
        <v>0</v>
      </c>
      <c r="E681" s="53">
        <v>234000000000</v>
      </c>
      <c r="F681" s="53">
        <v>234000000000</v>
      </c>
      <c r="G681" s="53">
        <v>10444986289</v>
      </c>
      <c r="H681" s="53">
        <v>9930444120</v>
      </c>
      <c r="I681" s="53">
        <v>8024158470</v>
      </c>
      <c r="J681" s="53">
        <v>21247606286</v>
      </c>
      <c r="K681" s="53">
        <v>25649103667</v>
      </c>
      <c r="L681" s="53">
        <v>17006247350</v>
      </c>
      <c r="M681" s="53">
        <v>18152104427</v>
      </c>
      <c r="N681" s="53">
        <v>8913453220</v>
      </c>
      <c r="O681" s="53">
        <v>25784814140</v>
      </c>
      <c r="P681" s="53">
        <v>15923568492</v>
      </c>
      <c r="Q681" s="53">
        <v>17547969084</v>
      </c>
      <c r="R681" s="53">
        <v>15929676728</v>
      </c>
    </row>
    <row r="682" spans="1:18" x14ac:dyDescent="0.25">
      <c r="A682" s="25" t="s">
        <v>297</v>
      </c>
      <c r="B682" s="26">
        <v>2012</v>
      </c>
      <c r="C682" s="74" t="s">
        <v>287</v>
      </c>
      <c r="D682" s="27">
        <v>0</v>
      </c>
      <c r="E682" s="53">
        <v>156000000000</v>
      </c>
      <c r="F682" s="53">
        <v>156000000000</v>
      </c>
      <c r="G682" s="53">
        <v>20828932883.66</v>
      </c>
      <c r="H682" s="53">
        <v>7320025991.3199997</v>
      </c>
      <c r="I682" s="53">
        <v>19040264768.279999</v>
      </c>
      <c r="J682" s="53">
        <v>8047548553.3299999</v>
      </c>
      <c r="K682" s="53">
        <v>12641615479.559999</v>
      </c>
      <c r="L682" s="53">
        <v>13426858016.629999</v>
      </c>
      <c r="M682" s="53">
        <v>7551587242.6300001</v>
      </c>
      <c r="N682" s="53">
        <v>19583257369.68</v>
      </c>
      <c r="O682" s="53">
        <v>13787419732.32</v>
      </c>
      <c r="P682" s="53">
        <v>9225335592.8299999</v>
      </c>
      <c r="Q682" s="53">
        <v>8931037670.4699993</v>
      </c>
      <c r="R682" s="53">
        <v>19210879945.75</v>
      </c>
    </row>
    <row r="683" spans="1:18" x14ac:dyDescent="0.25">
      <c r="A683" s="25" t="s">
        <v>295</v>
      </c>
      <c r="B683" s="26">
        <v>2012</v>
      </c>
      <c r="C683" s="74" t="s">
        <v>281</v>
      </c>
      <c r="D683" s="27">
        <v>0</v>
      </c>
      <c r="E683" s="53">
        <v>29000000000</v>
      </c>
      <c r="F683" s="53">
        <v>29000000000</v>
      </c>
      <c r="G683" s="53">
        <v>2884666026.8099999</v>
      </c>
      <c r="H683" s="53">
        <v>1847602908.1800001</v>
      </c>
      <c r="I683" s="53">
        <v>2618301063.2600002</v>
      </c>
      <c r="J683" s="53">
        <v>2700023484.6799998</v>
      </c>
      <c r="K683" s="53">
        <v>1980037977.3099999</v>
      </c>
      <c r="L683" s="53">
        <v>2171378027</v>
      </c>
      <c r="M683" s="53">
        <v>2529871606.3400002</v>
      </c>
      <c r="N683" s="53">
        <v>2341663410.4699998</v>
      </c>
      <c r="O683" s="53">
        <v>2192619284.8099999</v>
      </c>
      <c r="P683" s="53">
        <v>2223219398.8600001</v>
      </c>
      <c r="Q683" s="53">
        <v>1942674771.72</v>
      </c>
      <c r="R683" s="53">
        <v>2905056244.9099998</v>
      </c>
    </row>
    <row r="684" spans="1:18" x14ac:dyDescent="0.25">
      <c r="A684" s="25" t="s">
        <v>294</v>
      </c>
      <c r="B684" s="26">
        <v>2012</v>
      </c>
      <c r="C684" s="74" t="s">
        <v>287</v>
      </c>
      <c r="D684" s="27">
        <v>0</v>
      </c>
      <c r="E684" s="53">
        <v>6000000000</v>
      </c>
      <c r="F684" s="53">
        <v>6000000000</v>
      </c>
      <c r="G684" s="53">
        <v>473181295.31999999</v>
      </c>
      <c r="H684" s="53">
        <v>662359208.51999998</v>
      </c>
      <c r="I684" s="53">
        <v>577711362.02999997</v>
      </c>
      <c r="J684" s="53">
        <v>331708835.54000002</v>
      </c>
      <c r="K684" s="53">
        <v>521004905.27999997</v>
      </c>
      <c r="L684" s="53">
        <v>562930878.46000004</v>
      </c>
      <c r="M684" s="53">
        <v>447714446.01999998</v>
      </c>
      <c r="N684" s="53">
        <v>473390166.31</v>
      </c>
      <c r="O684" s="53">
        <v>323202643.64999998</v>
      </c>
      <c r="P684" s="53">
        <v>951491802.20000005</v>
      </c>
      <c r="Q684" s="53">
        <v>1073484434.4299999</v>
      </c>
      <c r="R684" s="53">
        <v>884304020.11000001</v>
      </c>
    </row>
    <row r="685" spans="1:18" x14ac:dyDescent="0.25">
      <c r="A685" s="25" t="s">
        <v>292</v>
      </c>
      <c r="B685" s="26">
        <v>2012</v>
      </c>
      <c r="C685" s="74" t="s">
        <v>281</v>
      </c>
      <c r="D685" s="27">
        <v>0</v>
      </c>
      <c r="E685" s="53">
        <v>29000000000</v>
      </c>
      <c r="F685" s="53">
        <v>29000000000</v>
      </c>
      <c r="G685" s="53">
        <v>2644366472.04</v>
      </c>
      <c r="H685" s="53">
        <v>2078233682.6900001</v>
      </c>
      <c r="I685" s="53">
        <v>2293553015.0999999</v>
      </c>
      <c r="J685" s="53">
        <v>2114230731.3499999</v>
      </c>
      <c r="K685" s="53">
        <v>2249186559.3499999</v>
      </c>
      <c r="L685" s="53">
        <v>2383013855.4699998</v>
      </c>
      <c r="M685" s="53">
        <v>2360793291</v>
      </c>
      <c r="N685" s="53">
        <v>2371632761.46</v>
      </c>
      <c r="O685" s="53">
        <v>2456248653.2399998</v>
      </c>
      <c r="P685" s="53">
        <v>2185622754.6199999</v>
      </c>
      <c r="Q685" s="53">
        <v>2346980304.5500002</v>
      </c>
      <c r="R685" s="53">
        <v>2375167041</v>
      </c>
    </row>
    <row r="686" spans="1:18" x14ac:dyDescent="0.25">
      <c r="A686" s="25" t="s">
        <v>291</v>
      </c>
      <c r="B686" s="26">
        <v>2012</v>
      </c>
      <c r="C686" s="74" t="s">
        <v>287</v>
      </c>
      <c r="D686" s="27">
        <v>0</v>
      </c>
      <c r="E686" s="53">
        <v>2500000000</v>
      </c>
      <c r="F686" s="53">
        <v>2500000000</v>
      </c>
      <c r="G686" s="53">
        <v>167120327.03</v>
      </c>
      <c r="H686" s="53">
        <v>196656185.77000001</v>
      </c>
      <c r="I686" s="53">
        <v>170983687.18000001</v>
      </c>
      <c r="J686" s="53">
        <v>173341416.50999999</v>
      </c>
      <c r="K686" s="53">
        <v>213550770.06</v>
      </c>
      <c r="L686" s="53">
        <v>213735599.94</v>
      </c>
      <c r="M686" s="53">
        <v>181314820.16999999</v>
      </c>
      <c r="N686" s="53">
        <v>217546204.09999999</v>
      </c>
      <c r="O686" s="53">
        <v>183896806.96000001</v>
      </c>
      <c r="P686" s="53">
        <v>200535702.59999999</v>
      </c>
      <c r="Q686" s="53">
        <v>209621508.88999999</v>
      </c>
      <c r="R686" s="53">
        <v>217699718.06</v>
      </c>
    </row>
    <row r="687" spans="1:18" x14ac:dyDescent="0.25">
      <c r="A687" s="25" t="s">
        <v>289</v>
      </c>
      <c r="B687" s="26">
        <v>2012</v>
      </c>
      <c r="C687" s="74" t="s">
        <v>287</v>
      </c>
      <c r="D687" s="27">
        <v>0</v>
      </c>
      <c r="E687" s="53">
        <v>1650000000</v>
      </c>
      <c r="F687" s="53">
        <v>1650000000</v>
      </c>
      <c r="G687" s="53">
        <v>133496018.52</v>
      </c>
      <c r="H687" s="53">
        <v>105228775.29000001</v>
      </c>
      <c r="I687" s="53">
        <v>105824513.43000001</v>
      </c>
      <c r="J687" s="53">
        <v>92637747.219999999</v>
      </c>
      <c r="K687" s="53">
        <v>133393572.5</v>
      </c>
      <c r="L687" s="53">
        <v>124600829.95</v>
      </c>
      <c r="M687" s="53">
        <v>140272180.33000001</v>
      </c>
      <c r="N687" s="53">
        <v>123399444.93000001</v>
      </c>
      <c r="O687" s="53">
        <v>111950837.23999999</v>
      </c>
      <c r="P687" s="53">
        <v>138394723.44999999</v>
      </c>
      <c r="Q687" s="53">
        <v>156255023.75</v>
      </c>
      <c r="R687" s="53">
        <v>121365026.18000001</v>
      </c>
    </row>
    <row r="688" spans="1:18" x14ac:dyDescent="0.25">
      <c r="A688" s="25" t="s">
        <v>286</v>
      </c>
      <c r="B688" s="26">
        <v>2012</v>
      </c>
      <c r="C688" s="74" t="s">
        <v>285</v>
      </c>
      <c r="D688" s="27">
        <v>0</v>
      </c>
      <c r="E688" s="53">
        <v>270000000</v>
      </c>
      <c r="F688" s="53">
        <v>270000000</v>
      </c>
      <c r="G688" s="53">
        <v>0</v>
      </c>
      <c r="H688" s="53">
        <v>15547133.74</v>
      </c>
      <c r="I688" s="53">
        <v>18951060.640000001</v>
      </c>
      <c r="J688" s="53">
        <v>18359074.010000002</v>
      </c>
      <c r="K688" s="53">
        <v>19102712.780000001</v>
      </c>
      <c r="L688" s="53">
        <v>18632090.050000001</v>
      </c>
      <c r="M688" s="53">
        <v>24814242.050000001</v>
      </c>
      <c r="N688" s="53">
        <v>23762983.16</v>
      </c>
      <c r="O688" s="53">
        <v>23109667.949999999</v>
      </c>
      <c r="P688" s="53">
        <v>21497338.989999998</v>
      </c>
      <c r="Q688" s="53">
        <v>19391001.850000001</v>
      </c>
      <c r="R688" s="53">
        <v>43650546.799999997</v>
      </c>
    </row>
    <row r="689" spans="1:18" x14ac:dyDescent="0.25">
      <c r="A689" s="25" t="s">
        <v>283</v>
      </c>
      <c r="B689" s="26">
        <v>2012</v>
      </c>
      <c r="C689" s="74" t="s">
        <v>282</v>
      </c>
      <c r="D689" s="27">
        <v>0</v>
      </c>
      <c r="E689" s="53">
        <v>9600000000</v>
      </c>
      <c r="F689" s="53">
        <v>9600000000</v>
      </c>
      <c r="G689" s="53">
        <v>0</v>
      </c>
      <c r="H689" s="53">
        <v>0</v>
      </c>
      <c r="I689" s="53">
        <v>0</v>
      </c>
      <c r="J689" s="53">
        <v>0</v>
      </c>
      <c r="K689" s="53">
        <v>0</v>
      </c>
      <c r="L689" s="53">
        <v>461836140</v>
      </c>
      <c r="M689" s="53">
        <v>468710710</v>
      </c>
      <c r="N689" s="53">
        <v>891432918.10000002</v>
      </c>
      <c r="O689" s="53">
        <v>1455808172.0599999</v>
      </c>
      <c r="P689" s="53">
        <v>1760163600</v>
      </c>
      <c r="Q689" s="53">
        <v>2939820043.1900001</v>
      </c>
      <c r="R689" s="53">
        <v>2204304440</v>
      </c>
    </row>
    <row r="690" spans="1:18" x14ac:dyDescent="0.25">
      <c r="A690" s="25" t="s">
        <v>280</v>
      </c>
      <c r="B690" s="26">
        <v>2012</v>
      </c>
      <c r="C690" s="74" t="s">
        <v>279</v>
      </c>
      <c r="D690" s="27">
        <v>0</v>
      </c>
      <c r="E690" s="53">
        <v>6400000000</v>
      </c>
      <c r="F690" s="53">
        <v>6400000000</v>
      </c>
      <c r="G690" s="53">
        <v>0</v>
      </c>
      <c r="H690" s="53">
        <v>0</v>
      </c>
      <c r="I690" s="53">
        <v>0</v>
      </c>
      <c r="J690" s="53">
        <v>0</v>
      </c>
      <c r="K690" s="53">
        <v>338292080</v>
      </c>
      <c r="L690" s="53">
        <v>1473444000</v>
      </c>
      <c r="M690" s="53">
        <v>1121400000</v>
      </c>
      <c r="N690" s="53">
        <v>1048647279.4</v>
      </c>
      <c r="O690" s="53">
        <v>1044661600</v>
      </c>
      <c r="P690" s="53">
        <v>1872152000</v>
      </c>
      <c r="Q690" s="53">
        <v>1825240000</v>
      </c>
      <c r="R690" s="53">
        <v>945800000</v>
      </c>
    </row>
    <row r="691" spans="1:18" x14ac:dyDescent="0.25">
      <c r="A691" s="25" t="s">
        <v>276</v>
      </c>
      <c r="B691" s="26">
        <v>2012</v>
      </c>
      <c r="C691" s="74" t="s">
        <v>275</v>
      </c>
      <c r="D691" s="27">
        <v>0</v>
      </c>
      <c r="E691" s="53">
        <v>400000000</v>
      </c>
      <c r="F691" s="53">
        <v>400000000</v>
      </c>
      <c r="G691" s="53">
        <v>41872092.5</v>
      </c>
      <c r="H691" s="53">
        <v>26069661.43</v>
      </c>
      <c r="I691" s="53">
        <v>23920078.420000002</v>
      </c>
      <c r="J691" s="53">
        <v>24245189.129999999</v>
      </c>
      <c r="K691" s="53">
        <v>12442058.449999999</v>
      </c>
      <c r="L691" s="53">
        <v>13628332.779999999</v>
      </c>
      <c r="M691" s="53">
        <v>14451302.800000001</v>
      </c>
      <c r="N691" s="53">
        <v>11795055.539999999</v>
      </c>
      <c r="O691" s="53">
        <v>8731334.5099999998</v>
      </c>
      <c r="P691" s="53">
        <v>14811573.17</v>
      </c>
      <c r="Q691" s="53">
        <v>13088314.25</v>
      </c>
      <c r="R691" s="53">
        <v>8437323.5199999996</v>
      </c>
    </row>
    <row r="692" spans="1:18" x14ac:dyDescent="0.25">
      <c r="A692" s="25" t="s">
        <v>268</v>
      </c>
      <c r="B692" s="26">
        <v>2012</v>
      </c>
      <c r="C692" s="74" t="s">
        <v>267</v>
      </c>
      <c r="D692" s="27">
        <v>0</v>
      </c>
      <c r="E692" s="53">
        <v>135300000000</v>
      </c>
      <c r="F692" s="53">
        <v>135300000000</v>
      </c>
      <c r="G692" s="53">
        <v>9656477386.1299992</v>
      </c>
      <c r="H692" s="53">
        <v>9687402007.7999992</v>
      </c>
      <c r="I692" s="53">
        <v>9803020559.5799999</v>
      </c>
      <c r="J692" s="53">
        <v>8298004671.7299995</v>
      </c>
      <c r="K692" s="53">
        <v>10504638619.68</v>
      </c>
      <c r="L692" s="53">
        <v>9884144146.4799995</v>
      </c>
      <c r="M692" s="53">
        <v>10507438514.549999</v>
      </c>
      <c r="N692" s="53">
        <v>10650820270.84</v>
      </c>
      <c r="O692" s="53">
        <v>10833561514.84</v>
      </c>
      <c r="P692" s="53">
        <v>12886166235.25</v>
      </c>
      <c r="Q692" s="53">
        <v>14343115742.469999</v>
      </c>
      <c r="R692" s="53">
        <v>11302873375.07</v>
      </c>
    </row>
    <row r="693" spans="1:18" x14ac:dyDescent="0.25">
      <c r="A693" s="25" t="s">
        <v>264</v>
      </c>
      <c r="B693" s="26">
        <v>2012</v>
      </c>
      <c r="C693" s="74" t="s">
        <v>263</v>
      </c>
      <c r="D693" s="27">
        <v>0</v>
      </c>
      <c r="E693" s="53">
        <v>28200000000</v>
      </c>
      <c r="F693" s="53">
        <v>28200000000</v>
      </c>
      <c r="G693" s="53">
        <v>1983611026.0599999</v>
      </c>
      <c r="H693" s="53">
        <v>1866959008.8499999</v>
      </c>
      <c r="I693" s="53">
        <v>2170465358.2800002</v>
      </c>
      <c r="J693" s="53">
        <v>1609512641.73</v>
      </c>
      <c r="K693" s="53">
        <v>2066835476.4300001</v>
      </c>
      <c r="L693" s="53">
        <v>1866744841.54</v>
      </c>
      <c r="M693" s="53">
        <v>2025190957.8699999</v>
      </c>
      <c r="N693" s="53">
        <v>2085801198.21</v>
      </c>
      <c r="O693" s="53">
        <v>1758425215.9000001</v>
      </c>
      <c r="P693" s="53">
        <v>2105455542.3099999</v>
      </c>
      <c r="Q693" s="53">
        <v>2222458933.1999998</v>
      </c>
      <c r="R693" s="53">
        <v>2155243057.4400001</v>
      </c>
    </row>
    <row r="694" spans="1:18" x14ac:dyDescent="0.25">
      <c r="A694" s="25" t="s">
        <v>260</v>
      </c>
      <c r="B694" s="26">
        <v>2012</v>
      </c>
      <c r="C694" s="74" t="s">
        <v>259</v>
      </c>
      <c r="D694" s="27">
        <v>0</v>
      </c>
      <c r="E694" s="53">
        <v>3831900000</v>
      </c>
      <c r="F694" s="53">
        <v>3831900000</v>
      </c>
      <c r="G694" s="53">
        <v>276306476.20999998</v>
      </c>
      <c r="H694" s="53">
        <v>266142661.46000001</v>
      </c>
      <c r="I694" s="53">
        <v>283908793.63999999</v>
      </c>
      <c r="J694" s="53">
        <v>264659111.90000001</v>
      </c>
      <c r="K694" s="53">
        <v>420978183.19999999</v>
      </c>
      <c r="L694" s="53">
        <v>290693027.75999999</v>
      </c>
      <c r="M694" s="53">
        <v>288482300.72000003</v>
      </c>
      <c r="N694" s="53">
        <v>279329302.66000003</v>
      </c>
      <c r="O694" s="53">
        <v>322277861.17000002</v>
      </c>
      <c r="P694" s="53">
        <v>368101588.88</v>
      </c>
      <c r="Q694" s="53">
        <v>361424462.93000001</v>
      </c>
      <c r="R694" s="53">
        <v>241050168.88</v>
      </c>
    </row>
    <row r="695" spans="1:18" x14ac:dyDescent="0.25">
      <c r="A695" s="25" t="s">
        <v>258</v>
      </c>
      <c r="B695" s="26">
        <v>2012</v>
      </c>
      <c r="C695" s="74" t="s">
        <v>257</v>
      </c>
      <c r="D695" s="27">
        <v>0</v>
      </c>
      <c r="E695" s="53">
        <v>154500000</v>
      </c>
      <c r="F695" s="53">
        <v>154500000</v>
      </c>
      <c r="G695" s="53">
        <v>11751253.5</v>
      </c>
      <c r="H695" s="53">
        <v>11422264.5</v>
      </c>
      <c r="I695" s="53">
        <v>12156763.5</v>
      </c>
      <c r="J695" s="53">
        <v>11473167</v>
      </c>
      <c r="K695" s="53">
        <v>17949067.5</v>
      </c>
      <c r="L695" s="53">
        <v>12641565</v>
      </c>
      <c r="M695" s="53">
        <v>12690694.5</v>
      </c>
      <c r="N695" s="53">
        <v>12649744.5</v>
      </c>
      <c r="O695" s="53">
        <v>14200627.220000001</v>
      </c>
      <c r="P695" s="53">
        <v>16506411</v>
      </c>
      <c r="Q695" s="53">
        <v>16206322.5</v>
      </c>
      <c r="R695" s="53">
        <v>10587529.5</v>
      </c>
    </row>
    <row r="696" spans="1:18" x14ac:dyDescent="0.25">
      <c r="A696" s="25" t="s">
        <v>253</v>
      </c>
      <c r="B696" s="26">
        <v>2012</v>
      </c>
      <c r="C696" s="74" t="s">
        <v>252</v>
      </c>
      <c r="D696" s="27">
        <v>0</v>
      </c>
      <c r="E696" s="53">
        <v>29000000000</v>
      </c>
      <c r="F696" s="53">
        <v>29000000000</v>
      </c>
      <c r="G696" s="53">
        <v>2843908502.04</v>
      </c>
      <c r="H696" s="53">
        <v>2371466803.1599998</v>
      </c>
      <c r="I696" s="53">
        <v>2753532436.9899998</v>
      </c>
      <c r="J696" s="53">
        <v>2269077734.8299999</v>
      </c>
      <c r="K696" s="53">
        <v>1948210537.54</v>
      </c>
      <c r="L696" s="53">
        <v>1894060775.6400001</v>
      </c>
      <c r="M696" s="53">
        <v>2345740125.5799999</v>
      </c>
      <c r="N696" s="53">
        <v>2175763238.4899998</v>
      </c>
      <c r="O696" s="53">
        <v>1435931460.9100001</v>
      </c>
      <c r="P696" s="53">
        <v>1538108059.8599999</v>
      </c>
      <c r="Q696" s="53">
        <v>1819618379.5699999</v>
      </c>
      <c r="R696" s="53">
        <v>1970575994.21</v>
      </c>
    </row>
    <row r="697" spans="1:18" x14ac:dyDescent="0.25">
      <c r="A697" s="25" t="s">
        <v>249</v>
      </c>
      <c r="B697" s="26">
        <v>2012</v>
      </c>
      <c r="C697" s="74" t="s">
        <v>248</v>
      </c>
      <c r="D697" s="27">
        <v>0</v>
      </c>
      <c r="E697" s="53">
        <v>6100000000</v>
      </c>
      <c r="F697" s="53">
        <v>6100000000</v>
      </c>
      <c r="G697" s="53">
        <v>914137168.51999998</v>
      </c>
      <c r="H697" s="53">
        <v>624323047.96000004</v>
      </c>
      <c r="I697" s="53">
        <v>283295607.51999998</v>
      </c>
      <c r="J697" s="53">
        <v>472605699.31999999</v>
      </c>
      <c r="K697" s="53">
        <v>436703093.18000001</v>
      </c>
      <c r="L697" s="53">
        <v>410054888.56</v>
      </c>
      <c r="M697" s="53">
        <v>486393671.93000001</v>
      </c>
      <c r="N697" s="53">
        <v>374826431.52999997</v>
      </c>
      <c r="O697" s="53">
        <v>285946318</v>
      </c>
      <c r="P697" s="53">
        <v>689776514.91999996</v>
      </c>
      <c r="Q697" s="53">
        <v>514626136.23000002</v>
      </c>
      <c r="R697" s="53">
        <v>241575602.24000001</v>
      </c>
    </row>
    <row r="698" spans="1:18" x14ac:dyDescent="0.25">
      <c r="A698" s="25" t="s">
        <v>246</v>
      </c>
      <c r="B698" s="26">
        <v>2012</v>
      </c>
      <c r="C698" s="74" t="s">
        <v>245</v>
      </c>
      <c r="D698" s="27">
        <v>0</v>
      </c>
      <c r="E698" s="53">
        <v>813594476</v>
      </c>
      <c r="F698" s="53">
        <v>813594476</v>
      </c>
      <c r="G698" s="53">
        <v>0</v>
      </c>
      <c r="H698" s="53">
        <v>89936716</v>
      </c>
      <c r="I698" s="53">
        <v>86760236.150000006</v>
      </c>
      <c r="J698" s="53">
        <v>88522852.569999993</v>
      </c>
      <c r="K698" s="53">
        <v>890376991.21000004</v>
      </c>
      <c r="L698" s="53">
        <v>87885988.810000002</v>
      </c>
      <c r="M698" s="53">
        <v>74834504.579999998</v>
      </c>
      <c r="N698" s="53">
        <v>79669096.530000001</v>
      </c>
      <c r="O698" s="53">
        <v>80944434.109999999</v>
      </c>
      <c r="P698" s="53">
        <v>82980956.510000005</v>
      </c>
      <c r="Q698" s="53">
        <v>133426284.15000001</v>
      </c>
      <c r="R698" s="53">
        <v>164591164.61000001</v>
      </c>
    </row>
    <row r="699" spans="1:18" x14ac:dyDescent="0.25">
      <c r="A699" s="25" t="s">
        <v>242</v>
      </c>
      <c r="B699" s="26">
        <v>2012</v>
      </c>
      <c r="C699" s="74" t="s">
        <v>241</v>
      </c>
      <c r="D699" s="27">
        <v>0</v>
      </c>
      <c r="E699" s="53">
        <v>8500000000</v>
      </c>
      <c r="F699" s="53">
        <v>8500000000</v>
      </c>
      <c r="G699" s="53">
        <v>15202.5</v>
      </c>
      <c r="H699" s="53">
        <v>609633494.25999999</v>
      </c>
      <c r="I699" s="53">
        <v>618485356.39999998</v>
      </c>
      <c r="J699" s="53">
        <v>649332643.11000001</v>
      </c>
      <c r="K699" s="53">
        <v>427785808.45999998</v>
      </c>
      <c r="L699" s="53">
        <v>605870847.45000005</v>
      </c>
      <c r="M699" s="53">
        <v>511338368.63999999</v>
      </c>
      <c r="N699" s="53">
        <v>555940036.75</v>
      </c>
      <c r="O699" s="53">
        <v>622254809.32000005</v>
      </c>
      <c r="P699" s="53">
        <v>602847201.77999997</v>
      </c>
      <c r="Q699" s="53">
        <v>884347168.25</v>
      </c>
      <c r="R699" s="53">
        <v>1504011874.1099999</v>
      </c>
    </row>
    <row r="700" spans="1:18" x14ac:dyDescent="0.25">
      <c r="A700" s="25" t="s">
        <v>240</v>
      </c>
      <c r="B700" s="26">
        <v>2012</v>
      </c>
      <c r="C700" s="74" t="s">
        <v>239</v>
      </c>
      <c r="D700" s="27">
        <v>0</v>
      </c>
      <c r="E700" s="53">
        <v>850000000</v>
      </c>
      <c r="F700" s="53">
        <v>850000000</v>
      </c>
      <c r="G700" s="53">
        <v>110220449.48999999</v>
      </c>
      <c r="H700" s="53">
        <v>66543485.210000001</v>
      </c>
      <c r="I700" s="53">
        <v>71389803.950000003</v>
      </c>
      <c r="J700" s="53">
        <v>40603765.039999999</v>
      </c>
      <c r="K700" s="53">
        <v>77053566.489999995</v>
      </c>
      <c r="L700" s="53">
        <v>109549526</v>
      </c>
      <c r="M700" s="53">
        <v>80516965.329999998</v>
      </c>
      <c r="N700" s="53">
        <v>79842927.760000005</v>
      </c>
      <c r="O700" s="53">
        <v>88320184.109999999</v>
      </c>
      <c r="P700" s="53">
        <v>86071556.390000001</v>
      </c>
      <c r="Q700" s="53">
        <v>78626658.390000001</v>
      </c>
      <c r="R700" s="53">
        <v>55369237.93</v>
      </c>
    </row>
    <row r="701" spans="1:18" x14ac:dyDescent="0.25">
      <c r="A701" s="25" t="s">
        <v>236</v>
      </c>
      <c r="B701" s="26">
        <v>2012</v>
      </c>
      <c r="C701" s="74" t="s">
        <v>235</v>
      </c>
      <c r="D701" s="27">
        <v>0</v>
      </c>
      <c r="E701" s="53">
        <v>5261000000</v>
      </c>
      <c r="F701" s="53">
        <v>5261000000</v>
      </c>
      <c r="G701" s="53">
        <v>245427400.24000001</v>
      </c>
      <c r="H701" s="53">
        <v>291229659.70999998</v>
      </c>
      <c r="I701" s="53">
        <v>387378675.19</v>
      </c>
      <c r="J701" s="53">
        <v>548209320.66999996</v>
      </c>
      <c r="K701" s="53">
        <v>415378920.25</v>
      </c>
      <c r="L701" s="53">
        <v>289120735.19</v>
      </c>
      <c r="M701" s="53">
        <v>271196267.26999998</v>
      </c>
      <c r="N701" s="53">
        <v>514992976.13</v>
      </c>
      <c r="O701" s="53">
        <v>676557057.46000004</v>
      </c>
      <c r="P701" s="53">
        <v>347201231.82999998</v>
      </c>
      <c r="Q701" s="53">
        <v>392194765.20999998</v>
      </c>
      <c r="R701" s="53">
        <v>275294656.42000002</v>
      </c>
    </row>
    <row r="702" spans="1:18" x14ac:dyDescent="0.25">
      <c r="A702" s="25" t="s">
        <v>234</v>
      </c>
      <c r="B702" s="26">
        <v>2012</v>
      </c>
      <c r="C702" s="74" t="s">
        <v>233</v>
      </c>
      <c r="D702" s="27">
        <v>0</v>
      </c>
      <c r="E702" s="53">
        <v>92000000</v>
      </c>
      <c r="F702" s="53">
        <v>92000000</v>
      </c>
      <c r="G702" s="53">
        <v>8712653.4199999999</v>
      </c>
      <c r="H702" s="53">
        <v>10205612.48</v>
      </c>
      <c r="I702" s="53">
        <v>5436.5</v>
      </c>
      <c r="J702" s="53">
        <v>3905.75</v>
      </c>
      <c r="K702" s="53">
        <v>20064629.41</v>
      </c>
      <c r="L702" s="53">
        <v>11563228.949999999</v>
      </c>
      <c r="M702" s="53">
        <v>9734019.8900000006</v>
      </c>
      <c r="N702" s="53">
        <v>9892096.1099999994</v>
      </c>
      <c r="O702" s="53">
        <v>8497829.6799999997</v>
      </c>
      <c r="P702" s="53">
        <v>9568527.8000000007</v>
      </c>
      <c r="Q702" s="53">
        <v>10089950.109999999</v>
      </c>
      <c r="R702" s="53">
        <v>8757795.3100000005</v>
      </c>
    </row>
    <row r="703" spans="1:18" x14ac:dyDescent="0.25">
      <c r="A703" s="25" t="s">
        <v>230</v>
      </c>
      <c r="B703" s="26">
        <v>2012</v>
      </c>
      <c r="C703" s="74" t="s">
        <v>229</v>
      </c>
      <c r="D703" s="27">
        <v>0</v>
      </c>
      <c r="E703" s="53">
        <v>22000000000</v>
      </c>
      <c r="F703" s="53">
        <v>22000000000</v>
      </c>
      <c r="G703" s="53">
        <v>1335206840.1600001</v>
      </c>
      <c r="H703" s="53">
        <v>1781857811.98</v>
      </c>
      <c r="I703" s="53">
        <v>1753050608.49</v>
      </c>
      <c r="J703" s="53">
        <v>5187646221.3400002</v>
      </c>
      <c r="K703" s="53">
        <v>1851565651.5</v>
      </c>
      <c r="L703" s="53">
        <v>1796145544.79</v>
      </c>
      <c r="M703" s="53">
        <v>-1321282542.0799999</v>
      </c>
      <c r="N703" s="53">
        <v>1790661756.0599999</v>
      </c>
      <c r="O703" s="53">
        <v>1941243641.0999999</v>
      </c>
      <c r="P703" s="53">
        <v>1864660822.55</v>
      </c>
      <c r="Q703" s="53">
        <v>1907148917.21</v>
      </c>
      <c r="R703" s="53">
        <v>1797879179.8099999</v>
      </c>
    </row>
    <row r="704" spans="1:18" x14ac:dyDescent="0.25">
      <c r="A704" s="25" t="s">
        <v>228</v>
      </c>
      <c r="B704" s="26">
        <v>2012</v>
      </c>
      <c r="C704" s="74" t="s">
        <v>227</v>
      </c>
      <c r="D704" s="27">
        <v>0</v>
      </c>
      <c r="E704" s="53">
        <v>42000000000</v>
      </c>
      <c r="F704" s="53">
        <v>42000000000</v>
      </c>
      <c r="G704" s="53">
        <v>3120683037.5</v>
      </c>
      <c r="H704" s="53">
        <v>3140177102.0500002</v>
      </c>
      <c r="I704" s="53">
        <v>3173163587.1999998</v>
      </c>
      <c r="J704" s="53">
        <v>100704536</v>
      </c>
      <c r="K704" s="53">
        <v>3230935507.5500002</v>
      </c>
      <c r="L704" s="53">
        <v>3232568348.2800002</v>
      </c>
      <c r="M704" s="53">
        <v>6371649905.2299995</v>
      </c>
      <c r="N704" s="53">
        <v>3285583957.9000001</v>
      </c>
      <c r="O704" s="53">
        <v>3485542443.1199999</v>
      </c>
      <c r="P704" s="53">
        <v>3502362774.7399998</v>
      </c>
      <c r="Q704" s="53">
        <v>3429696184.8200002</v>
      </c>
      <c r="R704" s="53">
        <v>3388650358.3099999</v>
      </c>
    </row>
    <row r="705" spans="1:18" x14ac:dyDescent="0.25">
      <c r="A705" s="25" t="s">
        <v>226</v>
      </c>
      <c r="B705" s="26">
        <v>2012</v>
      </c>
      <c r="C705" s="74" t="s">
        <v>225</v>
      </c>
      <c r="D705" s="27">
        <v>0</v>
      </c>
      <c r="E705" s="53">
        <v>11500000000</v>
      </c>
      <c r="F705" s="53">
        <v>11500000000</v>
      </c>
      <c r="G705" s="53">
        <v>963711435.75</v>
      </c>
      <c r="H705" s="53">
        <v>904497399.82000005</v>
      </c>
      <c r="I705" s="53">
        <v>893826659.11000001</v>
      </c>
      <c r="J705" s="53">
        <v>955612926.24000001</v>
      </c>
      <c r="K705" s="53">
        <v>979765828.05999994</v>
      </c>
      <c r="L705" s="53">
        <v>965581202.70000005</v>
      </c>
      <c r="M705" s="53">
        <v>963556630.99000001</v>
      </c>
      <c r="N705" s="53">
        <v>951023635.02999997</v>
      </c>
      <c r="O705" s="53">
        <v>971462995.26999998</v>
      </c>
      <c r="P705" s="53">
        <v>1065175317.5599999</v>
      </c>
      <c r="Q705" s="53">
        <v>1339611925.53</v>
      </c>
      <c r="R705" s="53">
        <v>1982124715.98</v>
      </c>
    </row>
    <row r="706" spans="1:18" x14ac:dyDescent="0.25">
      <c r="A706" s="25" t="s">
        <v>449</v>
      </c>
      <c r="B706" s="26">
        <v>2012</v>
      </c>
      <c r="C706" s="74" t="s">
        <v>448</v>
      </c>
      <c r="D706" s="27">
        <v>0</v>
      </c>
      <c r="E706" s="53">
        <v>17000000</v>
      </c>
      <c r="F706" s="53">
        <v>17000000</v>
      </c>
      <c r="G706" s="53">
        <v>642268.64</v>
      </c>
      <c r="H706" s="53">
        <v>592775</v>
      </c>
      <c r="I706" s="53">
        <v>-138412.17000000001</v>
      </c>
      <c r="J706" s="53">
        <v>0</v>
      </c>
      <c r="K706" s="53">
        <v>0</v>
      </c>
      <c r="L706" s="53">
        <v>0</v>
      </c>
      <c r="M706" s="53">
        <v>0</v>
      </c>
      <c r="N706" s="53">
        <v>0</v>
      </c>
      <c r="O706" s="53">
        <v>0</v>
      </c>
      <c r="P706" s="53">
        <v>0</v>
      </c>
      <c r="Q706" s="53">
        <v>0</v>
      </c>
      <c r="R706" s="53">
        <v>0</v>
      </c>
    </row>
    <row r="707" spans="1:18" x14ac:dyDescent="0.25">
      <c r="A707" s="25" t="s">
        <v>222</v>
      </c>
      <c r="B707" s="26">
        <v>2012</v>
      </c>
      <c r="C707" s="74" t="s">
        <v>221</v>
      </c>
      <c r="D707" s="27">
        <v>0</v>
      </c>
      <c r="E707" s="53">
        <v>900000</v>
      </c>
      <c r="F707" s="53">
        <v>900000</v>
      </c>
      <c r="G707" s="53">
        <v>58038.23</v>
      </c>
      <c r="H707" s="53">
        <v>0</v>
      </c>
      <c r="I707" s="53">
        <v>145664.14000000001</v>
      </c>
      <c r="J707" s="53">
        <v>0</v>
      </c>
      <c r="K707" s="53">
        <v>75924.820000000007</v>
      </c>
      <c r="L707" s="53">
        <v>134709.65</v>
      </c>
      <c r="M707" s="53">
        <v>13782.45</v>
      </c>
      <c r="N707" s="53">
        <v>30568.58</v>
      </c>
      <c r="O707" s="53">
        <v>119193.18</v>
      </c>
      <c r="P707" s="53">
        <v>102183.92</v>
      </c>
      <c r="Q707" s="53">
        <v>135138.21</v>
      </c>
      <c r="R707" s="53">
        <v>12256.37</v>
      </c>
    </row>
    <row r="708" spans="1:18" x14ac:dyDescent="0.25">
      <c r="A708" s="25" t="s">
        <v>409</v>
      </c>
      <c r="B708" s="26">
        <v>2012</v>
      </c>
      <c r="C708" s="74" t="s">
        <v>408</v>
      </c>
      <c r="D708" s="27">
        <v>0</v>
      </c>
      <c r="E708" s="53">
        <v>0</v>
      </c>
      <c r="F708" s="53">
        <v>0</v>
      </c>
      <c r="G708" s="53">
        <v>0</v>
      </c>
      <c r="H708" s="53">
        <v>0</v>
      </c>
      <c r="I708" s="53">
        <v>0</v>
      </c>
      <c r="J708" s="53">
        <v>0</v>
      </c>
      <c r="K708" s="53">
        <v>0</v>
      </c>
      <c r="L708" s="53">
        <v>0</v>
      </c>
      <c r="M708" s="53">
        <v>0</v>
      </c>
      <c r="N708" s="53">
        <v>0</v>
      </c>
      <c r="O708" s="53">
        <v>0</v>
      </c>
      <c r="P708" s="53">
        <v>0</v>
      </c>
      <c r="Q708" s="53">
        <v>0</v>
      </c>
      <c r="R708" s="53">
        <v>14327597.74</v>
      </c>
    </row>
    <row r="709" spans="1:18" x14ac:dyDescent="0.25">
      <c r="A709" s="25" t="s">
        <v>215</v>
      </c>
      <c r="B709" s="26">
        <v>2012</v>
      </c>
      <c r="C709" s="74" t="s">
        <v>214</v>
      </c>
      <c r="D709" s="27">
        <v>0</v>
      </c>
      <c r="E709" s="53">
        <v>6000000</v>
      </c>
      <c r="F709" s="53">
        <v>6000000</v>
      </c>
      <c r="G709" s="53">
        <v>1041506</v>
      </c>
      <c r="H709" s="53">
        <v>1091720</v>
      </c>
      <c r="I709" s="53">
        <v>1091720</v>
      </c>
      <c r="J709" s="53">
        <v>879470</v>
      </c>
      <c r="K709" s="53">
        <v>1024735</v>
      </c>
      <c r="L709" s="53">
        <v>1239928.2</v>
      </c>
      <c r="M709" s="53">
        <v>1129234</v>
      </c>
      <c r="N709" s="53">
        <v>1091720</v>
      </c>
      <c r="O709" s="53">
        <v>1595032.5</v>
      </c>
      <c r="P709" s="53">
        <v>1396720</v>
      </c>
      <c r="Q709" s="53">
        <v>1091720</v>
      </c>
      <c r="R709" s="53">
        <v>3081190</v>
      </c>
    </row>
    <row r="710" spans="1:18" x14ac:dyDescent="0.25">
      <c r="A710" s="25" t="s">
        <v>447</v>
      </c>
      <c r="B710" s="26">
        <v>2012</v>
      </c>
      <c r="C710" s="74" t="s">
        <v>446</v>
      </c>
      <c r="D710" s="27">
        <v>0</v>
      </c>
      <c r="E710" s="53">
        <v>8500000</v>
      </c>
      <c r="F710" s="53">
        <v>8500000</v>
      </c>
      <c r="G710" s="53">
        <v>0</v>
      </c>
      <c r="H710" s="53">
        <v>0</v>
      </c>
      <c r="I710" s="53">
        <v>0</v>
      </c>
      <c r="J710" s="53">
        <v>0</v>
      </c>
      <c r="K710" s="53">
        <v>8151295.6299999999</v>
      </c>
      <c r="L710" s="53">
        <v>0</v>
      </c>
      <c r="M710" s="53">
        <v>0</v>
      </c>
      <c r="N710" s="53">
        <v>0</v>
      </c>
      <c r="O710" s="53">
        <v>0</v>
      </c>
      <c r="P710" s="53">
        <v>0</v>
      </c>
      <c r="Q710" s="53">
        <v>0</v>
      </c>
      <c r="R710" s="53">
        <v>0</v>
      </c>
    </row>
    <row r="711" spans="1:18" x14ac:dyDescent="0.25">
      <c r="A711" s="25" t="s">
        <v>213</v>
      </c>
      <c r="B711" s="26">
        <v>2012</v>
      </c>
      <c r="C711" s="74" t="s">
        <v>212</v>
      </c>
      <c r="D711" s="27">
        <v>0</v>
      </c>
      <c r="E711" s="53">
        <v>40000000</v>
      </c>
      <c r="F711" s="53">
        <v>40000000</v>
      </c>
      <c r="G711" s="53">
        <v>58326.25</v>
      </c>
      <c r="H711" s="53">
        <v>1814844.58</v>
      </c>
      <c r="I711" s="53">
        <v>13290855.619999999</v>
      </c>
      <c r="J711" s="53">
        <v>17431701.809999999</v>
      </c>
      <c r="K711" s="53">
        <v>2137869.4500000002</v>
      </c>
      <c r="L711" s="53">
        <v>17163860.48</v>
      </c>
      <c r="M711" s="53">
        <v>5649503.0300000003</v>
      </c>
      <c r="N711" s="53">
        <v>2709909.19</v>
      </c>
      <c r="O711" s="53">
        <v>3537448.2</v>
      </c>
      <c r="P711" s="53">
        <v>1070285</v>
      </c>
      <c r="Q711" s="53">
        <v>4804419.7699999996</v>
      </c>
      <c r="R711" s="53">
        <v>1968194.57</v>
      </c>
    </row>
    <row r="712" spans="1:18" x14ac:dyDescent="0.25">
      <c r="A712" s="25" t="s">
        <v>211</v>
      </c>
      <c r="B712" s="26">
        <v>2012</v>
      </c>
      <c r="C712" s="74" t="s">
        <v>210</v>
      </c>
      <c r="D712" s="27">
        <v>0</v>
      </c>
      <c r="E712" s="53">
        <v>183000000</v>
      </c>
      <c r="F712" s="53">
        <v>183000000</v>
      </c>
      <c r="G712" s="53">
        <v>2154825.83</v>
      </c>
      <c r="H712" s="53">
        <v>20980008.850000001</v>
      </c>
      <c r="I712" s="53">
        <v>109515390.17</v>
      </c>
      <c r="J712" s="53">
        <v>20092473.600000001</v>
      </c>
      <c r="K712" s="53">
        <v>15559149.050000001</v>
      </c>
      <c r="L712" s="53">
        <v>40500382.960000001</v>
      </c>
      <c r="M712" s="53">
        <v>23178389.09</v>
      </c>
      <c r="N712" s="53">
        <v>20694232.600000001</v>
      </c>
      <c r="O712" s="53">
        <v>49776665.310000002</v>
      </c>
      <c r="P712" s="53">
        <v>23337837.760000002</v>
      </c>
      <c r="Q712" s="53">
        <v>1697758.35</v>
      </c>
      <c r="R712" s="53">
        <v>119756259.45999999</v>
      </c>
    </row>
    <row r="713" spans="1:18" x14ac:dyDescent="0.25">
      <c r="A713" s="25" t="s">
        <v>433</v>
      </c>
      <c r="B713" s="26">
        <v>2012</v>
      </c>
      <c r="C713" s="74" t="s">
        <v>432</v>
      </c>
      <c r="D713" s="27">
        <v>0</v>
      </c>
      <c r="E713" s="53">
        <v>3200000000</v>
      </c>
      <c r="F713" s="53">
        <v>3200000000</v>
      </c>
      <c r="G713" s="53">
        <v>137500</v>
      </c>
      <c r="H713" s="53">
        <v>273186384.31</v>
      </c>
      <c r="I713" s="53">
        <v>300196587.06999999</v>
      </c>
      <c r="J713" s="53">
        <v>284094910.85000002</v>
      </c>
      <c r="K713" s="53">
        <v>211023817.69</v>
      </c>
      <c r="L713" s="53">
        <v>268558464.31</v>
      </c>
      <c r="M713" s="53">
        <v>261726775.69999999</v>
      </c>
      <c r="N713" s="53">
        <v>286220459.63</v>
      </c>
      <c r="O713" s="53">
        <v>283912800.74000001</v>
      </c>
      <c r="P713" s="53">
        <v>281313621.13</v>
      </c>
      <c r="Q713" s="53">
        <v>358518593.72000003</v>
      </c>
      <c r="R713" s="53">
        <v>586073421.13</v>
      </c>
    </row>
    <row r="714" spans="1:18" x14ac:dyDescent="0.25">
      <c r="A714" s="25" t="s">
        <v>407</v>
      </c>
      <c r="B714" s="26">
        <v>2012</v>
      </c>
      <c r="C714" s="74" t="s">
        <v>406</v>
      </c>
      <c r="D714" s="27">
        <v>0</v>
      </c>
      <c r="E714" s="53">
        <v>11000000</v>
      </c>
      <c r="F714" s="53">
        <v>11000000</v>
      </c>
      <c r="G714" s="53">
        <v>554489.36</v>
      </c>
      <c r="H714" s="53">
        <v>158582.1</v>
      </c>
      <c r="I714" s="53">
        <v>138412.17000000001</v>
      </c>
      <c r="J714" s="53">
        <v>0</v>
      </c>
      <c r="K714" s="53">
        <v>157507.28</v>
      </c>
      <c r="L714" s="53">
        <v>0</v>
      </c>
      <c r="M714" s="53">
        <v>0</v>
      </c>
      <c r="N714" s="53">
        <v>118311.72</v>
      </c>
      <c r="O714" s="53">
        <v>0</v>
      </c>
      <c r="P714" s="53">
        <v>0</v>
      </c>
      <c r="Q714" s="53">
        <v>0</v>
      </c>
      <c r="R714" s="53">
        <v>54657.32</v>
      </c>
    </row>
    <row r="715" spans="1:18" x14ac:dyDescent="0.25">
      <c r="A715" s="25" t="s">
        <v>374</v>
      </c>
      <c r="B715" s="26">
        <v>2012</v>
      </c>
      <c r="C715" s="74" t="s">
        <v>405</v>
      </c>
      <c r="D715" s="27">
        <v>0</v>
      </c>
      <c r="E715" s="53">
        <v>2635400000</v>
      </c>
      <c r="F715" s="53">
        <v>2635400000</v>
      </c>
      <c r="G715" s="53">
        <v>17465</v>
      </c>
      <c r="H715" s="53">
        <v>33582</v>
      </c>
      <c r="I715" s="53">
        <v>6750</v>
      </c>
      <c r="J715" s="53">
        <v>7400</v>
      </c>
      <c r="K715" s="53">
        <v>846.8</v>
      </c>
      <c r="L715" s="53">
        <v>7300</v>
      </c>
      <c r="M715" s="53">
        <v>5050</v>
      </c>
      <c r="N715" s="53">
        <v>6500</v>
      </c>
      <c r="O715" s="53">
        <v>11365</v>
      </c>
      <c r="P715" s="53">
        <v>21350</v>
      </c>
      <c r="Q715" s="53">
        <v>25900</v>
      </c>
      <c r="R715" s="53">
        <v>53670</v>
      </c>
    </row>
    <row r="716" spans="1:18" x14ac:dyDescent="0.25">
      <c r="A716" s="25" t="s">
        <v>203</v>
      </c>
      <c r="B716" s="26">
        <v>2012</v>
      </c>
      <c r="C716" s="74" t="s">
        <v>202</v>
      </c>
      <c r="D716" s="27">
        <v>0</v>
      </c>
      <c r="E716" s="53">
        <v>3078720000</v>
      </c>
      <c r="F716" s="53">
        <v>3078720000</v>
      </c>
      <c r="G716" s="53">
        <v>206297681.86000001</v>
      </c>
      <c r="H716" s="53">
        <v>124210105.52</v>
      </c>
      <c r="I716" s="53">
        <v>59647375.539999999</v>
      </c>
      <c r="J716" s="53">
        <v>30170540.109999999</v>
      </c>
      <c r="K716" s="53">
        <v>37157597.859999999</v>
      </c>
      <c r="L716" s="53">
        <v>26916131.960000001</v>
      </c>
      <c r="M716" s="53">
        <v>25426763.359999999</v>
      </c>
      <c r="N716" s="53">
        <v>19909638.260000002</v>
      </c>
      <c r="O716" s="53">
        <v>17284844.120000001</v>
      </c>
      <c r="P716" s="53">
        <v>15146376.51</v>
      </c>
      <c r="Q716" s="53">
        <v>183286245.34999999</v>
      </c>
      <c r="R716" s="53">
        <v>2293235040.5700002</v>
      </c>
    </row>
    <row r="717" spans="1:18" x14ac:dyDescent="0.25">
      <c r="A717" s="25" t="s">
        <v>200</v>
      </c>
      <c r="B717" s="26">
        <v>2012</v>
      </c>
      <c r="C717" s="74" t="s">
        <v>199</v>
      </c>
      <c r="D717" s="27">
        <v>0</v>
      </c>
      <c r="E717" s="53">
        <v>53000000</v>
      </c>
      <c r="F717" s="53">
        <v>53000000</v>
      </c>
      <c r="G717" s="53">
        <v>4108470.28</v>
      </c>
      <c r="H717" s="53">
        <v>4058207.34</v>
      </c>
      <c r="I717" s="53">
        <v>4448412.38</v>
      </c>
      <c r="J717" s="53">
        <v>4420582.91</v>
      </c>
      <c r="K717" s="53">
        <v>3929150.92</v>
      </c>
      <c r="L717" s="53">
        <v>3738103.9</v>
      </c>
      <c r="M717" s="53">
        <v>3191137.7</v>
      </c>
      <c r="N717" s="53">
        <v>4275188.3</v>
      </c>
      <c r="O717" s="53">
        <v>2827788</v>
      </c>
      <c r="P717" s="53">
        <v>4594615.8600000003</v>
      </c>
      <c r="Q717" s="53">
        <v>2311784.5</v>
      </c>
      <c r="R717" s="53">
        <v>4043840.3</v>
      </c>
    </row>
    <row r="718" spans="1:18" x14ac:dyDescent="0.25">
      <c r="A718" s="25" t="s">
        <v>198</v>
      </c>
      <c r="B718" s="26">
        <v>2012</v>
      </c>
      <c r="C718" s="74" t="s">
        <v>197</v>
      </c>
      <c r="D718" s="27">
        <v>0</v>
      </c>
      <c r="E718" s="53">
        <v>2625000</v>
      </c>
      <c r="F718" s="53">
        <v>2625000</v>
      </c>
      <c r="G718" s="53">
        <v>63930</v>
      </c>
      <c r="H718" s="53">
        <v>179935</v>
      </c>
      <c r="I718" s="53">
        <v>155614</v>
      </c>
      <c r="J718" s="53">
        <v>210740</v>
      </c>
      <c r="K718" s="53">
        <v>103455</v>
      </c>
      <c r="L718" s="53">
        <v>249130</v>
      </c>
      <c r="M718" s="53">
        <v>163106</v>
      </c>
      <c r="N718" s="53">
        <v>58760</v>
      </c>
      <c r="O718" s="53">
        <v>122190</v>
      </c>
      <c r="P718" s="53">
        <v>223875</v>
      </c>
      <c r="Q718" s="53">
        <v>164886</v>
      </c>
      <c r="R718" s="53">
        <v>128980</v>
      </c>
    </row>
    <row r="719" spans="1:18" x14ac:dyDescent="0.25">
      <c r="A719" s="25" t="s">
        <v>196</v>
      </c>
      <c r="B719" s="26">
        <v>2012</v>
      </c>
      <c r="C719" s="74" t="s">
        <v>195</v>
      </c>
      <c r="D719" s="27">
        <v>0</v>
      </c>
      <c r="E719" s="53">
        <v>120000000</v>
      </c>
      <c r="F719" s="53">
        <v>120000000</v>
      </c>
      <c r="G719" s="53">
        <v>8793049.5500000007</v>
      </c>
      <c r="H719" s="53">
        <v>8652032.1899999995</v>
      </c>
      <c r="I719" s="53">
        <v>8946613.0199999996</v>
      </c>
      <c r="J719" s="53">
        <v>8715139</v>
      </c>
      <c r="K719" s="53">
        <v>7618800.5499999998</v>
      </c>
      <c r="L719" s="53">
        <v>7017737.5</v>
      </c>
      <c r="M719" s="53">
        <v>6535801</v>
      </c>
      <c r="N719" s="53">
        <v>6595463</v>
      </c>
      <c r="O719" s="53">
        <v>7245698.4100000001</v>
      </c>
      <c r="P719" s="53">
        <v>6893603.5</v>
      </c>
      <c r="Q719" s="53">
        <v>7282804</v>
      </c>
      <c r="R719" s="53">
        <v>7339785.5</v>
      </c>
    </row>
    <row r="720" spans="1:18" x14ac:dyDescent="0.25">
      <c r="A720" s="25" t="s">
        <v>194</v>
      </c>
      <c r="B720" s="26">
        <v>2012</v>
      </c>
      <c r="C720" s="74" t="s">
        <v>193</v>
      </c>
      <c r="D720" s="27">
        <v>0</v>
      </c>
      <c r="E720" s="53">
        <v>42000000</v>
      </c>
      <c r="F720" s="53">
        <v>42000000</v>
      </c>
      <c r="G720" s="53">
        <v>2250547</v>
      </c>
      <c r="H720" s="53">
        <v>3950496</v>
      </c>
      <c r="I720" s="53">
        <v>4546235</v>
      </c>
      <c r="J720" s="53">
        <v>2871918</v>
      </c>
      <c r="K720" s="53">
        <v>2720151</v>
      </c>
      <c r="L720" s="53">
        <v>5123653</v>
      </c>
      <c r="M720" s="53">
        <v>7628576</v>
      </c>
      <c r="N720" s="53">
        <v>2873889</v>
      </c>
      <c r="O720" s="53">
        <v>3120528</v>
      </c>
      <c r="P720" s="53">
        <v>3789596.1</v>
      </c>
      <c r="Q720" s="53">
        <v>4744504.3</v>
      </c>
      <c r="R720" s="53">
        <v>5579648</v>
      </c>
    </row>
    <row r="721" spans="1:18" x14ac:dyDescent="0.25">
      <c r="A721" s="25" t="s">
        <v>187</v>
      </c>
      <c r="B721" s="26">
        <v>2012</v>
      </c>
      <c r="C721" s="74" t="s">
        <v>186</v>
      </c>
      <c r="D721" s="27">
        <v>0</v>
      </c>
      <c r="E721" s="53">
        <v>23000000</v>
      </c>
      <c r="F721" s="53">
        <v>23000000</v>
      </c>
      <c r="G721" s="53">
        <v>1632000</v>
      </c>
      <c r="H721" s="53">
        <v>1883000</v>
      </c>
      <c r="I721" s="53">
        <v>1735300</v>
      </c>
      <c r="J721" s="53">
        <v>883622</v>
      </c>
      <c r="K721" s="53">
        <v>1830000</v>
      </c>
      <c r="L721" s="53">
        <v>1933000</v>
      </c>
      <c r="M721" s="53">
        <v>1380805</v>
      </c>
      <c r="N721" s="53">
        <v>1681000</v>
      </c>
      <c r="O721" s="53">
        <v>2394000</v>
      </c>
      <c r="P721" s="53">
        <v>1782000</v>
      </c>
      <c r="Q721" s="53">
        <v>2293000</v>
      </c>
      <c r="R721" s="53">
        <v>974000</v>
      </c>
    </row>
    <row r="722" spans="1:18" x14ac:dyDescent="0.25">
      <c r="A722" s="25" t="s">
        <v>185</v>
      </c>
      <c r="B722" s="26">
        <v>2012</v>
      </c>
      <c r="C722" s="74" t="s">
        <v>184</v>
      </c>
      <c r="D722" s="27">
        <v>0</v>
      </c>
      <c r="E722" s="53">
        <v>38000000</v>
      </c>
      <c r="F722" s="53">
        <v>38000000</v>
      </c>
      <c r="G722" s="53">
        <v>6806500</v>
      </c>
      <c r="H722" s="53">
        <v>980000</v>
      </c>
      <c r="I722" s="53">
        <v>14215500</v>
      </c>
      <c r="J722" s="53">
        <v>878093.14</v>
      </c>
      <c r="K722" s="53">
        <v>7294000</v>
      </c>
      <c r="L722" s="53">
        <v>94000</v>
      </c>
      <c r="M722" s="53">
        <v>302000</v>
      </c>
      <c r="N722" s="53">
        <v>800000</v>
      </c>
      <c r="O722" s="53">
        <v>1740000</v>
      </c>
      <c r="P722" s="53">
        <v>2564000</v>
      </c>
      <c r="Q722" s="53">
        <v>500000</v>
      </c>
      <c r="R722" s="53">
        <v>484000</v>
      </c>
    </row>
    <row r="723" spans="1:18" x14ac:dyDescent="0.25">
      <c r="A723" s="25" t="s">
        <v>487</v>
      </c>
      <c r="B723" s="26">
        <v>2012</v>
      </c>
      <c r="C723" s="74" t="s">
        <v>486</v>
      </c>
      <c r="D723" s="27">
        <v>0</v>
      </c>
      <c r="E723" s="53">
        <v>59856940</v>
      </c>
      <c r="F723" s="53">
        <v>59856940</v>
      </c>
      <c r="G723" s="53">
        <v>0</v>
      </c>
      <c r="H723" s="53">
        <v>0</v>
      </c>
      <c r="I723" s="53">
        <v>0</v>
      </c>
      <c r="J723" s="53">
        <v>0</v>
      </c>
      <c r="K723" s="53">
        <v>0</v>
      </c>
      <c r="L723" s="53">
        <v>0</v>
      </c>
      <c r="M723" s="53">
        <v>0</v>
      </c>
      <c r="N723" s="53">
        <v>0</v>
      </c>
      <c r="O723" s="53">
        <v>0</v>
      </c>
      <c r="P723" s="53">
        <v>0</v>
      </c>
      <c r="Q723" s="53">
        <v>0</v>
      </c>
      <c r="R723" s="53">
        <v>59856940</v>
      </c>
    </row>
    <row r="724" spans="1:18" x14ac:dyDescent="0.25">
      <c r="A724" s="25" t="s">
        <v>176</v>
      </c>
      <c r="B724" s="26">
        <v>2012</v>
      </c>
      <c r="C724" s="74" t="s">
        <v>175</v>
      </c>
      <c r="D724" s="27">
        <v>0</v>
      </c>
      <c r="E724" s="53">
        <v>225000000</v>
      </c>
      <c r="F724" s="53">
        <v>225000000</v>
      </c>
      <c r="G724" s="53">
        <v>29224530.879999999</v>
      </c>
      <c r="H724" s="53">
        <v>32103405.43</v>
      </c>
      <c r="I724" s="53">
        <v>15176082.43</v>
      </c>
      <c r="J724" s="53">
        <v>28435932.190000001</v>
      </c>
      <c r="K724" s="53">
        <v>6389310.3700000001</v>
      </c>
      <c r="L724" s="53">
        <v>15173194.9</v>
      </c>
      <c r="M724" s="53">
        <v>84178326.170000002</v>
      </c>
      <c r="N724" s="53">
        <v>15128766.140000001</v>
      </c>
      <c r="O724" s="53">
        <v>12962902.960000001</v>
      </c>
      <c r="P724" s="53">
        <v>10534435.26</v>
      </c>
      <c r="Q724" s="53">
        <v>141342383.75999999</v>
      </c>
      <c r="R724" s="53">
        <v>65880619.93</v>
      </c>
    </row>
    <row r="725" spans="1:18" x14ac:dyDescent="0.25">
      <c r="A725" s="25" t="s">
        <v>174</v>
      </c>
      <c r="B725" s="26">
        <v>2012</v>
      </c>
      <c r="C725" s="74" t="s">
        <v>173</v>
      </c>
      <c r="D725" s="27">
        <v>0</v>
      </c>
      <c r="E725" s="53">
        <v>2500000000</v>
      </c>
      <c r="F725" s="53">
        <v>2500000000</v>
      </c>
      <c r="G725" s="53">
        <v>99862914.390000001</v>
      </c>
      <c r="H725" s="53">
        <v>5162.6400000000003</v>
      </c>
      <c r="I725" s="53">
        <v>0</v>
      </c>
      <c r="J725" s="53">
        <v>519297.53</v>
      </c>
      <c r="K725" s="53">
        <v>296570.64</v>
      </c>
      <c r="L725" s="53">
        <v>-824192.03</v>
      </c>
      <c r="M725" s="53">
        <v>627364506.23000002</v>
      </c>
      <c r="N725" s="53">
        <v>0</v>
      </c>
      <c r="O725" s="53">
        <v>0</v>
      </c>
      <c r="P725" s="53">
        <v>0</v>
      </c>
      <c r="Q725" s="53">
        <v>0</v>
      </c>
      <c r="R725" s="53">
        <v>779752380.99000001</v>
      </c>
    </row>
    <row r="726" spans="1:18" x14ac:dyDescent="0.25">
      <c r="A726" s="25" t="s">
        <v>172</v>
      </c>
      <c r="B726" s="26">
        <v>2012</v>
      </c>
      <c r="C726" s="74" t="s">
        <v>171</v>
      </c>
      <c r="D726" s="27">
        <v>0</v>
      </c>
      <c r="E726" s="53">
        <v>10000000</v>
      </c>
      <c r="F726" s="53">
        <v>10000000</v>
      </c>
      <c r="G726" s="53">
        <v>0</v>
      </c>
      <c r="H726" s="53">
        <v>91553</v>
      </c>
      <c r="I726" s="53">
        <v>0</v>
      </c>
      <c r="J726" s="53">
        <v>0</v>
      </c>
      <c r="K726" s="53">
        <v>0</v>
      </c>
      <c r="L726" s="53">
        <v>0</v>
      </c>
      <c r="M726" s="53">
        <v>0</v>
      </c>
      <c r="N726" s="53">
        <v>99054</v>
      </c>
      <c r="O726" s="53">
        <v>0</v>
      </c>
      <c r="P726" s="53">
        <v>0</v>
      </c>
      <c r="Q726" s="53">
        <v>0</v>
      </c>
      <c r="R726" s="53">
        <v>0</v>
      </c>
    </row>
    <row r="727" spans="1:18" x14ac:dyDescent="0.25">
      <c r="A727" s="25" t="s">
        <v>170</v>
      </c>
      <c r="B727" s="26">
        <v>2012</v>
      </c>
      <c r="C727" s="74" t="s">
        <v>168</v>
      </c>
      <c r="D727" s="27">
        <v>0</v>
      </c>
      <c r="E727" s="53">
        <v>252000000</v>
      </c>
      <c r="F727" s="53">
        <v>252000000</v>
      </c>
      <c r="G727" s="53">
        <v>17329649.449999999</v>
      </c>
      <c r="H727" s="53">
        <v>18322736.98</v>
      </c>
      <c r="I727" s="53">
        <v>36103298.770000003</v>
      </c>
      <c r="J727" s="53">
        <v>27367331.09</v>
      </c>
      <c r="K727" s="53">
        <v>38585239.469999999</v>
      </c>
      <c r="L727" s="53">
        <v>40666146.020000003</v>
      </c>
      <c r="M727" s="53">
        <v>14161100.1</v>
      </c>
      <c r="N727" s="53">
        <v>34100439.299999997</v>
      </c>
      <c r="O727" s="53">
        <v>26282596.149999999</v>
      </c>
      <c r="P727" s="53">
        <v>46003207.310000002</v>
      </c>
      <c r="Q727" s="53">
        <v>51418895.390000001</v>
      </c>
      <c r="R727" s="53">
        <v>113391367.48</v>
      </c>
    </row>
    <row r="728" spans="1:18" x14ac:dyDescent="0.25">
      <c r="A728" s="25" t="s">
        <v>167</v>
      </c>
      <c r="B728" s="26">
        <v>2012</v>
      </c>
      <c r="C728" s="74" t="s">
        <v>166</v>
      </c>
      <c r="D728" s="27">
        <v>0</v>
      </c>
      <c r="E728" s="53">
        <v>5900000000</v>
      </c>
      <c r="F728" s="53">
        <v>5900000000</v>
      </c>
      <c r="G728" s="53">
        <v>320710576</v>
      </c>
      <c r="H728" s="53">
        <v>325396227.56</v>
      </c>
      <c r="I728" s="53">
        <v>609036214</v>
      </c>
      <c r="J728" s="53">
        <v>398352677</v>
      </c>
      <c r="K728" s="53">
        <v>545174536</v>
      </c>
      <c r="L728" s="53">
        <v>406168072</v>
      </c>
      <c r="M728" s="53">
        <v>639400840</v>
      </c>
      <c r="N728" s="53">
        <v>470029606</v>
      </c>
      <c r="O728" s="53">
        <v>419779217</v>
      </c>
      <c r="P728" s="53">
        <v>536625473</v>
      </c>
      <c r="Q728" s="53">
        <v>410427705</v>
      </c>
      <c r="R728" s="53">
        <v>11101368.560000001</v>
      </c>
    </row>
    <row r="729" spans="1:18" x14ac:dyDescent="0.25">
      <c r="A729" s="25" t="s">
        <v>165</v>
      </c>
      <c r="B729" s="26">
        <v>2012</v>
      </c>
      <c r="C729" s="74" t="s">
        <v>164</v>
      </c>
      <c r="D729" s="27">
        <v>0</v>
      </c>
      <c r="E729" s="53">
        <v>100000000</v>
      </c>
      <c r="F729" s="53">
        <v>100000000</v>
      </c>
      <c r="G729" s="53">
        <v>0</v>
      </c>
      <c r="H729" s="53">
        <v>1439020.67</v>
      </c>
      <c r="I729" s="53">
        <v>1049371</v>
      </c>
      <c r="J729" s="53">
        <v>625198.11</v>
      </c>
      <c r="K729" s="53">
        <v>3251271.7</v>
      </c>
      <c r="L729" s="53">
        <v>630000</v>
      </c>
      <c r="M729" s="53">
        <v>3496719.9</v>
      </c>
      <c r="N729" s="53">
        <v>950000</v>
      </c>
      <c r="O729" s="53">
        <v>3859920</v>
      </c>
      <c r="P729" s="53">
        <v>0</v>
      </c>
      <c r="Q729" s="53">
        <v>2983803.38</v>
      </c>
      <c r="R729" s="53">
        <v>1440715.81</v>
      </c>
    </row>
    <row r="730" spans="1:18" x14ac:dyDescent="0.25">
      <c r="A730" s="25" t="s">
        <v>445</v>
      </c>
      <c r="B730" s="26">
        <v>2012</v>
      </c>
      <c r="C730" s="74" t="s">
        <v>444</v>
      </c>
      <c r="D730" s="27">
        <v>0</v>
      </c>
      <c r="E730" s="53">
        <v>23900000</v>
      </c>
      <c r="F730" s="53">
        <v>23900000</v>
      </c>
      <c r="G730" s="53">
        <v>37630000</v>
      </c>
      <c r="H730" s="53">
        <v>0</v>
      </c>
      <c r="I730" s="53">
        <v>0</v>
      </c>
      <c r="J730" s="53">
        <v>40208638</v>
      </c>
      <c r="K730" s="53">
        <v>0</v>
      </c>
      <c r="L730" s="53">
        <v>0</v>
      </c>
      <c r="M730" s="53">
        <v>0</v>
      </c>
      <c r="N730" s="53">
        <v>0</v>
      </c>
      <c r="O730" s="53">
        <v>40040000</v>
      </c>
      <c r="P730" s="53">
        <v>0</v>
      </c>
      <c r="Q730" s="53">
        <v>49401400</v>
      </c>
      <c r="R730" s="53">
        <v>49940000</v>
      </c>
    </row>
    <row r="731" spans="1:18" x14ac:dyDescent="0.25">
      <c r="A731" s="25" t="s">
        <v>163</v>
      </c>
      <c r="B731" s="26">
        <v>2012</v>
      </c>
      <c r="C731" s="74" t="s">
        <v>162</v>
      </c>
      <c r="D731" s="27">
        <v>0</v>
      </c>
      <c r="E731" s="53">
        <v>79100000</v>
      </c>
      <c r="F731" s="53">
        <v>79100000</v>
      </c>
      <c r="G731" s="53">
        <v>1292500</v>
      </c>
      <c r="H731" s="53">
        <v>19999000</v>
      </c>
      <c r="I731" s="53">
        <v>17433500</v>
      </c>
      <c r="J731" s="53">
        <v>14465000</v>
      </c>
      <c r="K731" s="53">
        <v>5568500</v>
      </c>
      <c r="L731" s="53">
        <v>12045750</v>
      </c>
      <c r="M731" s="53">
        <v>9312500</v>
      </c>
      <c r="N731" s="53">
        <v>22019650</v>
      </c>
      <c r="O731" s="53">
        <v>8747500</v>
      </c>
      <c r="P731" s="53">
        <v>8998500</v>
      </c>
      <c r="Q731" s="53">
        <v>6790500</v>
      </c>
      <c r="R731" s="53">
        <v>10911000</v>
      </c>
    </row>
    <row r="732" spans="1:18" x14ac:dyDescent="0.25">
      <c r="A732" s="25" t="s">
        <v>161</v>
      </c>
      <c r="B732" s="26">
        <v>2012</v>
      </c>
      <c r="C732" s="74" t="s">
        <v>160</v>
      </c>
      <c r="D732" s="27">
        <v>0</v>
      </c>
      <c r="E732" s="53">
        <v>65500000</v>
      </c>
      <c r="F732" s="53">
        <v>65500000</v>
      </c>
      <c r="G732" s="53">
        <v>500721.44</v>
      </c>
      <c r="H732" s="53">
        <v>2872832.51</v>
      </c>
      <c r="I732" s="53">
        <v>836285.98</v>
      </c>
      <c r="J732" s="53">
        <v>3399699.06</v>
      </c>
      <c r="K732" s="53">
        <v>2245168.48</v>
      </c>
      <c r="L732" s="53">
        <v>4421024.8499999996</v>
      </c>
      <c r="M732" s="53">
        <v>4906189.24</v>
      </c>
      <c r="N732" s="53">
        <v>8749973.5899999999</v>
      </c>
      <c r="O732" s="53">
        <v>3262187.57</v>
      </c>
      <c r="P732" s="53">
        <v>16936125.420000002</v>
      </c>
      <c r="Q732" s="53">
        <v>6544583.4800000004</v>
      </c>
      <c r="R732" s="53">
        <v>13810570.16</v>
      </c>
    </row>
    <row r="733" spans="1:18" x14ac:dyDescent="0.25">
      <c r="A733" s="25" t="s">
        <v>153</v>
      </c>
      <c r="B733" s="26">
        <v>2012</v>
      </c>
      <c r="C733" s="74" t="s">
        <v>151</v>
      </c>
      <c r="D733" s="27">
        <v>0</v>
      </c>
      <c r="E733" s="53">
        <v>71500000</v>
      </c>
      <c r="F733" s="53">
        <v>71500000</v>
      </c>
      <c r="G733" s="53">
        <v>160049</v>
      </c>
      <c r="H733" s="53">
        <v>280802</v>
      </c>
      <c r="I733" s="53">
        <v>2225360</v>
      </c>
      <c r="J733" s="53">
        <v>8007592.8600000003</v>
      </c>
      <c r="K733" s="53">
        <v>1525110</v>
      </c>
      <c r="L733" s="53">
        <v>378105</v>
      </c>
      <c r="M733" s="53">
        <v>110280405.91</v>
      </c>
      <c r="N733" s="53">
        <v>399225</v>
      </c>
      <c r="O733" s="53">
        <v>8345162.3600000003</v>
      </c>
      <c r="P733" s="53">
        <v>614211.62</v>
      </c>
      <c r="Q733" s="53">
        <v>5603215.4500000002</v>
      </c>
      <c r="R733" s="53">
        <v>7508320.71</v>
      </c>
    </row>
    <row r="734" spans="1:18" x14ac:dyDescent="0.25">
      <c r="A734" s="25" t="s">
        <v>150</v>
      </c>
      <c r="B734" s="26">
        <v>2012</v>
      </c>
      <c r="C734" s="74" t="s">
        <v>149</v>
      </c>
      <c r="D734" s="27">
        <v>0</v>
      </c>
      <c r="E734" s="53">
        <v>86000000</v>
      </c>
      <c r="F734" s="53">
        <v>86000000</v>
      </c>
      <c r="G734" s="53">
        <v>20138714.780000001</v>
      </c>
      <c r="H734" s="53">
        <v>4408612.3</v>
      </c>
      <c r="I734" s="53">
        <v>2392885.23</v>
      </c>
      <c r="J734" s="53">
        <v>13871287.460000001</v>
      </c>
      <c r="K734" s="53">
        <v>13529381.130000001</v>
      </c>
      <c r="L734" s="53">
        <v>41901178.369999997</v>
      </c>
      <c r="M734" s="53">
        <v>15368652.75</v>
      </c>
      <c r="N734" s="53">
        <v>1000000</v>
      </c>
      <c r="O734" s="53">
        <v>125417383.91</v>
      </c>
      <c r="P734" s="53">
        <v>1788595.59</v>
      </c>
      <c r="Q734" s="53">
        <v>8217819.0700000003</v>
      </c>
      <c r="R734" s="53">
        <v>8182834.5499999998</v>
      </c>
    </row>
    <row r="735" spans="1:18" x14ac:dyDescent="0.25">
      <c r="A735" s="25" t="s">
        <v>144</v>
      </c>
      <c r="B735" s="26">
        <v>2012</v>
      </c>
      <c r="C735" s="74" t="s">
        <v>143</v>
      </c>
      <c r="D735" s="27">
        <v>0</v>
      </c>
      <c r="E735" s="53">
        <v>2100000000</v>
      </c>
      <c r="F735" s="53">
        <v>2100000000</v>
      </c>
      <c r="G735" s="53">
        <v>190325284.09999999</v>
      </c>
      <c r="H735" s="53">
        <v>203467942.52000001</v>
      </c>
      <c r="I735" s="53">
        <v>106059024.22</v>
      </c>
      <c r="J735" s="53">
        <v>176800742.5</v>
      </c>
      <c r="K735" s="53">
        <v>75367005.840000004</v>
      </c>
      <c r="L735" s="53">
        <v>338281334.43000001</v>
      </c>
      <c r="M735" s="53">
        <v>295062294.62</v>
      </c>
      <c r="N735" s="53">
        <v>30329662.02</v>
      </c>
      <c r="O735" s="53">
        <v>117006618.81999999</v>
      </c>
      <c r="P735" s="53">
        <v>162267569.97999999</v>
      </c>
      <c r="Q735" s="53">
        <v>198669281.43000001</v>
      </c>
      <c r="R735" s="53">
        <v>878790330.97000003</v>
      </c>
    </row>
    <row r="736" spans="1:18" x14ac:dyDescent="0.25">
      <c r="A736" s="25" t="s">
        <v>142</v>
      </c>
      <c r="B736" s="26">
        <v>2012</v>
      </c>
      <c r="C736" s="74" t="s">
        <v>141</v>
      </c>
      <c r="D736" s="27">
        <v>0</v>
      </c>
      <c r="E736" s="53">
        <v>4295930713.7299995</v>
      </c>
      <c r="F736" s="53">
        <v>4295930713.7299995</v>
      </c>
      <c r="G736" s="53">
        <v>39372642.630000003</v>
      </c>
      <c r="H736" s="53">
        <v>53421422.200000003</v>
      </c>
      <c r="I736" s="53">
        <v>77309787.409999996</v>
      </c>
      <c r="J736" s="53">
        <v>80115576.310000002</v>
      </c>
      <c r="K736" s="53">
        <v>177617316.15000001</v>
      </c>
      <c r="L736" s="53">
        <v>222746271.24000001</v>
      </c>
      <c r="M736" s="53">
        <v>61398661.390000001</v>
      </c>
      <c r="N736" s="53">
        <v>2838096767.3099999</v>
      </c>
      <c r="O736" s="53">
        <v>34297524.030000001</v>
      </c>
      <c r="P736" s="53">
        <v>50342432.600000001</v>
      </c>
      <c r="Q736" s="53">
        <v>50846244.770000003</v>
      </c>
      <c r="R736" s="53">
        <v>88353132.819999993</v>
      </c>
    </row>
    <row r="737" spans="1:18" x14ac:dyDescent="0.25">
      <c r="A737" s="25" t="s">
        <v>140</v>
      </c>
      <c r="B737" s="26">
        <v>2012</v>
      </c>
      <c r="C737" s="74" t="s">
        <v>139</v>
      </c>
      <c r="D737" s="27">
        <v>0</v>
      </c>
      <c r="E737" s="53">
        <v>22042600000</v>
      </c>
      <c r="F737" s="53">
        <v>22042600000</v>
      </c>
      <c r="G737" s="53">
        <v>0</v>
      </c>
      <c r="H737" s="53">
        <v>0</v>
      </c>
      <c r="I737" s="53">
        <v>0</v>
      </c>
      <c r="J737" s="53">
        <v>0</v>
      </c>
      <c r="K737" s="53">
        <v>0</v>
      </c>
      <c r="L737" s="53">
        <v>0</v>
      </c>
      <c r="M737" s="53">
        <v>0</v>
      </c>
      <c r="N737" s="53">
        <v>0</v>
      </c>
      <c r="O737" s="53">
        <v>0</v>
      </c>
      <c r="P737" s="53">
        <v>0</v>
      </c>
      <c r="Q737" s="53">
        <v>0</v>
      </c>
      <c r="R737" s="53">
        <v>22042600000</v>
      </c>
    </row>
    <row r="738" spans="1:18" x14ac:dyDescent="0.25">
      <c r="A738" s="25" t="s">
        <v>372</v>
      </c>
      <c r="B738" s="26">
        <v>2012</v>
      </c>
      <c r="C738" s="74" t="s">
        <v>398</v>
      </c>
      <c r="D738" s="27">
        <v>0</v>
      </c>
      <c r="E738" s="53">
        <v>400000000</v>
      </c>
      <c r="F738" s="53">
        <v>400000000</v>
      </c>
      <c r="G738" s="53">
        <v>0</v>
      </c>
      <c r="H738" s="53">
        <v>0</v>
      </c>
      <c r="I738" s="53">
        <v>0</v>
      </c>
      <c r="J738" s="53">
        <v>0</v>
      </c>
      <c r="K738" s="53">
        <v>0</v>
      </c>
      <c r="L738" s="53">
        <v>0</v>
      </c>
      <c r="M738" s="53">
        <v>0</v>
      </c>
      <c r="N738" s="53">
        <v>0</v>
      </c>
      <c r="O738" s="53">
        <v>0</v>
      </c>
      <c r="P738" s="53">
        <v>399023264.23000002</v>
      </c>
      <c r="Q738" s="53">
        <v>0</v>
      </c>
      <c r="R738" s="53">
        <v>0</v>
      </c>
    </row>
    <row r="739" spans="1:18" x14ac:dyDescent="0.25">
      <c r="A739" s="25" t="s">
        <v>138</v>
      </c>
      <c r="B739" s="26">
        <v>2012</v>
      </c>
      <c r="C739" s="74" t="s">
        <v>137</v>
      </c>
      <c r="D739" s="27">
        <v>0</v>
      </c>
      <c r="E739" s="53">
        <v>2500000000</v>
      </c>
      <c r="F739" s="53">
        <v>2500000000</v>
      </c>
      <c r="G739" s="53">
        <v>0</v>
      </c>
      <c r="H739" s="53">
        <v>0</v>
      </c>
      <c r="I739" s="53">
        <v>0</v>
      </c>
      <c r="J739" s="53">
        <v>0</v>
      </c>
      <c r="K739" s="53">
        <v>83937500</v>
      </c>
      <c r="L739" s="53">
        <v>0</v>
      </c>
      <c r="M739" s="53">
        <v>0</v>
      </c>
      <c r="N739" s="53">
        <v>409957500</v>
      </c>
      <c r="O739" s="53">
        <v>0</v>
      </c>
      <c r="P739" s="53">
        <v>0</v>
      </c>
      <c r="Q739" s="53">
        <v>883082500</v>
      </c>
      <c r="R739" s="53">
        <v>1430707500</v>
      </c>
    </row>
    <row r="740" spans="1:18" x14ac:dyDescent="0.25">
      <c r="A740" s="25" t="s">
        <v>136</v>
      </c>
      <c r="B740" s="26">
        <v>2012</v>
      </c>
      <c r="C740" s="74" t="s">
        <v>135</v>
      </c>
      <c r="D740" s="27">
        <v>0</v>
      </c>
      <c r="E740" s="53">
        <v>1500000000</v>
      </c>
      <c r="F740" s="53">
        <v>1500000000</v>
      </c>
      <c r="G740" s="53">
        <v>0</v>
      </c>
      <c r="H740" s="53">
        <v>0</v>
      </c>
      <c r="I740" s="53">
        <v>0</v>
      </c>
      <c r="J740" s="53">
        <v>0</v>
      </c>
      <c r="K740" s="53">
        <v>729500000</v>
      </c>
      <c r="L740" s="53">
        <v>0</v>
      </c>
      <c r="M740" s="53">
        <v>0</v>
      </c>
      <c r="N740" s="53">
        <v>0</v>
      </c>
      <c r="O740" s="53">
        <v>0</v>
      </c>
      <c r="P740" s="53">
        <v>0</v>
      </c>
      <c r="Q740" s="53">
        <v>0</v>
      </c>
      <c r="R740" s="53">
        <v>19312350</v>
      </c>
    </row>
    <row r="741" spans="1:18" x14ac:dyDescent="0.25">
      <c r="A741" s="25" t="s">
        <v>134</v>
      </c>
      <c r="B741" s="26">
        <v>2012</v>
      </c>
      <c r="C741" s="74" t="s">
        <v>133</v>
      </c>
      <c r="D741" s="27">
        <v>0</v>
      </c>
      <c r="E741" s="53">
        <v>56296800000</v>
      </c>
      <c r="F741" s="53">
        <v>56296800000</v>
      </c>
      <c r="G741" s="53">
        <v>0</v>
      </c>
      <c r="H741" s="53">
        <v>0</v>
      </c>
      <c r="I741" s="53">
        <v>9077700000</v>
      </c>
      <c r="J741" s="53">
        <v>0</v>
      </c>
      <c r="K741" s="53">
        <v>10000000000</v>
      </c>
      <c r="L741" s="53">
        <v>5000000000</v>
      </c>
      <c r="M741" s="53">
        <v>5000000000</v>
      </c>
      <c r="N741" s="53">
        <v>5000000000</v>
      </c>
      <c r="O741" s="53">
        <v>5000000000</v>
      </c>
      <c r="P741" s="53">
        <v>5000000000</v>
      </c>
      <c r="Q741" s="53">
        <v>5000000000</v>
      </c>
      <c r="R741" s="53">
        <v>7219100000</v>
      </c>
    </row>
    <row r="742" spans="1:18" x14ac:dyDescent="0.25">
      <c r="A742" s="25" t="s">
        <v>132</v>
      </c>
      <c r="B742" s="26">
        <v>2012</v>
      </c>
      <c r="C742" s="74" t="s">
        <v>131</v>
      </c>
      <c r="D742" s="27">
        <v>0</v>
      </c>
      <c r="E742" s="53">
        <v>18550000000</v>
      </c>
      <c r="F742" s="53">
        <v>18550000000</v>
      </c>
      <c r="G742" s="53">
        <v>0</v>
      </c>
      <c r="H742" s="53">
        <v>0</v>
      </c>
      <c r="I742" s="53">
        <v>0</v>
      </c>
      <c r="J742" s="53">
        <v>3036293250</v>
      </c>
      <c r="K742" s="53">
        <v>4375903146</v>
      </c>
      <c r="L742" s="53">
        <v>9720109762</v>
      </c>
      <c r="M742" s="53">
        <v>4141297780</v>
      </c>
      <c r="N742" s="53">
        <v>2490099375</v>
      </c>
      <c r="O742" s="53">
        <v>0</v>
      </c>
      <c r="P742" s="53">
        <v>8422856710</v>
      </c>
      <c r="Q742" s="53">
        <v>0</v>
      </c>
      <c r="R742" s="53">
        <v>-12804360811</v>
      </c>
    </row>
    <row r="743" spans="1:18" x14ac:dyDescent="0.25">
      <c r="A743" s="25" t="s">
        <v>130</v>
      </c>
      <c r="B743" s="26">
        <v>2012</v>
      </c>
      <c r="C743" s="74" t="s">
        <v>129</v>
      </c>
      <c r="D743" s="27">
        <v>0</v>
      </c>
      <c r="E743" s="53">
        <v>47500000000</v>
      </c>
      <c r="F743" s="53">
        <v>47500000000</v>
      </c>
      <c r="G743" s="53">
        <v>0</v>
      </c>
      <c r="H743" s="53">
        <v>0</v>
      </c>
      <c r="I743" s="53">
        <v>6500000000</v>
      </c>
      <c r="J743" s="53">
        <v>5519077273</v>
      </c>
      <c r="K743" s="53">
        <v>5096184545</v>
      </c>
      <c r="L743" s="53">
        <v>10192369090</v>
      </c>
      <c r="M743" s="53">
        <v>5096184545</v>
      </c>
      <c r="N743" s="53">
        <v>0</v>
      </c>
      <c r="O743" s="53">
        <v>5096184545</v>
      </c>
      <c r="P743" s="53">
        <v>7692369090</v>
      </c>
      <c r="Q743" s="53">
        <v>0</v>
      </c>
      <c r="R743" s="53">
        <v>2307630912</v>
      </c>
    </row>
    <row r="744" spans="1:18" x14ac:dyDescent="0.25">
      <c r="A744" s="25" t="s">
        <v>128</v>
      </c>
      <c r="B744" s="26">
        <v>2012</v>
      </c>
      <c r="C744" s="74" t="s">
        <v>127</v>
      </c>
      <c r="D744" s="27">
        <v>0</v>
      </c>
      <c r="E744" s="53">
        <v>6400000000</v>
      </c>
      <c r="F744" s="53">
        <v>6400000000</v>
      </c>
      <c r="G744" s="53">
        <v>0</v>
      </c>
      <c r="H744" s="53">
        <v>0</v>
      </c>
      <c r="I744" s="53">
        <v>1066666666.66</v>
      </c>
      <c r="J744" s="53">
        <v>0</v>
      </c>
      <c r="K744" s="53">
        <v>1066666666.6799999</v>
      </c>
      <c r="L744" s="53">
        <v>593333333.33000004</v>
      </c>
      <c r="M744" s="53">
        <v>533333333.32999998</v>
      </c>
      <c r="N744" s="53">
        <v>605456544.04999995</v>
      </c>
      <c r="O744" s="53">
        <v>608577864.07000005</v>
      </c>
      <c r="P744" s="53">
        <v>601511236.21000004</v>
      </c>
      <c r="Q744" s="53">
        <v>533333333.32999998</v>
      </c>
      <c r="R744" s="53">
        <v>533333333.32999998</v>
      </c>
    </row>
    <row r="745" spans="1:18" x14ac:dyDescent="0.25">
      <c r="A745" s="25" t="s">
        <v>126</v>
      </c>
      <c r="B745" s="26">
        <v>2012</v>
      </c>
      <c r="C745" s="74" t="s">
        <v>125</v>
      </c>
      <c r="D745" s="27">
        <v>0</v>
      </c>
      <c r="E745" s="53">
        <v>2079200000</v>
      </c>
      <c r="F745" s="53">
        <v>2079200000</v>
      </c>
      <c r="G745" s="53">
        <v>0</v>
      </c>
      <c r="H745" s="53">
        <v>0</v>
      </c>
      <c r="I745" s="53">
        <v>176348895.58000001</v>
      </c>
      <c r="J745" s="53">
        <v>0</v>
      </c>
      <c r="K745" s="53">
        <v>134516570.41</v>
      </c>
      <c r="L745" s="53">
        <v>112292895.67</v>
      </c>
      <c r="M745" s="53">
        <v>78902192.260000005</v>
      </c>
      <c r="N745" s="53">
        <v>0</v>
      </c>
      <c r="O745" s="53">
        <v>0</v>
      </c>
      <c r="P745" s="53">
        <v>0</v>
      </c>
      <c r="Q745" s="53">
        <v>93732524.549999997</v>
      </c>
      <c r="R745" s="53">
        <v>132605181.06</v>
      </c>
    </row>
    <row r="746" spans="1:18" x14ac:dyDescent="0.25">
      <c r="A746" s="25" t="s">
        <v>122</v>
      </c>
      <c r="B746" s="26">
        <v>2012</v>
      </c>
      <c r="C746" s="74" t="s">
        <v>121</v>
      </c>
      <c r="D746" s="27">
        <v>0</v>
      </c>
      <c r="E746" s="53">
        <v>4851500000</v>
      </c>
      <c r="F746" s="53">
        <v>4851500000</v>
      </c>
      <c r="G746" s="53">
        <v>0</v>
      </c>
      <c r="H746" s="53">
        <v>4195681.03</v>
      </c>
      <c r="I746" s="53">
        <v>597919673.65999997</v>
      </c>
      <c r="J746" s="53">
        <v>309366688.91000003</v>
      </c>
      <c r="K746" s="53">
        <v>613964789.97000003</v>
      </c>
      <c r="L746" s="53">
        <v>312266866.64999998</v>
      </c>
      <c r="M746" s="53">
        <v>315603609.74000001</v>
      </c>
      <c r="N746" s="53">
        <v>0</v>
      </c>
      <c r="O746" s="53">
        <v>324031956.93000001</v>
      </c>
      <c r="P746" s="53">
        <v>668477651.21000004</v>
      </c>
      <c r="Q746" s="53">
        <v>0</v>
      </c>
      <c r="R746" s="53">
        <v>0</v>
      </c>
    </row>
    <row r="747" spans="1:18" x14ac:dyDescent="0.25">
      <c r="A747" s="25" t="s">
        <v>485</v>
      </c>
      <c r="B747" s="26">
        <v>2012</v>
      </c>
      <c r="C747" s="74" t="s">
        <v>484</v>
      </c>
      <c r="D747" s="27">
        <v>0</v>
      </c>
      <c r="E747" s="53">
        <v>0</v>
      </c>
      <c r="F747" s="53">
        <v>0</v>
      </c>
      <c r="G747" s="53">
        <v>0</v>
      </c>
      <c r="H747" s="53">
        <v>0</v>
      </c>
      <c r="I747" s="53">
        <v>0</v>
      </c>
      <c r="J747" s="53">
        <v>0</v>
      </c>
      <c r="K747" s="53">
        <v>0</v>
      </c>
      <c r="L747" s="53">
        <v>278608341.94</v>
      </c>
      <c r="M747" s="53">
        <v>0</v>
      </c>
      <c r="N747" s="53">
        <v>141845433.28</v>
      </c>
      <c r="O747" s="53">
        <v>141845433.28</v>
      </c>
      <c r="P747" s="53">
        <v>0</v>
      </c>
      <c r="Q747" s="53">
        <v>0</v>
      </c>
      <c r="R747" s="53">
        <v>0</v>
      </c>
    </row>
    <row r="748" spans="1:18" x14ac:dyDescent="0.25">
      <c r="A748" s="25" t="s">
        <v>115</v>
      </c>
      <c r="B748" s="26">
        <v>2012</v>
      </c>
      <c r="C748" s="74" t="s">
        <v>114</v>
      </c>
      <c r="D748" s="27">
        <v>0</v>
      </c>
      <c r="E748" s="53">
        <v>3410000</v>
      </c>
      <c r="F748" s="53">
        <v>3410000</v>
      </c>
      <c r="G748" s="53">
        <v>0</v>
      </c>
      <c r="H748" s="53">
        <v>0</v>
      </c>
      <c r="I748" s="53">
        <v>0</v>
      </c>
      <c r="J748" s="53">
        <v>3410000</v>
      </c>
      <c r="K748" s="53">
        <v>0</v>
      </c>
      <c r="L748" s="53">
        <v>0</v>
      </c>
      <c r="M748" s="53">
        <v>0</v>
      </c>
      <c r="N748" s="53">
        <v>0</v>
      </c>
      <c r="O748" s="53">
        <v>0</v>
      </c>
      <c r="P748" s="53">
        <v>0</v>
      </c>
      <c r="Q748" s="53">
        <v>0</v>
      </c>
      <c r="R748" s="53">
        <v>0</v>
      </c>
    </row>
    <row r="749" spans="1:18" x14ac:dyDescent="0.25">
      <c r="A749" s="25" t="s">
        <v>113</v>
      </c>
      <c r="B749" s="26">
        <v>2012</v>
      </c>
      <c r="C749" s="74" t="s">
        <v>112</v>
      </c>
      <c r="D749" s="27">
        <v>0</v>
      </c>
      <c r="E749" s="53">
        <v>600000</v>
      </c>
      <c r="F749" s="53">
        <v>600000</v>
      </c>
      <c r="G749" s="53">
        <v>0</v>
      </c>
      <c r="H749" s="53">
        <v>0</v>
      </c>
      <c r="I749" s="53">
        <v>0</v>
      </c>
      <c r="J749" s="53">
        <v>0</v>
      </c>
      <c r="K749" s="53">
        <v>0</v>
      </c>
      <c r="L749" s="53">
        <v>0</v>
      </c>
      <c r="M749" s="53">
        <v>0</v>
      </c>
      <c r="N749" s="53">
        <v>0</v>
      </c>
      <c r="O749" s="53">
        <v>1200000</v>
      </c>
      <c r="P749" s="53">
        <v>0</v>
      </c>
      <c r="Q749" s="53">
        <v>0</v>
      </c>
      <c r="R749" s="53">
        <v>0</v>
      </c>
    </row>
    <row r="750" spans="1:18" x14ac:dyDescent="0.25">
      <c r="A750" s="25" t="s">
        <v>111</v>
      </c>
      <c r="B750" s="26">
        <v>2012</v>
      </c>
      <c r="C750" s="74" t="s">
        <v>110</v>
      </c>
      <c r="D750" s="27">
        <v>0</v>
      </c>
      <c r="E750" s="53">
        <v>12700000</v>
      </c>
      <c r="F750" s="53">
        <v>12700000</v>
      </c>
      <c r="G750" s="53">
        <v>0</v>
      </c>
      <c r="H750" s="53">
        <v>0</v>
      </c>
      <c r="I750" s="53">
        <v>12700000</v>
      </c>
      <c r="J750" s="53">
        <v>0</v>
      </c>
      <c r="K750" s="53">
        <v>0</v>
      </c>
      <c r="L750" s="53">
        <v>0</v>
      </c>
      <c r="M750" s="53">
        <v>0</v>
      </c>
      <c r="N750" s="53">
        <v>0</v>
      </c>
      <c r="O750" s="53">
        <v>0</v>
      </c>
      <c r="P750" s="53">
        <v>0</v>
      </c>
      <c r="Q750" s="53">
        <v>0</v>
      </c>
      <c r="R750" s="53">
        <v>0</v>
      </c>
    </row>
    <row r="751" spans="1:18" x14ac:dyDescent="0.25">
      <c r="A751" s="25" t="s">
        <v>109</v>
      </c>
      <c r="B751" s="26">
        <v>2012</v>
      </c>
      <c r="C751" s="74" t="s">
        <v>108</v>
      </c>
      <c r="D751" s="27">
        <v>0</v>
      </c>
      <c r="E751" s="53">
        <v>3200000</v>
      </c>
      <c r="F751" s="53">
        <v>3200000</v>
      </c>
      <c r="G751" s="53">
        <v>0</v>
      </c>
      <c r="H751" s="53">
        <v>3200000</v>
      </c>
      <c r="I751" s="53">
        <v>0</v>
      </c>
      <c r="J751" s="53">
        <v>0</v>
      </c>
      <c r="K751" s="53">
        <v>0</v>
      </c>
      <c r="L751" s="53">
        <v>0</v>
      </c>
      <c r="M751" s="53">
        <v>0</v>
      </c>
      <c r="N751" s="53">
        <v>0</v>
      </c>
      <c r="O751" s="53">
        <v>0</v>
      </c>
      <c r="P751" s="53">
        <v>0</v>
      </c>
      <c r="Q751" s="53">
        <v>0</v>
      </c>
      <c r="R751" s="53">
        <v>0</v>
      </c>
    </row>
    <row r="752" spans="1:18" x14ac:dyDescent="0.25">
      <c r="A752" s="25" t="s">
        <v>107</v>
      </c>
      <c r="B752" s="26">
        <v>2012</v>
      </c>
      <c r="C752" s="74" t="s">
        <v>106</v>
      </c>
      <c r="D752" s="27">
        <v>0</v>
      </c>
      <c r="E752" s="53">
        <v>7500000</v>
      </c>
      <c r="F752" s="53">
        <v>7500000</v>
      </c>
      <c r="G752" s="53">
        <v>0</v>
      </c>
      <c r="H752" s="53">
        <v>7500000</v>
      </c>
      <c r="I752" s="53">
        <v>0</v>
      </c>
      <c r="J752" s="53">
        <v>0</v>
      </c>
      <c r="K752" s="53">
        <v>0</v>
      </c>
      <c r="L752" s="53">
        <v>0</v>
      </c>
      <c r="M752" s="53">
        <v>0</v>
      </c>
      <c r="N752" s="53">
        <v>0</v>
      </c>
      <c r="O752" s="53">
        <v>0</v>
      </c>
      <c r="P752" s="53">
        <v>0</v>
      </c>
      <c r="Q752" s="53">
        <v>0</v>
      </c>
      <c r="R752" s="53">
        <v>0</v>
      </c>
    </row>
    <row r="753" spans="1:18" x14ac:dyDescent="0.25">
      <c r="A753" s="25" t="s">
        <v>105</v>
      </c>
      <c r="B753" s="26">
        <v>2012</v>
      </c>
      <c r="C753" s="74" t="s">
        <v>104</v>
      </c>
      <c r="D753" s="27">
        <v>0</v>
      </c>
      <c r="E753" s="53">
        <v>8200000</v>
      </c>
      <c r="F753" s="53">
        <v>8200000</v>
      </c>
      <c r="G753" s="53">
        <v>0</v>
      </c>
      <c r="H753" s="53">
        <v>8200000</v>
      </c>
      <c r="I753" s="53">
        <v>0</v>
      </c>
      <c r="J753" s="53">
        <v>0</v>
      </c>
      <c r="K753" s="53">
        <v>0</v>
      </c>
      <c r="L753" s="53">
        <v>0</v>
      </c>
      <c r="M753" s="53">
        <v>0</v>
      </c>
      <c r="N753" s="53">
        <v>0</v>
      </c>
      <c r="O753" s="53">
        <v>0</v>
      </c>
      <c r="P753" s="53">
        <v>0</v>
      </c>
      <c r="Q753" s="53">
        <v>0</v>
      </c>
      <c r="R753" s="53">
        <v>0</v>
      </c>
    </row>
    <row r="754" spans="1:18" x14ac:dyDescent="0.25">
      <c r="A754" s="25" t="s">
        <v>103</v>
      </c>
      <c r="B754" s="26">
        <v>2012</v>
      </c>
      <c r="C754" s="74" t="s">
        <v>102</v>
      </c>
      <c r="D754" s="27">
        <v>0</v>
      </c>
      <c r="E754" s="53">
        <v>21600000</v>
      </c>
      <c r="F754" s="53">
        <v>21600000</v>
      </c>
      <c r="G754" s="53">
        <v>0</v>
      </c>
      <c r="H754" s="53">
        <v>20000000</v>
      </c>
      <c r="I754" s="53">
        <v>0</v>
      </c>
      <c r="J754" s="53">
        <v>0</v>
      </c>
      <c r="K754" s="53">
        <v>0</v>
      </c>
      <c r="L754" s="53">
        <v>0</v>
      </c>
      <c r="M754" s="53">
        <v>0</v>
      </c>
      <c r="N754" s="53">
        <v>0</v>
      </c>
      <c r="O754" s="53">
        <v>0</v>
      </c>
      <c r="P754" s="53">
        <v>0</v>
      </c>
      <c r="Q754" s="53">
        <v>0</v>
      </c>
      <c r="R754" s="53">
        <v>0</v>
      </c>
    </row>
    <row r="755" spans="1:18" x14ac:dyDescent="0.25">
      <c r="A755" s="25" t="s">
        <v>101</v>
      </c>
      <c r="B755" s="26">
        <v>2012</v>
      </c>
      <c r="C755" s="74" t="s">
        <v>100</v>
      </c>
      <c r="D755" s="27">
        <v>0</v>
      </c>
      <c r="E755" s="53">
        <v>2800000</v>
      </c>
      <c r="F755" s="53">
        <v>2800000</v>
      </c>
      <c r="G755" s="53">
        <v>0</v>
      </c>
      <c r="H755" s="53">
        <v>0</v>
      </c>
      <c r="I755" s="53">
        <v>0</v>
      </c>
      <c r="J755" s="53">
        <v>0</v>
      </c>
      <c r="K755" s="53">
        <v>0</v>
      </c>
      <c r="L755" s="53">
        <v>0</v>
      </c>
      <c r="M755" s="53">
        <v>0</v>
      </c>
      <c r="N755" s="53">
        <v>0</v>
      </c>
      <c r="O755" s="53">
        <v>0</v>
      </c>
      <c r="P755" s="53">
        <v>0</v>
      </c>
      <c r="Q755" s="53">
        <v>0</v>
      </c>
      <c r="R755" s="53">
        <v>2800000</v>
      </c>
    </row>
    <row r="756" spans="1:18" x14ac:dyDescent="0.25">
      <c r="A756" s="25" t="s">
        <v>99</v>
      </c>
      <c r="B756" s="26">
        <v>2012</v>
      </c>
      <c r="C756" s="74" t="s">
        <v>98</v>
      </c>
      <c r="D756" s="27">
        <v>0</v>
      </c>
      <c r="E756" s="53">
        <v>18200000</v>
      </c>
      <c r="F756" s="53">
        <v>18200000</v>
      </c>
      <c r="G756" s="53">
        <v>0</v>
      </c>
      <c r="H756" s="53">
        <v>0</v>
      </c>
      <c r="I756" s="53">
        <v>0</v>
      </c>
      <c r="J756" s="53">
        <v>0</v>
      </c>
      <c r="K756" s="53">
        <v>0</v>
      </c>
      <c r="L756" s="53">
        <v>18200000</v>
      </c>
      <c r="M756" s="53">
        <v>0</v>
      </c>
      <c r="N756" s="53">
        <v>0</v>
      </c>
      <c r="O756" s="53">
        <v>0</v>
      </c>
      <c r="P756" s="53">
        <v>0</v>
      </c>
      <c r="Q756" s="53">
        <v>0</v>
      </c>
      <c r="R756" s="53">
        <v>0</v>
      </c>
    </row>
    <row r="757" spans="1:18" x14ac:dyDescent="0.25">
      <c r="A757" s="25" t="s">
        <v>97</v>
      </c>
      <c r="B757" s="26">
        <v>2012</v>
      </c>
      <c r="C757" s="74" t="s">
        <v>96</v>
      </c>
      <c r="D757" s="27">
        <v>0</v>
      </c>
      <c r="E757" s="53">
        <v>4400000</v>
      </c>
      <c r="F757" s="53">
        <v>4400000</v>
      </c>
      <c r="G757" s="53">
        <v>0</v>
      </c>
      <c r="H757" s="53">
        <v>0</v>
      </c>
      <c r="I757" s="53">
        <v>0</v>
      </c>
      <c r="J757" s="53">
        <v>4400000</v>
      </c>
      <c r="K757" s="53">
        <v>0</v>
      </c>
      <c r="L757" s="53">
        <v>0</v>
      </c>
      <c r="M757" s="53">
        <v>0</v>
      </c>
      <c r="N757" s="53">
        <v>0</v>
      </c>
      <c r="O757" s="53">
        <v>0</v>
      </c>
      <c r="P757" s="53">
        <v>0</v>
      </c>
      <c r="Q757" s="53">
        <v>0</v>
      </c>
      <c r="R757" s="53">
        <v>0</v>
      </c>
    </row>
    <row r="758" spans="1:18" x14ac:dyDescent="0.25">
      <c r="A758" s="25" t="s">
        <v>95</v>
      </c>
      <c r="B758" s="26">
        <v>2012</v>
      </c>
      <c r="C758" s="74" t="s">
        <v>94</v>
      </c>
      <c r="D758" s="27">
        <v>0</v>
      </c>
      <c r="E758" s="53">
        <v>48700000</v>
      </c>
      <c r="F758" s="53">
        <v>48700000</v>
      </c>
      <c r="G758" s="53">
        <v>0</v>
      </c>
      <c r="H758" s="53">
        <v>0</v>
      </c>
      <c r="I758" s="53">
        <v>48700000</v>
      </c>
      <c r="J758" s="53">
        <v>0</v>
      </c>
      <c r="K758" s="53">
        <v>0</v>
      </c>
      <c r="L758" s="53">
        <v>0</v>
      </c>
      <c r="M758" s="53">
        <v>0</v>
      </c>
      <c r="N758" s="53">
        <v>0</v>
      </c>
      <c r="O758" s="53">
        <v>0</v>
      </c>
      <c r="P758" s="53">
        <v>0</v>
      </c>
      <c r="Q758" s="53">
        <v>950000</v>
      </c>
      <c r="R758" s="53">
        <v>-950000</v>
      </c>
    </row>
    <row r="759" spans="1:18" x14ac:dyDescent="0.25">
      <c r="A759" s="25" t="s">
        <v>93</v>
      </c>
      <c r="B759" s="26">
        <v>2012</v>
      </c>
      <c r="C759" s="74" t="s">
        <v>92</v>
      </c>
      <c r="D759" s="27">
        <v>0</v>
      </c>
      <c r="E759" s="53">
        <v>3800000</v>
      </c>
      <c r="F759" s="53">
        <v>3800000</v>
      </c>
      <c r="G759" s="53">
        <v>0</v>
      </c>
      <c r="H759" s="53">
        <v>0</v>
      </c>
      <c r="I759" s="53">
        <v>950000</v>
      </c>
      <c r="J759" s="53">
        <v>0</v>
      </c>
      <c r="K759" s="53">
        <v>0</v>
      </c>
      <c r="L759" s="53">
        <v>0</v>
      </c>
      <c r="M759" s="53">
        <v>0</v>
      </c>
      <c r="N759" s="53">
        <v>0</v>
      </c>
      <c r="O759" s="53">
        <v>0</v>
      </c>
      <c r="P759" s="53">
        <v>0</v>
      </c>
      <c r="Q759" s="53">
        <v>0</v>
      </c>
      <c r="R759" s="53">
        <v>2850000</v>
      </c>
    </row>
    <row r="760" spans="1:18" x14ac:dyDescent="0.25">
      <c r="A760" s="25" t="s">
        <v>91</v>
      </c>
      <c r="B760" s="26">
        <v>2012</v>
      </c>
      <c r="C760" s="74" t="s">
        <v>90</v>
      </c>
      <c r="D760" s="27">
        <v>0</v>
      </c>
      <c r="E760" s="53">
        <v>3977000000</v>
      </c>
      <c r="F760" s="53">
        <v>3977000000</v>
      </c>
      <c r="G760" s="53">
        <v>0</v>
      </c>
      <c r="H760" s="53">
        <v>0</v>
      </c>
      <c r="I760" s="53">
        <v>0</v>
      </c>
      <c r="J760" s="53">
        <v>0</v>
      </c>
      <c r="K760" s="53">
        <v>0</v>
      </c>
      <c r="L760" s="53">
        <v>0</v>
      </c>
      <c r="M760" s="53">
        <v>0</v>
      </c>
      <c r="N760" s="53">
        <v>0</v>
      </c>
      <c r="O760" s="53">
        <v>3977010796</v>
      </c>
      <c r="P760" s="53">
        <v>0</v>
      </c>
      <c r="Q760" s="53">
        <v>0</v>
      </c>
      <c r="R760" s="53">
        <v>0</v>
      </c>
    </row>
    <row r="761" spans="1:18" x14ac:dyDescent="0.25">
      <c r="A761" s="25" t="s">
        <v>89</v>
      </c>
      <c r="B761" s="26">
        <v>2012</v>
      </c>
      <c r="C761" s="74" t="s">
        <v>88</v>
      </c>
      <c r="D761" s="27">
        <v>0</v>
      </c>
      <c r="E761" s="53">
        <v>342400000</v>
      </c>
      <c r="F761" s="53">
        <v>342400000</v>
      </c>
      <c r="G761" s="53">
        <v>0</v>
      </c>
      <c r="H761" s="53">
        <v>0</v>
      </c>
      <c r="I761" s="53">
        <v>28532994.579999998</v>
      </c>
      <c r="J761" s="53">
        <v>0</v>
      </c>
      <c r="K761" s="53">
        <v>57064669.159999996</v>
      </c>
      <c r="L761" s="53">
        <v>28532334.579999998</v>
      </c>
      <c r="M761" s="53">
        <v>28532334.579999998</v>
      </c>
      <c r="N761" s="53">
        <v>28532334.579999998</v>
      </c>
      <c r="O761" s="53">
        <v>57064669.159999996</v>
      </c>
      <c r="P761" s="53">
        <v>28532334.579999998</v>
      </c>
      <c r="Q761" s="53">
        <v>0</v>
      </c>
      <c r="R761" s="53">
        <v>85597003.739999995</v>
      </c>
    </row>
    <row r="762" spans="1:18" x14ac:dyDescent="0.25">
      <c r="A762" s="25" t="s">
        <v>83</v>
      </c>
      <c r="B762" s="26">
        <v>2012</v>
      </c>
      <c r="C762" s="74" t="s">
        <v>82</v>
      </c>
      <c r="D762" s="27">
        <v>0</v>
      </c>
      <c r="E762" s="53">
        <v>327000000</v>
      </c>
      <c r="F762" s="53">
        <v>327000000</v>
      </c>
      <c r="G762" s="53">
        <v>26905916.890000001</v>
      </c>
      <c r="H762" s="53">
        <v>15605001.199999999</v>
      </c>
      <c r="I762" s="53">
        <v>20436496.829999998</v>
      </c>
      <c r="J762" s="53">
        <v>48864883.840000004</v>
      </c>
      <c r="K762" s="53">
        <v>39140275.710000001</v>
      </c>
      <c r="L762" s="53">
        <v>42627699.869999997</v>
      </c>
      <c r="M762" s="53">
        <v>22249713.350000001</v>
      </c>
      <c r="N762" s="53">
        <v>101781963.64</v>
      </c>
      <c r="O762" s="53">
        <v>77629511.730000004</v>
      </c>
      <c r="P762" s="53">
        <v>13365055.67</v>
      </c>
      <c r="Q762" s="53">
        <v>61416939.75</v>
      </c>
      <c r="R762" s="53">
        <v>45620345.100000001</v>
      </c>
    </row>
    <row r="763" spans="1:18" x14ac:dyDescent="0.25">
      <c r="A763" s="25" t="s">
        <v>80</v>
      </c>
      <c r="B763" s="26">
        <v>2012</v>
      </c>
      <c r="C763" s="74" t="s">
        <v>79</v>
      </c>
      <c r="D763" s="27">
        <v>0</v>
      </c>
      <c r="E763" s="53">
        <v>36100000</v>
      </c>
      <c r="F763" s="53">
        <v>36100000</v>
      </c>
      <c r="G763" s="53">
        <v>0</v>
      </c>
      <c r="H763" s="53">
        <v>0</v>
      </c>
      <c r="I763" s="53">
        <v>36100000</v>
      </c>
      <c r="J763" s="53">
        <v>0</v>
      </c>
      <c r="K763" s="53">
        <v>0</v>
      </c>
      <c r="L763" s="53">
        <v>0</v>
      </c>
      <c r="M763" s="53">
        <v>0</v>
      </c>
      <c r="N763" s="53">
        <v>0</v>
      </c>
      <c r="O763" s="53">
        <v>0</v>
      </c>
      <c r="P763" s="53">
        <v>0</v>
      </c>
      <c r="Q763" s="53">
        <v>0</v>
      </c>
      <c r="R763" s="53">
        <v>0</v>
      </c>
    </row>
    <row r="764" spans="1:18" x14ac:dyDescent="0.25">
      <c r="A764" s="25" t="s">
        <v>78</v>
      </c>
      <c r="B764" s="26">
        <v>2012</v>
      </c>
      <c r="C764" s="74" t="s">
        <v>77</v>
      </c>
      <c r="D764" s="27">
        <v>0</v>
      </c>
      <c r="E764" s="53">
        <v>101200000</v>
      </c>
      <c r="F764" s="53">
        <v>101200000</v>
      </c>
      <c r="G764" s="53">
        <v>0</v>
      </c>
      <c r="H764" s="53">
        <v>0</v>
      </c>
      <c r="I764" s="53">
        <v>0</v>
      </c>
      <c r="J764" s="53">
        <v>101200000</v>
      </c>
      <c r="K764" s="53">
        <v>0</v>
      </c>
      <c r="L764" s="53">
        <v>0</v>
      </c>
      <c r="M764" s="53">
        <v>0</v>
      </c>
      <c r="N764" s="53">
        <v>0</v>
      </c>
      <c r="O764" s="53">
        <v>0</v>
      </c>
      <c r="P764" s="53">
        <v>0</v>
      </c>
      <c r="Q764" s="53">
        <v>0</v>
      </c>
      <c r="R764" s="53">
        <v>0</v>
      </c>
    </row>
    <row r="765" spans="1:18" x14ac:dyDescent="0.25">
      <c r="A765" s="25" t="s">
        <v>76</v>
      </c>
      <c r="B765" s="26">
        <v>2012</v>
      </c>
      <c r="C765" s="74" t="s">
        <v>75</v>
      </c>
      <c r="D765" s="27">
        <v>0</v>
      </c>
      <c r="E765" s="53">
        <v>8000000</v>
      </c>
      <c r="F765" s="53">
        <v>8000000</v>
      </c>
      <c r="G765" s="53">
        <v>0</v>
      </c>
      <c r="H765" s="53">
        <v>0</v>
      </c>
      <c r="I765" s="53">
        <v>8000000</v>
      </c>
      <c r="J765" s="53">
        <v>0</v>
      </c>
      <c r="K765" s="53">
        <v>0</v>
      </c>
      <c r="L765" s="53">
        <v>0</v>
      </c>
      <c r="M765" s="53">
        <v>0</v>
      </c>
      <c r="N765" s="53">
        <v>0</v>
      </c>
      <c r="O765" s="53">
        <v>0</v>
      </c>
      <c r="P765" s="53">
        <v>0</v>
      </c>
      <c r="Q765" s="53">
        <v>0</v>
      </c>
      <c r="R765" s="53">
        <v>0</v>
      </c>
    </row>
    <row r="766" spans="1:18" x14ac:dyDescent="0.25">
      <c r="A766" s="25" t="s">
        <v>74</v>
      </c>
      <c r="B766" s="26">
        <v>2012</v>
      </c>
      <c r="C766" s="74" t="s">
        <v>73</v>
      </c>
      <c r="D766" s="27">
        <v>0</v>
      </c>
      <c r="E766" s="53">
        <v>11900000</v>
      </c>
      <c r="F766" s="53">
        <v>11900000</v>
      </c>
      <c r="G766" s="53">
        <v>0</v>
      </c>
      <c r="H766" s="53">
        <v>0</v>
      </c>
      <c r="I766" s="53">
        <v>0</v>
      </c>
      <c r="J766" s="53">
        <v>0</v>
      </c>
      <c r="K766" s="53">
        <v>0</v>
      </c>
      <c r="L766" s="53">
        <v>0</v>
      </c>
      <c r="M766" s="53">
        <v>0</v>
      </c>
      <c r="N766" s="53">
        <v>0</v>
      </c>
      <c r="O766" s="53">
        <v>25400000</v>
      </c>
      <c r="P766" s="53">
        <v>0</v>
      </c>
      <c r="Q766" s="53">
        <v>0</v>
      </c>
      <c r="R766" s="53">
        <v>0</v>
      </c>
    </row>
    <row r="767" spans="1:18" x14ac:dyDescent="0.25">
      <c r="A767" s="25" t="s">
        <v>72</v>
      </c>
      <c r="B767" s="26">
        <v>2012</v>
      </c>
      <c r="C767" s="74" t="s">
        <v>71</v>
      </c>
      <c r="D767" s="27">
        <v>0</v>
      </c>
      <c r="E767" s="53">
        <v>11300000</v>
      </c>
      <c r="F767" s="53">
        <v>11300000</v>
      </c>
      <c r="G767" s="53">
        <v>0</v>
      </c>
      <c r="H767" s="53">
        <v>0</v>
      </c>
      <c r="I767" s="53">
        <v>0</v>
      </c>
      <c r="J767" s="53">
        <v>0</v>
      </c>
      <c r="K767" s="53">
        <v>0</v>
      </c>
      <c r="L767" s="53">
        <v>0</v>
      </c>
      <c r="M767" s="53">
        <v>0</v>
      </c>
      <c r="N767" s="53">
        <v>0</v>
      </c>
      <c r="O767" s="53">
        <v>0</v>
      </c>
      <c r="P767" s="53">
        <v>0</v>
      </c>
      <c r="Q767" s="53">
        <v>0</v>
      </c>
      <c r="R767" s="53">
        <v>0</v>
      </c>
    </row>
    <row r="768" spans="1:18" x14ac:dyDescent="0.25">
      <c r="A768" s="25" t="s">
        <v>70</v>
      </c>
      <c r="B768" s="26">
        <v>2012</v>
      </c>
      <c r="C768" s="74" t="s">
        <v>69</v>
      </c>
      <c r="D768" s="27">
        <v>0</v>
      </c>
      <c r="E768" s="53">
        <v>2600000</v>
      </c>
      <c r="F768" s="53">
        <v>2600000</v>
      </c>
      <c r="G768" s="53">
        <v>0</v>
      </c>
      <c r="H768" s="53">
        <v>0</v>
      </c>
      <c r="I768" s="53">
        <v>0</v>
      </c>
      <c r="J768" s="53">
        <v>0</v>
      </c>
      <c r="K768" s="53">
        <v>0</v>
      </c>
      <c r="L768" s="53">
        <v>0</v>
      </c>
      <c r="M768" s="53">
        <v>0</v>
      </c>
      <c r="N768" s="53">
        <v>0</v>
      </c>
      <c r="O768" s="53">
        <v>0</v>
      </c>
      <c r="P768" s="53">
        <v>0</v>
      </c>
      <c r="Q768" s="53">
        <v>0</v>
      </c>
      <c r="R768" s="53">
        <v>0</v>
      </c>
    </row>
    <row r="769" spans="1:18" x14ac:dyDescent="0.25">
      <c r="A769" s="25" t="s">
        <v>467</v>
      </c>
      <c r="B769" s="26">
        <v>2012</v>
      </c>
      <c r="C769" s="74" t="s">
        <v>20</v>
      </c>
      <c r="D769" s="27">
        <v>0</v>
      </c>
      <c r="E769" s="53">
        <v>30000000</v>
      </c>
      <c r="F769" s="53">
        <v>30000000</v>
      </c>
      <c r="G769" s="53">
        <v>0</v>
      </c>
      <c r="H769" s="53">
        <v>0</v>
      </c>
      <c r="I769" s="53">
        <v>0</v>
      </c>
      <c r="J769" s="53">
        <v>0</v>
      </c>
      <c r="K769" s="53">
        <v>0</v>
      </c>
      <c r="L769" s="53">
        <v>0</v>
      </c>
      <c r="M769" s="53">
        <v>0</v>
      </c>
      <c r="N769" s="53">
        <v>0</v>
      </c>
      <c r="O769" s="53">
        <v>0</v>
      </c>
      <c r="P769" s="53">
        <v>0</v>
      </c>
      <c r="Q769" s="53">
        <v>0</v>
      </c>
      <c r="R769" s="53">
        <v>0</v>
      </c>
    </row>
    <row r="770" spans="1:18" x14ac:dyDescent="0.25">
      <c r="A770" s="25" t="s">
        <v>68</v>
      </c>
      <c r="B770" s="26">
        <v>2012</v>
      </c>
      <c r="C770" s="74" t="s">
        <v>67</v>
      </c>
      <c r="D770" s="27">
        <v>0</v>
      </c>
      <c r="E770" s="53">
        <v>289400000</v>
      </c>
      <c r="F770" s="53">
        <v>289400000</v>
      </c>
      <c r="G770" s="53">
        <v>0</v>
      </c>
      <c r="H770" s="53">
        <v>0</v>
      </c>
      <c r="I770" s="53">
        <v>350900000</v>
      </c>
      <c r="J770" s="53">
        <v>0</v>
      </c>
      <c r="K770" s="53">
        <v>0</v>
      </c>
      <c r="L770" s="53">
        <v>0</v>
      </c>
      <c r="M770" s="53">
        <v>0</v>
      </c>
      <c r="N770" s="53">
        <v>0</v>
      </c>
      <c r="O770" s="53">
        <v>0</v>
      </c>
      <c r="P770" s="53">
        <v>0</v>
      </c>
      <c r="Q770" s="53">
        <v>0</v>
      </c>
      <c r="R770" s="53">
        <v>0</v>
      </c>
    </row>
    <row r="771" spans="1:18" x14ac:dyDescent="0.25">
      <c r="A771" s="25" t="s">
        <v>66</v>
      </c>
      <c r="B771" s="26">
        <v>2012</v>
      </c>
      <c r="C771" s="74" t="s">
        <v>65</v>
      </c>
      <c r="D771" s="27">
        <v>0</v>
      </c>
      <c r="E771" s="53">
        <v>43800000</v>
      </c>
      <c r="F771" s="53">
        <v>43800000</v>
      </c>
      <c r="G771" s="53">
        <v>3650000</v>
      </c>
      <c r="H771" s="53">
        <v>3650000</v>
      </c>
      <c r="I771" s="53">
        <v>3650000</v>
      </c>
      <c r="J771" s="53">
        <v>3650000</v>
      </c>
      <c r="K771" s="53">
        <v>3650000</v>
      </c>
      <c r="L771" s="53">
        <v>3650000</v>
      </c>
      <c r="M771" s="53">
        <v>3650000</v>
      </c>
      <c r="N771" s="53">
        <v>3650000</v>
      </c>
      <c r="O771" s="53">
        <v>3650000</v>
      </c>
      <c r="P771" s="53">
        <v>3650000</v>
      </c>
      <c r="Q771" s="53">
        <v>3650000</v>
      </c>
      <c r="R771" s="53">
        <v>3650000</v>
      </c>
    </row>
    <row r="772" spans="1:18" x14ac:dyDescent="0.25">
      <c r="A772" s="25" t="s">
        <v>64</v>
      </c>
      <c r="B772" s="26">
        <v>2012</v>
      </c>
      <c r="C772" s="74" t="s">
        <v>63</v>
      </c>
      <c r="D772" s="27">
        <v>0</v>
      </c>
      <c r="E772" s="53">
        <v>378400000</v>
      </c>
      <c r="F772" s="53">
        <v>378400000</v>
      </c>
      <c r="G772" s="53">
        <v>0</v>
      </c>
      <c r="H772" s="53">
        <v>0</v>
      </c>
      <c r="I772" s="53">
        <v>0</v>
      </c>
      <c r="J772" s="53">
        <v>473700000</v>
      </c>
      <c r="K772" s="53">
        <v>0</v>
      </c>
      <c r="L772" s="53">
        <v>0</v>
      </c>
      <c r="M772" s="53">
        <v>0</v>
      </c>
      <c r="N772" s="53">
        <v>0</v>
      </c>
      <c r="O772" s="53">
        <v>0</v>
      </c>
      <c r="P772" s="53">
        <v>0</v>
      </c>
      <c r="Q772" s="53">
        <v>0</v>
      </c>
      <c r="R772" s="53">
        <v>289400000</v>
      </c>
    </row>
    <row r="773" spans="1:18" x14ac:dyDescent="0.25">
      <c r="A773" s="25" t="s">
        <v>62</v>
      </c>
      <c r="B773" s="26">
        <v>2012</v>
      </c>
      <c r="C773" s="74" t="s">
        <v>61</v>
      </c>
      <c r="D773" s="27">
        <v>0</v>
      </c>
      <c r="E773" s="53">
        <v>4200000</v>
      </c>
      <c r="F773" s="53">
        <v>4200000</v>
      </c>
      <c r="G773" s="53">
        <v>0</v>
      </c>
      <c r="H773" s="53">
        <v>0</v>
      </c>
      <c r="I773" s="53">
        <v>4200000</v>
      </c>
      <c r="J773" s="53">
        <v>0</v>
      </c>
      <c r="K773" s="53">
        <v>0</v>
      </c>
      <c r="L773" s="53">
        <v>0</v>
      </c>
      <c r="M773" s="53">
        <v>0</v>
      </c>
      <c r="N773" s="53">
        <v>0</v>
      </c>
      <c r="O773" s="53">
        <v>0</v>
      </c>
      <c r="P773" s="53">
        <v>0</v>
      </c>
      <c r="Q773" s="53">
        <v>0</v>
      </c>
      <c r="R773" s="53">
        <v>0</v>
      </c>
    </row>
    <row r="774" spans="1:18" x14ac:dyDescent="0.25">
      <c r="A774" s="25" t="s">
        <v>60</v>
      </c>
      <c r="B774" s="26">
        <v>2012</v>
      </c>
      <c r="C774" s="74" t="s">
        <v>59</v>
      </c>
      <c r="D774" s="27">
        <v>0</v>
      </c>
      <c r="E774" s="53">
        <v>5900000</v>
      </c>
      <c r="F774" s="53">
        <v>5900000</v>
      </c>
      <c r="G774" s="53">
        <v>0</v>
      </c>
      <c r="H774" s="53">
        <v>0</v>
      </c>
      <c r="I774" s="53">
        <v>0</v>
      </c>
      <c r="J774" s="53">
        <v>0</v>
      </c>
      <c r="K774" s="53">
        <v>0</v>
      </c>
      <c r="L774" s="53">
        <v>0</v>
      </c>
      <c r="M774" s="53">
        <v>0</v>
      </c>
      <c r="N774" s="53">
        <v>0</v>
      </c>
      <c r="O774" s="53">
        <v>0</v>
      </c>
      <c r="P774" s="53">
        <v>0</v>
      </c>
      <c r="Q774" s="53">
        <v>5900000</v>
      </c>
      <c r="R774" s="53">
        <v>0</v>
      </c>
    </row>
    <row r="775" spans="1:18" x14ac:dyDescent="0.25">
      <c r="A775" s="25" t="s">
        <v>483</v>
      </c>
      <c r="B775" s="26">
        <v>2012</v>
      </c>
      <c r="C775" s="74" t="s">
        <v>20</v>
      </c>
      <c r="D775" s="27">
        <v>0</v>
      </c>
      <c r="E775" s="53">
        <v>152215580</v>
      </c>
      <c r="F775" s="53">
        <v>152215580</v>
      </c>
      <c r="G775" s="53">
        <v>0</v>
      </c>
      <c r="H775" s="53">
        <v>0</v>
      </c>
      <c r="I775" s="53">
        <v>0</v>
      </c>
      <c r="J775" s="53">
        <v>0</v>
      </c>
      <c r="K775" s="53">
        <v>0</v>
      </c>
      <c r="L775" s="53">
        <v>0</v>
      </c>
      <c r="M775" s="53">
        <v>0</v>
      </c>
      <c r="N775" s="53">
        <v>0</v>
      </c>
      <c r="O775" s="53">
        <v>0</v>
      </c>
      <c r="P775" s="53">
        <v>0</v>
      </c>
      <c r="Q775" s="53">
        <v>0</v>
      </c>
      <c r="R775" s="53">
        <v>0</v>
      </c>
    </row>
    <row r="776" spans="1:18" x14ac:dyDescent="0.25">
      <c r="A776" s="25" t="s">
        <v>482</v>
      </c>
      <c r="B776" s="26">
        <v>2012</v>
      </c>
      <c r="C776" s="74" t="s">
        <v>481</v>
      </c>
      <c r="D776" s="27">
        <v>0</v>
      </c>
      <c r="E776" s="53">
        <v>88536000</v>
      </c>
      <c r="F776" s="53">
        <v>88536000</v>
      </c>
      <c r="G776" s="53">
        <v>0</v>
      </c>
      <c r="H776" s="53">
        <v>0</v>
      </c>
      <c r="I776" s="53">
        <v>0</v>
      </c>
      <c r="J776" s="53">
        <v>0</v>
      </c>
      <c r="K776" s="53">
        <v>0</v>
      </c>
      <c r="L776" s="53">
        <v>0</v>
      </c>
      <c r="M776" s="53">
        <v>0</v>
      </c>
      <c r="N776" s="53">
        <v>88536000</v>
      </c>
      <c r="O776" s="53">
        <v>0</v>
      </c>
      <c r="P776" s="53">
        <v>0</v>
      </c>
      <c r="Q776" s="53">
        <v>0</v>
      </c>
      <c r="R776" s="53">
        <v>0</v>
      </c>
    </row>
    <row r="777" spans="1:18" x14ac:dyDescent="0.25">
      <c r="A777" s="25" t="s">
        <v>421</v>
      </c>
      <c r="B777" s="26">
        <v>2012</v>
      </c>
      <c r="C777" s="74" t="s">
        <v>420</v>
      </c>
      <c r="D777" s="27">
        <v>0</v>
      </c>
      <c r="E777" s="53">
        <v>3848550000</v>
      </c>
      <c r="F777" s="53">
        <v>3848550000</v>
      </c>
      <c r="G777" s="53">
        <v>0</v>
      </c>
      <c r="H777" s="53">
        <v>0</v>
      </c>
      <c r="I777" s="53">
        <v>0</v>
      </c>
      <c r="J777" s="53">
        <v>0</v>
      </c>
      <c r="K777" s="53">
        <v>0</v>
      </c>
      <c r="L777" s="53">
        <v>0</v>
      </c>
      <c r="M777" s="53">
        <v>0</v>
      </c>
      <c r="N777" s="53">
        <v>0</v>
      </c>
      <c r="O777" s="53">
        <v>3848550000</v>
      </c>
      <c r="P777" s="53">
        <v>0</v>
      </c>
      <c r="Q777" s="53">
        <v>0</v>
      </c>
      <c r="R777" s="53">
        <v>0</v>
      </c>
    </row>
    <row r="778" spans="1:18" x14ac:dyDescent="0.25">
      <c r="A778" s="25" t="s">
        <v>461</v>
      </c>
      <c r="B778" s="26">
        <v>2012</v>
      </c>
      <c r="C778" s="74" t="s">
        <v>460</v>
      </c>
      <c r="D778" s="27">
        <v>0</v>
      </c>
      <c r="E778" s="53">
        <v>84700000</v>
      </c>
      <c r="F778" s="53">
        <v>84700000</v>
      </c>
      <c r="G778" s="53">
        <v>0</v>
      </c>
      <c r="H778" s="53">
        <v>30000000</v>
      </c>
      <c r="I778" s="53">
        <v>0</v>
      </c>
      <c r="J778" s="53">
        <v>0</v>
      </c>
      <c r="K778" s="53">
        <v>0</v>
      </c>
      <c r="L778" s="53">
        <v>0</v>
      </c>
      <c r="M778" s="53">
        <v>53000000</v>
      </c>
      <c r="N778" s="53">
        <v>0</v>
      </c>
      <c r="O778" s="53">
        <v>0</v>
      </c>
      <c r="P778" s="53">
        <v>0</v>
      </c>
      <c r="Q778" s="53">
        <v>46400000</v>
      </c>
      <c r="R778" s="53">
        <v>-44700000</v>
      </c>
    </row>
    <row r="779" spans="1:18" x14ac:dyDescent="0.25">
      <c r="A779" s="25" t="s">
        <v>49</v>
      </c>
      <c r="B779" s="26">
        <v>2012</v>
      </c>
      <c r="C779" s="74" t="s">
        <v>48</v>
      </c>
      <c r="D779" s="27">
        <v>0</v>
      </c>
      <c r="E779" s="53">
        <v>500461309000</v>
      </c>
      <c r="F779" s="53">
        <v>500461309000</v>
      </c>
      <c r="G779" s="53">
        <v>0</v>
      </c>
      <c r="H779" s="53">
        <v>24913742816.990002</v>
      </c>
      <c r="I779" s="53">
        <v>48435789467.389999</v>
      </c>
      <c r="J779" s="53">
        <v>41200789091.330002</v>
      </c>
      <c r="K779" s="53">
        <v>8106182926.96</v>
      </c>
      <c r="L779" s="53">
        <v>60362081531.699997</v>
      </c>
      <c r="M779" s="53">
        <v>6590632063.8000002</v>
      </c>
      <c r="N779" s="53">
        <v>16395423369.92</v>
      </c>
      <c r="O779" s="53">
        <v>22843071463.529999</v>
      </c>
      <c r="P779" s="53">
        <v>34787955135.150002</v>
      </c>
      <c r="Q779" s="53">
        <v>55964323533.849998</v>
      </c>
      <c r="R779" s="53">
        <v>74535538764.330002</v>
      </c>
    </row>
    <row r="780" spans="1:18" x14ac:dyDescent="0.25">
      <c r="A780" s="25" t="s">
        <v>43</v>
      </c>
      <c r="B780" s="26">
        <v>2012</v>
      </c>
      <c r="C780" s="74" t="s">
        <v>42</v>
      </c>
      <c r="D780" s="27">
        <v>0</v>
      </c>
      <c r="E780" s="53">
        <v>2156309493161</v>
      </c>
      <c r="F780" s="53">
        <v>2156309493161</v>
      </c>
      <c r="G780" s="53">
        <v>22341248053.369999</v>
      </c>
      <c r="H780" s="53">
        <v>193480575850</v>
      </c>
      <c r="I780" s="53">
        <v>215345330053.12</v>
      </c>
      <c r="J780" s="53">
        <v>135822119179.3</v>
      </c>
      <c r="K780" s="53">
        <v>152666928684</v>
      </c>
      <c r="L780" s="53">
        <v>180761874600</v>
      </c>
      <c r="M780" s="53">
        <v>140572189582.62</v>
      </c>
      <c r="N780" s="53">
        <v>177682426520</v>
      </c>
      <c r="O780" s="53">
        <v>162105499109.84</v>
      </c>
      <c r="P780" s="53">
        <v>231508278741.64999</v>
      </c>
      <c r="Q780" s="53">
        <v>136895944750</v>
      </c>
      <c r="R780" s="53">
        <v>165082841268.14001</v>
      </c>
    </row>
    <row r="781" spans="1:18" x14ac:dyDescent="0.25">
      <c r="A781" s="25" t="s">
        <v>457</v>
      </c>
      <c r="B781" s="26">
        <v>2012</v>
      </c>
      <c r="C781" s="74" t="s">
        <v>456</v>
      </c>
      <c r="D781" s="27">
        <v>0</v>
      </c>
      <c r="E781" s="54">
        <v>1717520855.2</v>
      </c>
      <c r="F781" s="53">
        <v>0</v>
      </c>
      <c r="G781" s="53">
        <v>0</v>
      </c>
      <c r="H781" s="53">
        <v>0</v>
      </c>
      <c r="I781" s="53">
        <v>0</v>
      </c>
      <c r="J781" s="53">
        <v>0</v>
      </c>
      <c r="K781" s="53">
        <v>0</v>
      </c>
      <c r="L781" s="53">
        <v>0</v>
      </c>
      <c r="M781" s="53">
        <v>0</v>
      </c>
      <c r="N781" s="53">
        <v>0</v>
      </c>
      <c r="O781" s="53">
        <v>0</v>
      </c>
      <c r="P781" s="53">
        <v>0</v>
      </c>
      <c r="Q781" s="53">
        <v>0</v>
      </c>
      <c r="R781" s="53">
        <v>0</v>
      </c>
    </row>
    <row r="782" spans="1:18" x14ac:dyDescent="0.25">
      <c r="A782" s="25" t="s">
        <v>41</v>
      </c>
      <c r="B782" s="26">
        <v>2012</v>
      </c>
      <c r="C782" s="74" t="s">
        <v>40</v>
      </c>
      <c r="D782" s="27">
        <v>0</v>
      </c>
      <c r="E782" s="54">
        <v>20094053814.700001</v>
      </c>
      <c r="F782" s="53">
        <v>729629958.04999995</v>
      </c>
      <c r="G782" s="53">
        <v>0</v>
      </c>
      <c r="H782" s="53">
        <v>0</v>
      </c>
      <c r="I782" s="53">
        <v>0</v>
      </c>
      <c r="J782" s="53">
        <v>0</v>
      </c>
      <c r="K782" s="53">
        <v>0</v>
      </c>
      <c r="L782" s="53">
        <v>0</v>
      </c>
      <c r="M782" s="53">
        <v>0</v>
      </c>
      <c r="N782" s="53">
        <v>729629958.04999995</v>
      </c>
      <c r="O782" s="53">
        <v>0</v>
      </c>
      <c r="P782" s="53">
        <v>0</v>
      </c>
      <c r="Q782" s="53">
        <v>0</v>
      </c>
      <c r="R782" s="53">
        <v>0</v>
      </c>
    </row>
    <row r="783" spans="1:18" x14ac:dyDescent="0.25">
      <c r="A783" s="25" t="s">
        <v>419</v>
      </c>
      <c r="B783" s="26">
        <v>2012</v>
      </c>
      <c r="C783" s="74" t="s">
        <v>418</v>
      </c>
      <c r="D783" s="27">
        <v>0</v>
      </c>
      <c r="E783" s="54">
        <v>8438441448.4399996</v>
      </c>
      <c r="F783" s="53">
        <v>3484812159.5100002</v>
      </c>
      <c r="G783" s="53">
        <v>0</v>
      </c>
      <c r="H783" s="53">
        <v>76926208.010000005</v>
      </c>
      <c r="I783" s="53">
        <v>711517818.78999996</v>
      </c>
      <c r="J783" s="53">
        <v>0</v>
      </c>
      <c r="K783" s="53">
        <v>651304865.22000003</v>
      </c>
      <c r="L783" s="53">
        <v>293798668.51999998</v>
      </c>
      <c r="M783" s="53">
        <v>216308613.5</v>
      </c>
      <c r="N783" s="53">
        <v>316922930.79000002</v>
      </c>
      <c r="O783" s="53">
        <v>259334054.06</v>
      </c>
      <c r="P783" s="53">
        <v>255059058.61000001</v>
      </c>
      <c r="Q783" s="53">
        <v>463447225.04000002</v>
      </c>
      <c r="R783" s="53">
        <v>240192716.97</v>
      </c>
    </row>
    <row r="784" spans="1:18" x14ac:dyDescent="0.25">
      <c r="A784" s="25" t="s">
        <v>455</v>
      </c>
      <c r="B784" s="26">
        <v>2012</v>
      </c>
      <c r="C784" s="74" t="s">
        <v>454</v>
      </c>
      <c r="D784" s="27">
        <v>0</v>
      </c>
      <c r="E784" s="54">
        <v>1251952882.5</v>
      </c>
      <c r="F784" s="53">
        <v>5034200</v>
      </c>
      <c r="G784" s="53">
        <v>0</v>
      </c>
      <c r="H784" s="53">
        <v>0</v>
      </c>
      <c r="I784" s="53">
        <v>0</v>
      </c>
      <c r="J784" s="53">
        <v>0</v>
      </c>
      <c r="K784" s="53">
        <v>0</v>
      </c>
      <c r="L784" s="53">
        <v>5034200</v>
      </c>
      <c r="M784" s="53">
        <v>0</v>
      </c>
      <c r="N784" s="53">
        <v>0</v>
      </c>
      <c r="O784" s="53">
        <v>0</v>
      </c>
      <c r="P784" s="53">
        <v>0</v>
      </c>
      <c r="Q784" s="53">
        <v>0</v>
      </c>
      <c r="R784" s="53">
        <v>0</v>
      </c>
    </row>
    <row r="785" spans="1:18" x14ac:dyDescent="0.25">
      <c r="A785" s="25" t="s">
        <v>480</v>
      </c>
      <c r="B785" s="26">
        <v>2012</v>
      </c>
      <c r="C785" s="74" t="s">
        <v>479</v>
      </c>
      <c r="D785" s="27">
        <v>0</v>
      </c>
      <c r="E785" s="54">
        <v>0</v>
      </c>
      <c r="F785" s="53">
        <v>0</v>
      </c>
      <c r="G785" s="53">
        <v>0</v>
      </c>
      <c r="H785" s="53">
        <v>0</v>
      </c>
      <c r="I785" s="53">
        <v>0</v>
      </c>
      <c r="J785" s="53">
        <v>0</v>
      </c>
      <c r="K785" s="53">
        <v>0</v>
      </c>
      <c r="L785" s="53">
        <v>0</v>
      </c>
      <c r="M785" s="53">
        <v>0</v>
      </c>
      <c r="N785" s="53">
        <v>0</v>
      </c>
      <c r="O785" s="53">
        <v>0</v>
      </c>
      <c r="P785" s="53">
        <v>0</v>
      </c>
      <c r="Q785" s="53">
        <v>0</v>
      </c>
      <c r="R785" s="53">
        <v>0</v>
      </c>
    </row>
    <row r="786" spans="1:18" x14ac:dyDescent="0.25">
      <c r="A786" s="25" t="s">
        <v>478</v>
      </c>
      <c r="B786" s="26">
        <v>2012</v>
      </c>
      <c r="C786" s="74" t="s">
        <v>477</v>
      </c>
      <c r="D786" s="27">
        <v>0</v>
      </c>
      <c r="E786" s="54">
        <v>0</v>
      </c>
      <c r="F786" s="53">
        <v>0</v>
      </c>
      <c r="G786" s="53">
        <v>0</v>
      </c>
      <c r="H786" s="53">
        <v>0</v>
      </c>
      <c r="I786" s="53">
        <v>0</v>
      </c>
      <c r="J786" s="53">
        <v>0</v>
      </c>
      <c r="K786" s="53">
        <v>0</v>
      </c>
      <c r="L786" s="53">
        <v>0</v>
      </c>
      <c r="M786" s="53">
        <v>0</v>
      </c>
      <c r="N786" s="53">
        <v>0</v>
      </c>
      <c r="O786" s="53">
        <v>0</v>
      </c>
      <c r="P786" s="53">
        <v>0</v>
      </c>
      <c r="Q786" s="53">
        <v>0</v>
      </c>
      <c r="R786" s="53">
        <v>0</v>
      </c>
    </row>
    <row r="787" spans="1:18" x14ac:dyDescent="0.25">
      <c r="A787" s="25" t="s">
        <v>37</v>
      </c>
      <c r="B787" s="26">
        <v>2012</v>
      </c>
      <c r="C787" s="74" t="s">
        <v>36</v>
      </c>
      <c r="D787" s="27">
        <v>0</v>
      </c>
      <c r="E787" s="54">
        <v>4916361320.2000008</v>
      </c>
      <c r="F787" s="53">
        <v>413859359.58999997</v>
      </c>
      <c r="G787" s="53">
        <v>0</v>
      </c>
      <c r="H787" s="53">
        <v>26726042</v>
      </c>
      <c r="I787" s="53">
        <v>7430533</v>
      </c>
      <c r="J787" s="53">
        <v>21221529</v>
      </c>
      <c r="K787" s="53">
        <v>20317210.600000001</v>
      </c>
      <c r="L787" s="53">
        <v>6587849.5999999996</v>
      </c>
      <c r="M787" s="53">
        <v>64404439.899999999</v>
      </c>
      <c r="N787" s="53">
        <v>10656529</v>
      </c>
      <c r="O787" s="53">
        <v>13914160.43</v>
      </c>
      <c r="P787" s="53">
        <v>41208204.990000002</v>
      </c>
      <c r="Q787" s="53">
        <v>44784868.460000001</v>
      </c>
      <c r="R787" s="53">
        <v>156607992.61000001</v>
      </c>
    </row>
    <row r="788" spans="1:18" x14ac:dyDescent="0.25">
      <c r="A788" s="25" t="s">
        <v>35</v>
      </c>
      <c r="B788" s="26">
        <v>2012</v>
      </c>
      <c r="C788" s="74" t="s">
        <v>34</v>
      </c>
      <c r="D788" s="27">
        <v>0</v>
      </c>
      <c r="E788" s="54">
        <v>145408000000</v>
      </c>
      <c r="F788" s="53">
        <v>0</v>
      </c>
      <c r="G788" s="53">
        <v>0</v>
      </c>
      <c r="H788" s="53">
        <v>0</v>
      </c>
      <c r="I788" s="53">
        <v>0</v>
      </c>
      <c r="J788" s="53">
        <v>0</v>
      </c>
      <c r="K788" s="53">
        <v>0</v>
      </c>
      <c r="L788" s="53">
        <v>0</v>
      </c>
      <c r="M788" s="53">
        <v>0</v>
      </c>
      <c r="N788" s="53">
        <v>0</v>
      </c>
      <c r="O788" s="53">
        <v>0</v>
      </c>
      <c r="P788" s="53">
        <v>0</v>
      </c>
      <c r="Q788" s="53">
        <v>0</v>
      </c>
      <c r="R788" s="53">
        <v>0</v>
      </c>
    </row>
    <row r="789" spans="1:18" x14ac:dyDescent="0.25">
      <c r="A789" s="25" t="s">
        <v>33</v>
      </c>
      <c r="B789" s="26">
        <v>2012</v>
      </c>
      <c r="C789" s="74" t="s">
        <v>32</v>
      </c>
      <c r="D789" s="27">
        <v>0</v>
      </c>
      <c r="E789" s="54">
        <v>30435000000</v>
      </c>
      <c r="F789" s="53">
        <v>0</v>
      </c>
      <c r="G789" s="53">
        <v>0</v>
      </c>
      <c r="H789" s="53">
        <v>0</v>
      </c>
      <c r="I789" s="53">
        <v>0</v>
      </c>
      <c r="J789" s="53">
        <v>0</v>
      </c>
      <c r="K789" s="53">
        <v>0</v>
      </c>
      <c r="L789" s="53">
        <v>0</v>
      </c>
      <c r="M789" s="53">
        <v>0</v>
      </c>
      <c r="N789" s="53">
        <v>0</v>
      </c>
      <c r="O789" s="53">
        <v>0</v>
      </c>
      <c r="P789" s="53">
        <v>0</v>
      </c>
      <c r="Q789" s="53">
        <v>0</v>
      </c>
      <c r="R789" s="53">
        <v>0</v>
      </c>
    </row>
    <row r="790" spans="1:18" x14ac:dyDescent="0.25">
      <c r="A790" s="25" t="s">
        <v>31</v>
      </c>
      <c r="B790" s="26">
        <v>2012</v>
      </c>
      <c r="C790" s="74" t="s">
        <v>30</v>
      </c>
      <c r="D790" s="27">
        <v>0</v>
      </c>
      <c r="E790" s="54">
        <v>9637750000</v>
      </c>
      <c r="F790" s="53">
        <v>0</v>
      </c>
      <c r="G790" s="53">
        <v>0</v>
      </c>
      <c r="H790" s="53">
        <v>0</v>
      </c>
      <c r="I790" s="53">
        <v>0</v>
      </c>
      <c r="J790" s="53">
        <v>0</v>
      </c>
      <c r="K790" s="53">
        <v>0</v>
      </c>
      <c r="L790" s="53">
        <v>0</v>
      </c>
      <c r="M790" s="53">
        <v>0</v>
      </c>
      <c r="N790" s="53">
        <v>0</v>
      </c>
      <c r="O790" s="53">
        <v>0</v>
      </c>
      <c r="P790" s="53">
        <v>0</v>
      </c>
      <c r="Q790" s="53">
        <v>0</v>
      </c>
      <c r="R790" s="53">
        <v>0</v>
      </c>
    </row>
    <row r="791" spans="1:18" x14ac:dyDescent="0.25">
      <c r="A791" s="25" t="s">
        <v>29</v>
      </c>
      <c r="B791" s="26">
        <v>2012</v>
      </c>
      <c r="C791" s="74" t="s">
        <v>28</v>
      </c>
      <c r="D791" s="27">
        <v>0</v>
      </c>
      <c r="E791" s="54">
        <v>67180753047.5</v>
      </c>
      <c r="F791" s="53">
        <v>0</v>
      </c>
      <c r="G791" s="53">
        <v>0</v>
      </c>
      <c r="H791" s="53">
        <v>0</v>
      </c>
      <c r="I791" s="53">
        <v>0</v>
      </c>
      <c r="J791" s="53">
        <v>0</v>
      </c>
      <c r="K791" s="53">
        <v>0</v>
      </c>
      <c r="L791" s="53">
        <v>0</v>
      </c>
      <c r="M791" s="53">
        <v>0</v>
      </c>
      <c r="N791" s="53">
        <v>0</v>
      </c>
      <c r="O791" s="53">
        <v>0</v>
      </c>
      <c r="P791" s="53">
        <v>0</v>
      </c>
      <c r="Q791" s="53">
        <v>0</v>
      </c>
      <c r="R791" s="53">
        <v>0</v>
      </c>
    </row>
    <row r="792" spans="1:18" x14ac:dyDescent="0.25">
      <c r="A792" s="25" t="s">
        <v>476</v>
      </c>
      <c r="B792" s="26">
        <v>2012</v>
      </c>
      <c r="C792" s="74" t="s">
        <v>475</v>
      </c>
      <c r="D792" s="27">
        <v>0</v>
      </c>
      <c r="E792" s="54">
        <v>0</v>
      </c>
      <c r="F792" s="53">
        <v>0</v>
      </c>
      <c r="G792" s="53">
        <v>0</v>
      </c>
      <c r="H792" s="53">
        <v>0</v>
      </c>
      <c r="I792" s="53">
        <v>0</v>
      </c>
      <c r="J792" s="53">
        <v>0</v>
      </c>
      <c r="K792" s="53">
        <v>0</v>
      </c>
      <c r="L792" s="53">
        <v>0</v>
      </c>
      <c r="M792" s="53">
        <v>0</v>
      </c>
      <c r="N792" s="53">
        <v>0</v>
      </c>
      <c r="O792" s="53">
        <v>0</v>
      </c>
      <c r="P792" s="53">
        <v>0</v>
      </c>
      <c r="Q792" s="53">
        <v>0</v>
      </c>
      <c r="R792" s="53">
        <v>0</v>
      </c>
    </row>
    <row r="793" spans="1:18" x14ac:dyDescent="0.25">
      <c r="A793" s="25" t="s">
        <v>383</v>
      </c>
      <c r="B793" s="26">
        <v>2012</v>
      </c>
      <c r="C793" s="74" t="s">
        <v>382</v>
      </c>
      <c r="D793" s="27">
        <v>0</v>
      </c>
      <c r="E793" s="54">
        <v>8296653885.3299999</v>
      </c>
      <c r="F793" s="53">
        <v>1800317362.24</v>
      </c>
      <c r="G793" s="53">
        <v>0</v>
      </c>
      <c r="H793" s="53">
        <v>854604997.09000003</v>
      </c>
      <c r="I793" s="53">
        <v>0</v>
      </c>
      <c r="J793" s="53">
        <v>0</v>
      </c>
      <c r="K793" s="53">
        <v>349566338.69999999</v>
      </c>
      <c r="L793" s="53">
        <v>0</v>
      </c>
      <c r="M793" s="53">
        <v>0</v>
      </c>
      <c r="N793" s="53">
        <v>0</v>
      </c>
      <c r="O793" s="53">
        <v>283909880.77999997</v>
      </c>
      <c r="P793" s="53">
        <v>0</v>
      </c>
      <c r="Q793" s="53">
        <v>0</v>
      </c>
      <c r="R793" s="53">
        <v>312236145.67000002</v>
      </c>
    </row>
    <row r="794" spans="1:18" x14ac:dyDescent="0.25">
      <c r="A794" s="25" t="s">
        <v>381</v>
      </c>
      <c r="B794" s="26">
        <v>2012</v>
      </c>
      <c r="C794" s="74" t="s">
        <v>380</v>
      </c>
      <c r="D794" s="27">
        <v>0</v>
      </c>
      <c r="E794" s="54">
        <v>9746388952.3299999</v>
      </c>
      <c r="F794" s="53">
        <v>1508606315.8299999</v>
      </c>
      <c r="G794" s="53">
        <v>0</v>
      </c>
      <c r="H794" s="53">
        <v>0</v>
      </c>
      <c r="I794" s="53">
        <v>0</v>
      </c>
      <c r="J794" s="53">
        <v>0</v>
      </c>
      <c r="K794" s="53">
        <v>0</v>
      </c>
      <c r="L794" s="53">
        <v>0</v>
      </c>
      <c r="M794" s="53">
        <v>0</v>
      </c>
      <c r="N794" s="53">
        <v>0</v>
      </c>
      <c r="O794" s="53">
        <v>0</v>
      </c>
      <c r="P794" s="53">
        <v>0</v>
      </c>
      <c r="Q794" s="53">
        <v>0</v>
      </c>
      <c r="R794" s="53">
        <v>1508606315.8299999</v>
      </c>
    </row>
    <row r="795" spans="1:18" x14ac:dyDescent="0.25">
      <c r="A795" s="25" t="s">
        <v>15</v>
      </c>
      <c r="B795" s="26">
        <v>2012</v>
      </c>
      <c r="C795" s="74" t="s">
        <v>14</v>
      </c>
      <c r="D795" s="27">
        <v>0</v>
      </c>
      <c r="E795" s="54">
        <v>5908079619.8999996</v>
      </c>
      <c r="F795" s="53">
        <v>0</v>
      </c>
      <c r="G795" s="53">
        <v>0</v>
      </c>
      <c r="H795" s="53">
        <v>0</v>
      </c>
      <c r="I795" s="53">
        <v>0</v>
      </c>
      <c r="J795" s="53">
        <v>0</v>
      </c>
      <c r="K795" s="53">
        <v>0</v>
      </c>
      <c r="L795" s="53">
        <v>0</v>
      </c>
      <c r="M795" s="53">
        <v>0</v>
      </c>
      <c r="N795" s="53">
        <v>0</v>
      </c>
      <c r="O795" s="53">
        <v>0</v>
      </c>
      <c r="P795" s="53">
        <v>0</v>
      </c>
      <c r="Q795" s="53">
        <v>0</v>
      </c>
      <c r="R795" s="53">
        <v>0</v>
      </c>
    </row>
    <row r="796" spans="1:18" x14ac:dyDescent="0.25">
      <c r="A796" s="25" t="s">
        <v>417</v>
      </c>
      <c r="B796" s="26">
        <v>2012</v>
      </c>
      <c r="C796" s="74" t="s">
        <v>416</v>
      </c>
      <c r="D796" s="27">
        <v>0</v>
      </c>
      <c r="E796" s="54">
        <v>40387275000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3">
        <v>0</v>
      </c>
      <c r="L796" s="53">
        <v>0</v>
      </c>
      <c r="M796" s="53">
        <v>0</v>
      </c>
      <c r="N796" s="53">
        <v>0</v>
      </c>
      <c r="O796" s="53">
        <v>0</v>
      </c>
      <c r="P796" s="53">
        <v>0</v>
      </c>
      <c r="Q796" s="53">
        <v>0</v>
      </c>
      <c r="R796" s="53">
        <v>0</v>
      </c>
    </row>
    <row r="797" spans="1:18" x14ac:dyDescent="0.25">
      <c r="A797" s="25" t="s">
        <v>10</v>
      </c>
      <c r="B797" s="26">
        <v>2012</v>
      </c>
      <c r="C797" s="74" t="s">
        <v>9</v>
      </c>
      <c r="D797" s="27">
        <v>0</v>
      </c>
      <c r="E797" s="54">
        <v>66668000438.029999</v>
      </c>
      <c r="F797" s="53">
        <v>3167540073.8400002</v>
      </c>
      <c r="G797" s="53">
        <v>0</v>
      </c>
      <c r="H797" s="53">
        <v>89784677.379999995</v>
      </c>
      <c r="I797" s="53">
        <v>322269495.77999997</v>
      </c>
      <c r="J797" s="53">
        <v>378563329.85000002</v>
      </c>
      <c r="K797" s="53">
        <v>135829369.18000001</v>
      </c>
      <c r="L797" s="53">
        <v>36677104.560000002</v>
      </c>
      <c r="M797" s="53">
        <v>0</v>
      </c>
      <c r="N797" s="53">
        <v>216215692.15000001</v>
      </c>
      <c r="O797" s="53">
        <v>0</v>
      </c>
      <c r="P797" s="53">
        <v>0</v>
      </c>
      <c r="Q797" s="53">
        <v>0</v>
      </c>
      <c r="R797" s="53">
        <v>1988200404.9400001</v>
      </c>
    </row>
    <row r="798" spans="1:18" x14ac:dyDescent="0.25">
      <c r="A798" s="25" t="s">
        <v>8</v>
      </c>
      <c r="B798" s="26">
        <v>2012</v>
      </c>
      <c r="C798" s="74" t="s">
        <v>7</v>
      </c>
      <c r="D798" s="27">
        <v>0</v>
      </c>
      <c r="E798" s="54">
        <v>27066822500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3">
        <v>0</v>
      </c>
      <c r="L798" s="53">
        <v>0</v>
      </c>
      <c r="M798" s="53">
        <v>0</v>
      </c>
      <c r="N798" s="53">
        <v>0</v>
      </c>
      <c r="O798" s="53">
        <v>0</v>
      </c>
      <c r="P798" s="53">
        <v>0</v>
      </c>
      <c r="Q798" s="53">
        <v>0</v>
      </c>
      <c r="R798" s="53">
        <v>0</v>
      </c>
    </row>
    <row r="799" spans="1:18" x14ac:dyDescent="0.25">
      <c r="A799" s="25" t="s">
        <v>474</v>
      </c>
      <c r="B799" s="26">
        <v>2012</v>
      </c>
      <c r="C799" s="74" t="s">
        <v>473</v>
      </c>
      <c r="D799" s="27">
        <v>0</v>
      </c>
      <c r="E799" s="54">
        <v>0</v>
      </c>
      <c r="F799" s="53">
        <v>0</v>
      </c>
      <c r="G799" s="53">
        <v>0</v>
      </c>
      <c r="H799" s="53">
        <v>0</v>
      </c>
      <c r="I799" s="53">
        <v>0</v>
      </c>
      <c r="J799" s="53">
        <v>0</v>
      </c>
      <c r="K799" s="53">
        <v>0</v>
      </c>
      <c r="L799" s="53">
        <v>0</v>
      </c>
      <c r="M799" s="53">
        <v>0</v>
      </c>
      <c r="N799" s="53">
        <v>0</v>
      </c>
      <c r="O799" s="53">
        <v>0</v>
      </c>
      <c r="P799" s="53">
        <v>0</v>
      </c>
      <c r="Q799" s="53">
        <v>0</v>
      </c>
      <c r="R799" s="53">
        <v>0</v>
      </c>
    </row>
    <row r="800" spans="1:18" x14ac:dyDescent="0.25">
      <c r="A800" s="25" t="s">
        <v>453</v>
      </c>
      <c r="B800" s="26">
        <v>2012</v>
      </c>
      <c r="C800" s="74" t="s">
        <v>452</v>
      </c>
      <c r="D800" s="27">
        <v>0</v>
      </c>
      <c r="E800" s="54">
        <v>717418283.76999998</v>
      </c>
      <c r="F800" s="53">
        <v>0</v>
      </c>
      <c r="G800" s="53">
        <v>0</v>
      </c>
      <c r="H800" s="53">
        <v>0</v>
      </c>
      <c r="I800" s="53">
        <v>0</v>
      </c>
      <c r="J800" s="53">
        <v>0</v>
      </c>
      <c r="K800" s="53">
        <v>0</v>
      </c>
      <c r="L800" s="53">
        <v>0</v>
      </c>
      <c r="M800" s="53">
        <v>0</v>
      </c>
      <c r="N800" s="53">
        <v>0</v>
      </c>
      <c r="O800" s="53">
        <v>0</v>
      </c>
      <c r="P800" s="53">
        <v>0</v>
      </c>
      <c r="Q800" s="53">
        <v>0</v>
      </c>
      <c r="R800" s="53">
        <v>0</v>
      </c>
    </row>
    <row r="801" spans="1:18" x14ac:dyDescent="0.25">
      <c r="A801" s="25" t="s">
        <v>3</v>
      </c>
      <c r="B801" s="26">
        <v>2012</v>
      </c>
      <c r="C801" s="74" t="s">
        <v>0</v>
      </c>
      <c r="D801" s="27">
        <v>0</v>
      </c>
      <c r="E801" s="54">
        <v>2944625728.6700001</v>
      </c>
      <c r="F801" s="53">
        <v>624735867.91999996</v>
      </c>
      <c r="G801" s="53">
        <v>0</v>
      </c>
      <c r="H801" s="53">
        <v>0</v>
      </c>
      <c r="I801" s="53">
        <v>599994088.33000004</v>
      </c>
      <c r="J801" s="53">
        <v>-608216.71</v>
      </c>
      <c r="K801" s="53">
        <v>0</v>
      </c>
      <c r="L801" s="53">
        <v>0</v>
      </c>
      <c r="M801" s="53">
        <v>0</v>
      </c>
      <c r="N801" s="53">
        <v>0</v>
      </c>
      <c r="O801" s="53">
        <v>25349996.300000001</v>
      </c>
      <c r="P801" s="53">
        <v>0</v>
      </c>
      <c r="Q801" s="53">
        <v>0</v>
      </c>
      <c r="R801" s="53">
        <v>0</v>
      </c>
    </row>
    <row r="802" spans="1:18" x14ac:dyDescent="0.25">
      <c r="A802" s="25" t="s">
        <v>415</v>
      </c>
      <c r="B802" s="26">
        <v>2012</v>
      </c>
      <c r="C802" s="74" t="s">
        <v>414</v>
      </c>
      <c r="D802" s="27">
        <v>0</v>
      </c>
      <c r="E802" s="53">
        <v>50526260000</v>
      </c>
      <c r="F802" s="53">
        <v>50526260000</v>
      </c>
      <c r="G802" s="53">
        <v>0</v>
      </c>
      <c r="H802" s="53">
        <v>0</v>
      </c>
      <c r="I802" s="53">
        <v>0</v>
      </c>
      <c r="J802" s="53">
        <v>0</v>
      </c>
      <c r="K802" s="53">
        <v>0</v>
      </c>
      <c r="L802" s="53">
        <v>0</v>
      </c>
      <c r="M802" s="53">
        <v>0</v>
      </c>
      <c r="N802" s="53">
        <v>0</v>
      </c>
      <c r="O802" s="53">
        <v>0</v>
      </c>
      <c r="P802" s="53">
        <v>0</v>
      </c>
      <c r="Q802" s="53">
        <v>0</v>
      </c>
      <c r="R802" s="53">
        <v>50113678775.449997</v>
      </c>
    </row>
    <row r="803" spans="1:18" x14ac:dyDescent="0.25">
      <c r="A803" s="25" t="s">
        <v>436</v>
      </c>
      <c r="B803" s="26">
        <v>2012</v>
      </c>
      <c r="C803" s="74" t="s">
        <v>435</v>
      </c>
      <c r="D803" s="27">
        <v>0</v>
      </c>
      <c r="E803" s="53">
        <v>150000000</v>
      </c>
      <c r="F803" s="53">
        <v>150000000</v>
      </c>
      <c r="G803" s="53">
        <v>0</v>
      </c>
      <c r="H803" s="53">
        <v>0</v>
      </c>
      <c r="I803" s="53">
        <v>0</v>
      </c>
      <c r="J803" s="53">
        <v>0</v>
      </c>
      <c r="K803" s="53">
        <v>0</v>
      </c>
      <c r="L803" s="53">
        <v>150000000</v>
      </c>
      <c r="M803" s="53">
        <v>0</v>
      </c>
      <c r="N803" s="53">
        <v>0</v>
      </c>
      <c r="O803" s="53">
        <v>0</v>
      </c>
      <c r="P803" s="53">
        <v>0</v>
      </c>
      <c r="Q803" s="53">
        <v>0</v>
      </c>
      <c r="R803" s="53">
        <v>0</v>
      </c>
    </row>
    <row r="804" spans="1:18" x14ac:dyDescent="0.25">
      <c r="A804" s="25" t="s">
        <v>360</v>
      </c>
      <c r="B804" s="26">
        <v>2013</v>
      </c>
      <c r="C804" s="74" t="s">
        <v>359</v>
      </c>
      <c r="D804" s="27">
        <v>0</v>
      </c>
      <c r="E804" s="53">
        <v>171000000000</v>
      </c>
      <c r="F804" s="53">
        <v>171000000000</v>
      </c>
      <c r="G804" s="53">
        <v>10716011324.73</v>
      </c>
      <c r="H804" s="53">
        <v>11862986437.17</v>
      </c>
      <c r="I804" s="53">
        <v>12398244474.690001</v>
      </c>
      <c r="J804" s="53">
        <v>14328902543.629999</v>
      </c>
      <c r="K804" s="53">
        <v>13866225253.08</v>
      </c>
      <c r="L804" s="53">
        <v>21171681968.25</v>
      </c>
      <c r="M804" s="53">
        <v>15931724663.85</v>
      </c>
      <c r="N804" s="53">
        <v>14804158434.26</v>
      </c>
      <c r="O804" s="53">
        <v>15974605417.91</v>
      </c>
      <c r="P804" s="53">
        <v>15062638657.4</v>
      </c>
      <c r="Q804" s="53">
        <v>15873668294.030001</v>
      </c>
      <c r="R804" s="53">
        <v>15521059831.85</v>
      </c>
    </row>
    <row r="805" spans="1:18" x14ac:dyDescent="0.25">
      <c r="A805" s="25" t="s">
        <v>358</v>
      </c>
      <c r="B805" s="26">
        <v>2013</v>
      </c>
      <c r="C805" s="74" t="s">
        <v>357</v>
      </c>
      <c r="D805" s="27">
        <v>0</v>
      </c>
      <c r="E805" s="53">
        <v>111000000000</v>
      </c>
      <c r="F805" s="53">
        <v>111000000000</v>
      </c>
      <c r="G805" s="53">
        <v>9213601488.2900009</v>
      </c>
      <c r="H805" s="53">
        <v>8460708079.2399998</v>
      </c>
      <c r="I805" s="53">
        <v>9382956477.9400005</v>
      </c>
      <c r="J805" s="53">
        <v>20102378800.169998</v>
      </c>
      <c r="K805" s="53">
        <v>16289638453.690001</v>
      </c>
      <c r="L805" s="53">
        <v>-9041700493.9699993</v>
      </c>
      <c r="M805" s="53">
        <v>8614857231.8999996</v>
      </c>
      <c r="N805" s="53">
        <v>8547936592.5</v>
      </c>
      <c r="O805" s="53">
        <v>8790419212.5799999</v>
      </c>
      <c r="P805" s="53">
        <v>9334643174.8199997</v>
      </c>
      <c r="Q805" s="53">
        <v>8587450152.5100002</v>
      </c>
      <c r="R805" s="53">
        <v>8349846445.9399996</v>
      </c>
    </row>
    <row r="806" spans="1:18" x14ac:dyDescent="0.25">
      <c r="A806" s="25" t="s">
        <v>356</v>
      </c>
      <c r="B806" s="26">
        <v>2013</v>
      </c>
      <c r="C806" s="74" t="s">
        <v>355</v>
      </c>
      <c r="D806" s="27">
        <v>0</v>
      </c>
      <c r="E806" s="53">
        <v>50000000000</v>
      </c>
      <c r="F806" s="53">
        <v>50000000000</v>
      </c>
      <c r="G806" s="53">
        <v>912916768.20000005</v>
      </c>
      <c r="H806" s="53">
        <v>436475681.81</v>
      </c>
      <c r="I806" s="53">
        <v>2554201990.27</v>
      </c>
      <c r="J806" s="53">
        <v>6587566933.3400002</v>
      </c>
      <c r="K806" s="53">
        <v>6316578714.6400003</v>
      </c>
      <c r="L806" s="53">
        <v>-6981881525.8299999</v>
      </c>
      <c r="M806" s="53">
        <v>2261048971.1799998</v>
      </c>
      <c r="N806" s="53">
        <v>605563145.89999998</v>
      </c>
      <c r="O806" s="53">
        <v>2184583295.5</v>
      </c>
      <c r="P806" s="53">
        <v>2275221850.1700001</v>
      </c>
      <c r="Q806" s="53">
        <v>1480601446</v>
      </c>
      <c r="R806" s="53">
        <v>14116192191.700001</v>
      </c>
    </row>
    <row r="807" spans="1:18" x14ac:dyDescent="0.25">
      <c r="A807" s="25" t="s">
        <v>353</v>
      </c>
      <c r="B807" s="26">
        <v>2013</v>
      </c>
      <c r="C807" s="74" t="s">
        <v>352</v>
      </c>
      <c r="D807" s="27">
        <v>0</v>
      </c>
      <c r="E807" s="53">
        <v>61400000000</v>
      </c>
      <c r="F807" s="53">
        <v>61400000000</v>
      </c>
      <c r="G807" s="53">
        <v>4100489991.4699998</v>
      </c>
      <c r="H807" s="53">
        <v>2335112331</v>
      </c>
      <c r="I807" s="53">
        <v>8771813282.8700008</v>
      </c>
      <c r="J807" s="53">
        <v>4502534467.79</v>
      </c>
      <c r="K807" s="53">
        <v>3566994382.25</v>
      </c>
      <c r="L807" s="53">
        <v>8260158959.7200003</v>
      </c>
      <c r="M807" s="53">
        <v>19085028692.419998</v>
      </c>
      <c r="N807" s="53">
        <v>3734756531.4400001</v>
      </c>
      <c r="O807" s="53">
        <v>10861282029.24</v>
      </c>
      <c r="P807" s="53">
        <v>4557825438.1499996</v>
      </c>
      <c r="Q807" s="53">
        <v>3818594756.1799998</v>
      </c>
      <c r="R807" s="53">
        <v>7610521980.0100002</v>
      </c>
    </row>
    <row r="808" spans="1:18" x14ac:dyDescent="0.25">
      <c r="A808" s="25" t="s">
        <v>351</v>
      </c>
      <c r="B808" s="26">
        <v>2013</v>
      </c>
      <c r="C808" s="74" t="s">
        <v>350</v>
      </c>
      <c r="D808" s="27">
        <v>0</v>
      </c>
      <c r="E808" s="53">
        <v>469130000000</v>
      </c>
      <c r="F808" s="53">
        <v>469130000000</v>
      </c>
      <c r="G808" s="53">
        <v>6445980116.2700005</v>
      </c>
      <c r="H808" s="53">
        <v>6355432348.9200001</v>
      </c>
      <c r="I808" s="53">
        <v>101372122591.24001</v>
      </c>
      <c r="J808" s="53">
        <v>-8055513711.7399998</v>
      </c>
      <c r="K808" s="53">
        <v>-10821578940.059999</v>
      </c>
      <c r="L808" s="53">
        <v>121335417987.77</v>
      </c>
      <c r="M808" s="53">
        <v>12437130527.5</v>
      </c>
      <c r="N808" s="53">
        <v>5451334881.0299997</v>
      </c>
      <c r="O808" s="53">
        <v>79239676296.149994</v>
      </c>
      <c r="P808" s="53">
        <v>16658477110.27</v>
      </c>
      <c r="Q808" s="53">
        <v>7100207016.3999996</v>
      </c>
      <c r="R808" s="53">
        <v>126332010526.31</v>
      </c>
    </row>
    <row r="809" spans="1:18" x14ac:dyDescent="0.25">
      <c r="A809" s="25" t="s">
        <v>348</v>
      </c>
      <c r="B809" s="26">
        <v>2013</v>
      </c>
      <c r="C809" s="74" t="s">
        <v>344</v>
      </c>
      <c r="D809" s="27">
        <v>0</v>
      </c>
      <c r="E809" s="53">
        <v>490000000</v>
      </c>
      <c r="F809" s="53">
        <v>490000000</v>
      </c>
      <c r="G809" s="53">
        <v>10855427</v>
      </c>
      <c r="H809" s="53">
        <v>281004365.94999999</v>
      </c>
      <c r="I809" s="53">
        <v>27358570</v>
      </c>
      <c r="J809" s="53">
        <v>67597592</v>
      </c>
      <c r="K809" s="53">
        <v>16058057</v>
      </c>
      <c r="L809" s="53">
        <v>15321907</v>
      </c>
      <c r="M809" s="53">
        <v>12802027</v>
      </c>
      <c r="N809" s="53">
        <v>21288045.989999998</v>
      </c>
      <c r="O809" s="53">
        <v>21249080</v>
      </c>
      <c r="P809" s="53">
        <v>16503563</v>
      </c>
      <c r="Q809" s="53">
        <v>17057919</v>
      </c>
      <c r="R809" s="53">
        <v>80830192</v>
      </c>
    </row>
    <row r="810" spans="1:18" x14ac:dyDescent="0.25">
      <c r="A810" s="25" t="s">
        <v>347</v>
      </c>
      <c r="B810" s="26">
        <v>2013</v>
      </c>
      <c r="C810" s="74" t="s">
        <v>342</v>
      </c>
      <c r="D810" s="27">
        <v>0</v>
      </c>
      <c r="E810" s="53">
        <v>19350000000</v>
      </c>
      <c r="F810" s="53">
        <v>19350000000</v>
      </c>
      <c r="G810" s="53">
        <v>1908433201.03</v>
      </c>
      <c r="H810" s="53">
        <v>1765633391.22</v>
      </c>
      <c r="I810" s="53">
        <v>3000063344.6300001</v>
      </c>
      <c r="J810" s="53">
        <v>3282264758.25</v>
      </c>
      <c r="K810" s="53">
        <v>1531563240.5799999</v>
      </c>
      <c r="L810" s="53">
        <v>-2297659827.5</v>
      </c>
      <c r="M810" s="53">
        <v>618466082.98000002</v>
      </c>
      <c r="N810" s="53">
        <v>663184923.77999997</v>
      </c>
      <c r="O810" s="53">
        <v>2227076357.1799998</v>
      </c>
      <c r="P810" s="53">
        <v>1968784304.8800001</v>
      </c>
      <c r="Q810" s="53">
        <v>1838800747.3299999</v>
      </c>
      <c r="R810" s="53">
        <v>3889419804.1500001</v>
      </c>
    </row>
    <row r="811" spans="1:18" x14ac:dyDescent="0.25">
      <c r="A811" s="25" t="s">
        <v>345</v>
      </c>
      <c r="B811" s="26">
        <v>2013</v>
      </c>
      <c r="C811" s="74" t="s">
        <v>344</v>
      </c>
      <c r="D811" s="27">
        <v>0</v>
      </c>
      <c r="E811" s="53">
        <v>41000000000</v>
      </c>
      <c r="F811" s="53">
        <v>41000000000</v>
      </c>
      <c r="G811" s="53">
        <v>3522860807.4400001</v>
      </c>
      <c r="H811" s="53">
        <v>3043127213.1799998</v>
      </c>
      <c r="I811" s="53">
        <v>1793409231.6600001</v>
      </c>
      <c r="J811" s="53">
        <v>8083587129.5900002</v>
      </c>
      <c r="K811" s="53">
        <v>3270595148.27</v>
      </c>
      <c r="L811" s="53">
        <v>1408311290.0599999</v>
      </c>
      <c r="M811" s="53">
        <v>4479346864.9799995</v>
      </c>
      <c r="N811" s="53">
        <v>2987509875.5900002</v>
      </c>
      <c r="O811" s="53">
        <v>1382998473.5</v>
      </c>
      <c r="P811" s="53">
        <v>8108101218.2299995</v>
      </c>
      <c r="Q811" s="53">
        <v>2452715025.6199999</v>
      </c>
      <c r="R811" s="53">
        <v>2580512211.6599998</v>
      </c>
    </row>
    <row r="812" spans="1:18" x14ac:dyDescent="0.25">
      <c r="A812" s="25" t="s">
        <v>343</v>
      </c>
      <c r="B812" s="26">
        <v>2013</v>
      </c>
      <c r="C812" s="74" t="s">
        <v>342</v>
      </c>
      <c r="D812" s="27">
        <v>0</v>
      </c>
      <c r="E812" s="53">
        <v>9500000000</v>
      </c>
      <c r="F812" s="53">
        <v>9500000000</v>
      </c>
      <c r="G812" s="53">
        <v>1619456144.99</v>
      </c>
      <c r="H812" s="53">
        <v>1053391028.5</v>
      </c>
      <c r="I812" s="53">
        <v>781292882.69000006</v>
      </c>
      <c r="J812" s="53">
        <v>924389909.22000003</v>
      </c>
      <c r="K812" s="53">
        <v>1003934332.51</v>
      </c>
      <c r="L812" s="53">
        <v>914528683.12</v>
      </c>
      <c r="M812" s="53">
        <v>1144102490.1900001</v>
      </c>
      <c r="N812" s="53">
        <v>1058097834.83</v>
      </c>
      <c r="O812" s="53">
        <v>941386005.30999994</v>
      </c>
      <c r="P812" s="53">
        <v>960203454.80999994</v>
      </c>
      <c r="Q812" s="53">
        <v>1036429996.46</v>
      </c>
      <c r="R812" s="53">
        <v>1518745515.9400001</v>
      </c>
    </row>
    <row r="813" spans="1:18" x14ac:dyDescent="0.25">
      <c r="A813" s="25" t="s">
        <v>340</v>
      </c>
      <c r="B813" s="26">
        <v>2013</v>
      </c>
      <c r="C813" s="74" t="s">
        <v>339</v>
      </c>
      <c r="D813" s="27">
        <v>0</v>
      </c>
      <c r="E813" s="53">
        <v>75000000000</v>
      </c>
      <c r="F813" s="53">
        <v>75000000000</v>
      </c>
      <c r="G813" s="53">
        <v>7441263348.2200003</v>
      </c>
      <c r="H813" s="53">
        <v>4259354948.7199998</v>
      </c>
      <c r="I813" s="53">
        <v>5607532526.0100002</v>
      </c>
      <c r="J813" s="53">
        <v>9521250925.6000004</v>
      </c>
      <c r="K813" s="53">
        <v>7649491211.1300001</v>
      </c>
      <c r="L813" s="53">
        <v>1020216388.3099999</v>
      </c>
      <c r="M813" s="53">
        <v>6804859189.9700003</v>
      </c>
      <c r="N813" s="53">
        <v>6126017909.5200005</v>
      </c>
      <c r="O813" s="53">
        <v>6366175232.3500004</v>
      </c>
      <c r="P813" s="53">
        <v>7598761846.1199999</v>
      </c>
      <c r="Q813" s="53">
        <v>5546784176.8599997</v>
      </c>
      <c r="R813" s="53">
        <v>7368454287.6700001</v>
      </c>
    </row>
    <row r="814" spans="1:18" x14ac:dyDescent="0.25">
      <c r="A814" s="25" t="s">
        <v>338</v>
      </c>
      <c r="B814" s="26">
        <v>2013</v>
      </c>
      <c r="C814" s="74" t="s">
        <v>337</v>
      </c>
      <c r="D814" s="27">
        <v>0</v>
      </c>
      <c r="E814" s="53">
        <v>130000000</v>
      </c>
      <c r="F814" s="53">
        <v>130000000</v>
      </c>
      <c r="G814" s="53">
        <v>128543008</v>
      </c>
      <c r="H814" s="53">
        <v>0</v>
      </c>
      <c r="I814" s="53">
        <v>0</v>
      </c>
      <c r="J814" s="53">
        <v>0</v>
      </c>
      <c r="K814" s="53">
        <v>0</v>
      </c>
      <c r="L814" s="53">
        <v>-2012964.33</v>
      </c>
      <c r="M814" s="53">
        <v>0</v>
      </c>
      <c r="N814" s="53">
        <v>0</v>
      </c>
      <c r="O814" s="53">
        <v>0</v>
      </c>
      <c r="P814" s="53">
        <v>0</v>
      </c>
      <c r="Q814" s="53">
        <v>0</v>
      </c>
      <c r="R814" s="53">
        <v>0</v>
      </c>
    </row>
    <row r="815" spans="1:18" x14ac:dyDescent="0.25">
      <c r="A815" s="25" t="s">
        <v>335</v>
      </c>
      <c r="B815" s="26">
        <v>2013</v>
      </c>
      <c r="C815" s="74" t="s">
        <v>334</v>
      </c>
      <c r="D815" s="27">
        <v>0</v>
      </c>
      <c r="E815" s="53">
        <v>4200000000</v>
      </c>
      <c r="F815" s="53">
        <v>4200000000</v>
      </c>
      <c r="G815" s="53">
        <v>5659129277.7700005</v>
      </c>
      <c r="H815" s="53">
        <v>243018902.94999999</v>
      </c>
      <c r="I815" s="53">
        <v>79613346.519999996</v>
      </c>
      <c r="J815" s="53">
        <v>53124026</v>
      </c>
      <c r="K815" s="53">
        <v>-2166718501.0599999</v>
      </c>
      <c r="L815" s="53">
        <v>22896210</v>
      </c>
      <c r="M815" s="53">
        <v>6296218</v>
      </c>
      <c r="N815" s="53">
        <v>9820807</v>
      </c>
      <c r="O815" s="53">
        <v>-10324567.369999999</v>
      </c>
      <c r="P815" s="53">
        <v>11526586</v>
      </c>
      <c r="Q815" s="53">
        <v>16547314</v>
      </c>
      <c r="R815" s="53">
        <v>73209082.370000005</v>
      </c>
    </row>
    <row r="816" spans="1:18" x14ac:dyDescent="0.25">
      <c r="A816" s="25" t="s">
        <v>332</v>
      </c>
      <c r="B816" s="26">
        <v>2013</v>
      </c>
      <c r="C816" s="74" t="s">
        <v>331</v>
      </c>
      <c r="D816" s="27">
        <v>0</v>
      </c>
      <c r="E816" s="53">
        <v>112000000000</v>
      </c>
      <c r="F816" s="53">
        <v>112000000000</v>
      </c>
      <c r="G816" s="53">
        <v>6016963381</v>
      </c>
      <c r="H816" s="53">
        <v>3788937943.1599998</v>
      </c>
      <c r="I816" s="53">
        <v>1977732725.28</v>
      </c>
      <c r="J816" s="53">
        <v>1798420771.6500001</v>
      </c>
      <c r="K816" s="53">
        <v>1935773307</v>
      </c>
      <c r="L816" s="53">
        <v>1464048394</v>
      </c>
      <c r="M816" s="53">
        <v>1144102357</v>
      </c>
      <c r="N816" s="53">
        <v>964077585</v>
      </c>
      <c r="O816" s="53">
        <v>938522568.25</v>
      </c>
      <c r="P816" s="53">
        <v>710701381</v>
      </c>
      <c r="Q816" s="53">
        <v>7998367344</v>
      </c>
      <c r="R816" s="53">
        <v>84989834826.660004</v>
      </c>
    </row>
    <row r="817" spans="1:18" x14ac:dyDescent="0.25">
      <c r="A817" s="25" t="s">
        <v>329</v>
      </c>
      <c r="B817" s="26">
        <v>2013</v>
      </c>
      <c r="C817" s="74" t="s">
        <v>328</v>
      </c>
      <c r="D817" s="27">
        <v>0</v>
      </c>
      <c r="E817" s="53">
        <v>124000000</v>
      </c>
      <c r="F817" s="53">
        <v>124000000</v>
      </c>
      <c r="G817" s="53">
        <v>10537041</v>
      </c>
      <c r="H817" s="53">
        <v>5713043</v>
      </c>
      <c r="I817" s="53">
        <v>2932604</v>
      </c>
      <c r="J817" s="53">
        <v>2221028</v>
      </c>
      <c r="K817" s="53">
        <v>2210547</v>
      </c>
      <c r="L817" s="53">
        <v>1954393</v>
      </c>
      <c r="M817" s="53">
        <v>1646034</v>
      </c>
      <c r="N817" s="53">
        <v>1461715</v>
      </c>
      <c r="O817" s="53">
        <v>1545332</v>
      </c>
      <c r="P817" s="53">
        <v>1389105</v>
      </c>
      <c r="Q817" s="53">
        <v>8031801</v>
      </c>
      <c r="R817" s="53">
        <v>92286966</v>
      </c>
    </row>
    <row r="818" spans="1:18" x14ac:dyDescent="0.25">
      <c r="A818" s="25" t="s">
        <v>325</v>
      </c>
      <c r="B818" s="26">
        <v>2013</v>
      </c>
      <c r="C818" s="74" t="s">
        <v>324</v>
      </c>
      <c r="D818" s="27">
        <v>0</v>
      </c>
      <c r="E818" s="53">
        <v>400000000</v>
      </c>
      <c r="F818" s="53">
        <v>400000000</v>
      </c>
      <c r="G818" s="53">
        <v>312656.87</v>
      </c>
      <c r="H818" s="53">
        <v>21948033.890000001</v>
      </c>
      <c r="I818" s="53">
        <v>18482740.550000001</v>
      </c>
      <c r="J818" s="53">
        <v>147322616.71000001</v>
      </c>
      <c r="K818" s="53">
        <v>133572132.43000001</v>
      </c>
      <c r="L818" s="53">
        <v>12372198.960000001</v>
      </c>
      <c r="M818" s="53">
        <v>16834048.039999999</v>
      </c>
      <c r="N818" s="53">
        <v>9990415.3399999999</v>
      </c>
      <c r="O818" s="53">
        <v>12259523.08</v>
      </c>
      <c r="P818" s="53">
        <v>5949368.8600000003</v>
      </c>
      <c r="Q818" s="53">
        <v>6054204.25</v>
      </c>
      <c r="R818" s="53">
        <v>13451119.82</v>
      </c>
    </row>
    <row r="819" spans="1:18" x14ac:dyDescent="0.25">
      <c r="A819" s="25" t="s">
        <v>378</v>
      </c>
      <c r="B819" s="26">
        <v>2013</v>
      </c>
      <c r="C819" s="74" t="s">
        <v>411</v>
      </c>
      <c r="D819" s="27">
        <v>0</v>
      </c>
      <c r="E819" s="53">
        <v>34000000000</v>
      </c>
      <c r="F819" s="53">
        <v>34000000000</v>
      </c>
      <c r="G819" s="53">
        <v>14849289443.620001</v>
      </c>
      <c r="H819" s="53">
        <v>10248835578.49</v>
      </c>
      <c r="I819" s="53">
        <v>1794503309.96</v>
      </c>
      <c r="J819" s="53">
        <v>1630733101.8399999</v>
      </c>
      <c r="K819" s="53">
        <v>1288803136.1900001</v>
      </c>
      <c r="L819" s="53">
        <v>1076255515.5699999</v>
      </c>
      <c r="M819" s="53">
        <v>879234048.55999994</v>
      </c>
      <c r="N819" s="53">
        <v>909769375.39999998</v>
      </c>
      <c r="O819" s="53">
        <v>737257559.39999998</v>
      </c>
      <c r="P819" s="53">
        <v>859923481.85000002</v>
      </c>
      <c r="Q819" s="53">
        <v>748944464.69000006</v>
      </c>
      <c r="R819" s="53">
        <v>702246436.67999995</v>
      </c>
    </row>
    <row r="820" spans="1:18" x14ac:dyDescent="0.25">
      <c r="A820" s="25" t="s">
        <v>320</v>
      </c>
      <c r="B820" s="26">
        <v>2013</v>
      </c>
      <c r="C820" s="74" t="s">
        <v>319</v>
      </c>
      <c r="D820" s="27">
        <v>0</v>
      </c>
      <c r="E820" s="53">
        <v>27500000000</v>
      </c>
      <c r="F820" s="53">
        <v>27500000000</v>
      </c>
      <c r="G820" s="53">
        <v>1562610345.75</v>
      </c>
      <c r="H820" s="53">
        <v>2094514053.6700001</v>
      </c>
      <c r="I820" s="53">
        <v>1897472977</v>
      </c>
      <c r="J820" s="53">
        <v>2123666471</v>
      </c>
      <c r="K820" s="53">
        <v>2772395618.5</v>
      </c>
      <c r="L820" s="53">
        <v>2218809661</v>
      </c>
      <c r="M820" s="53">
        <v>2420531583</v>
      </c>
      <c r="N820" s="53">
        <v>2903789037</v>
      </c>
      <c r="O820" s="53">
        <v>2193027946</v>
      </c>
      <c r="P820" s="53">
        <v>3029505001</v>
      </c>
      <c r="Q820" s="53">
        <v>2384832639</v>
      </c>
      <c r="R820" s="53">
        <v>2644333030.8299999</v>
      </c>
    </row>
    <row r="821" spans="1:18" x14ac:dyDescent="0.25">
      <c r="A821" s="25" t="s">
        <v>317</v>
      </c>
      <c r="B821" s="26">
        <v>2013</v>
      </c>
      <c r="C821" s="74" t="s">
        <v>316</v>
      </c>
      <c r="D821" s="27">
        <v>0</v>
      </c>
      <c r="E821" s="53">
        <v>15500000000</v>
      </c>
      <c r="F821" s="53">
        <v>15500000000</v>
      </c>
      <c r="G821" s="53">
        <v>1318356717</v>
      </c>
      <c r="H821" s="53">
        <v>1427897882</v>
      </c>
      <c r="I821" s="53">
        <v>1203879305</v>
      </c>
      <c r="J821" s="53">
        <v>1425552273.99</v>
      </c>
      <c r="K821" s="53">
        <v>1611566768</v>
      </c>
      <c r="L821" s="53">
        <v>1373346191</v>
      </c>
      <c r="M821" s="53">
        <v>1447147878</v>
      </c>
      <c r="N821" s="53">
        <v>1473818398</v>
      </c>
      <c r="O821" s="53">
        <v>1415466878</v>
      </c>
      <c r="P821" s="53">
        <v>1639064601</v>
      </c>
      <c r="Q821" s="53">
        <v>1567679250</v>
      </c>
      <c r="R821" s="53">
        <v>1273420909.01</v>
      </c>
    </row>
    <row r="822" spans="1:18" x14ac:dyDescent="0.25">
      <c r="A822" s="25" t="s">
        <v>313</v>
      </c>
      <c r="B822" s="26">
        <v>2013</v>
      </c>
      <c r="C822" s="74" t="s">
        <v>312</v>
      </c>
      <c r="D822" s="27">
        <v>0</v>
      </c>
      <c r="E822" s="53">
        <v>626000000000</v>
      </c>
      <c r="F822" s="53">
        <v>626000000000</v>
      </c>
      <c r="G822" s="53">
        <v>66722997970.949997</v>
      </c>
      <c r="H822" s="53">
        <v>51191395684.580002</v>
      </c>
      <c r="I822" s="53">
        <v>49211462322.209999</v>
      </c>
      <c r="J822" s="53">
        <v>52322196768.559998</v>
      </c>
      <c r="K822" s="53">
        <v>47476930643.160004</v>
      </c>
      <c r="L822" s="53">
        <v>44884514441.190002</v>
      </c>
      <c r="M822" s="53">
        <v>52296285069.580002</v>
      </c>
      <c r="N822" s="53">
        <v>49267304953.349998</v>
      </c>
      <c r="O822" s="53">
        <v>50055904160.93</v>
      </c>
      <c r="P822" s="53">
        <v>51618362169.349998</v>
      </c>
      <c r="Q822" s="53">
        <v>48724859364.059998</v>
      </c>
      <c r="R822" s="53">
        <v>68079084950.339996</v>
      </c>
    </row>
    <row r="823" spans="1:18" x14ac:dyDescent="0.25">
      <c r="A823" s="25" t="s">
        <v>310</v>
      </c>
      <c r="B823" s="26">
        <v>2013</v>
      </c>
      <c r="C823" s="74" t="s">
        <v>309</v>
      </c>
      <c r="D823" s="27">
        <v>0</v>
      </c>
      <c r="E823" s="53">
        <v>536000000000</v>
      </c>
      <c r="F823" s="53">
        <v>536000000000</v>
      </c>
      <c r="G823" s="53">
        <v>44364424700.940002</v>
      </c>
      <c r="H823" s="53">
        <v>41883254840.080002</v>
      </c>
      <c r="I823" s="53">
        <v>39900273553.760002</v>
      </c>
      <c r="J823" s="53">
        <v>46936932146.050003</v>
      </c>
      <c r="K823" s="53">
        <v>45546332429</v>
      </c>
      <c r="L823" s="53">
        <v>41235933536.660004</v>
      </c>
      <c r="M823" s="53">
        <v>46283928862.32</v>
      </c>
      <c r="N823" s="53">
        <v>44188250935.32</v>
      </c>
      <c r="O823" s="53">
        <v>42877867889.870003</v>
      </c>
      <c r="P823" s="53">
        <v>51326893604.010002</v>
      </c>
      <c r="Q823" s="53">
        <v>54863736341.709999</v>
      </c>
      <c r="R823" s="53">
        <v>45485665557.019997</v>
      </c>
    </row>
    <row r="824" spans="1:18" x14ac:dyDescent="0.25">
      <c r="A824" s="25" t="s">
        <v>306</v>
      </c>
      <c r="B824" s="26">
        <v>2013</v>
      </c>
      <c r="C824" s="74" t="s">
        <v>305</v>
      </c>
      <c r="D824" s="27">
        <v>0</v>
      </c>
      <c r="E824" s="53">
        <v>23600000000</v>
      </c>
      <c r="F824" s="53">
        <v>23600000000</v>
      </c>
      <c r="G824" s="53">
        <v>2018906066.05</v>
      </c>
      <c r="H824" s="53">
        <v>1818422288.1500001</v>
      </c>
      <c r="I824" s="53">
        <v>2108787151.51</v>
      </c>
      <c r="J824" s="53">
        <v>2104419372.1199999</v>
      </c>
      <c r="K824" s="53">
        <v>1966881311.3599999</v>
      </c>
      <c r="L824" s="53">
        <v>1527346336.6800001</v>
      </c>
      <c r="M824" s="53">
        <v>3018039439.73</v>
      </c>
      <c r="N824" s="53">
        <v>1329383166.6900001</v>
      </c>
      <c r="O824" s="53">
        <v>1678216282.5</v>
      </c>
      <c r="P824" s="53">
        <v>1256050277.96</v>
      </c>
      <c r="Q824" s="53">
        <v>1337964814.8599999</v>
      </c>
      <c r="R824" s="53">
        <v>2025881120.0799999</v>
      </c>
    </row>
    <row r="825" spans="1:18" x14ac:dyDescent="0.25">
      <c r="A825" s="25" t="s">
        <v>303</v>
      </c>
      <c r="B825" s="26">
        <v>2013</v>
      </c>
      <c r="C825" s="74" t="s">
        <v>302</v>
      </c>
      <c r="D825" s="27">
        <v>0</v>
      </c>
      <c r="E825" s="53">
        <v>156000000000</v>
      </c>
      <c r="F825" s="53">
        <v>156000000000</v>
      </c>
      <c r="G825" s="53">
        <v>11870584159.620001</v>
      </c>
      <c r="H825" s="53">
        <v>13539371143.049999</v>
      </c>
      <c r="I825" s="53">
        <v>13464796306.049999</v>
      </c>
      <c r="J825" s="53">
        <v>14047392693.299999</v>
      </c>
      <c r="K825" s="53">
        <v>12614877878.299999</v>
      </c>
      <c r="L825" s="53">
        <v>10961491072.18</v>
      </c>
      <c r="M825" s="53">
        <v>12481538201.120001</v>
      </c>
      <c r="N825" s="53">
        <v>11252910082.27</v>
      </c>
      <c r="O825" s="53">
        <v>10901515092.33</v>
      </c>
      <c r="P825" s="53">
        <v>13559507828.440001</v>
      </c>
      <c r="Q825" s="53">
        <v>16834247980.42</v>
      </c>
      <c r="R825" s="53">
        <v>12686047614.52</v>
      </c>
    </row>
    <row r="826" spans="1:18" x14ac:dyDescent="0.25">
      <c r="A826" s="25" t="s">
        <v>472</v>
      </c>
      <c r="B826" s="26">
        <v>2013</v>
      </c>
      <c r="C826" s="74" t="s">
        <v>471</v>
      </c>
      <c r="D826" s="27">
        <v>0</v>
      </c>
      <c r="E826" s="53">
        <v>0</v>
      </c>
      <c r="F826" s="53">
        <v>0</v>
      </c>
      <c r="G826" s="53">
        <v>0</v>
      </c>
      <c r="H826" s="53">
        <v>18030</v>
      </c>
      <c r="I826" s="53">
        <v>0</v>
      </c>
      <c r="J826" s="53">
        <v>0</v>
      </c>
      <c r="K826" s="53">
        <v>0</v>
      </c>
      <c r="L826" s="53">
        <v>0</v>
      </c>
      <c r="M826" s="53">
        <v>0</v>
      </c>
      <c r="N826" s="53">
        <v>0</v>
      </c>
      <c r="O826" s="53">
        <v>0</v>
      </c>
      <c r="P826" s="53">
        <v>0</v>
      </c>
      <c r="Q826" s="53">
        <v>0</v>
      </c>
      <c r="R826" s="53">
        <v>0</v>
      </c>
    </row>
    <row r="827" spans="1:18" x14ac:dyDescent="0.25">
      <c r="A827" s="25" t="s">
        <v>298</v>
      </c>
      <c r="B827" s="26">
        <v>2013</v>
      </c>
      <c r="C827" s="74" t="s">
        <v>281</v>
      </c>
      <c r="D827" s="27">
        <v>0</v>
      </c>
      <c r="E827" s="53">
        <v>214500000000</v>
      </c>
      <c r="F827" s="53">
        <v>214500000000</v>
      </c>
      <c r="G827" s="53">
        <v>15613047918</v>
      </c>
      <c r="H827" s="53">
        <v>25937253359</v>
      </c>
      <c r="I827" s="53">
        <v>14272179916</v>
      </c>
      <c r="J827" s="53">
        <v>25279299935</v>
      </c>
      <c r="K827" s="53">
        <v>17518555698</v>
      </c>
      <c r="L827" s="53">
        <v>9016062844</v>
      </c>
      <c r="M827" s="53">
        <v>21714266134</v>
      </c>
      <c r="N827" s="53">
        <v>22272817850</v>
      </c>
      <c r="O827" s="53">
        <v>19575029245</v>
      </c>
      <c r="P827" s="53">
        <v>18880811580</v>
      </c>
      <c r="Q827" s="53">
        <v>18537737002</v>
      </c>
      <c r="R827" s="53">
        <v>33095479129</v>
      </c>
    </row>
    <row r="828" spans="1:18" x14ac:dyDescent="0.25">
      <c r="A828" s="25" t="s">
        <v>297</v>
      </c>
      <c r="B828" s="26">
        <v>2013</v>
      </c>
      <c r="C828" s="74" t="s">
        <v>287</v>
      </c>
      <c r="D828" s="27">
        <v>0</v>
      </c>
      <c r="E828" s="53">
        <v>175500000000</v>
      </c>
      <c r="F828" s="53">
        <v>175500000000</v>
      </c>
      <c r="G828" s="53">
        <v>7089042055.8400002</v>
      </c>
      <c r="H828" s="53">
        <v>16779114835.59</v>
      </c>
      <c r="I828" s="53">
        <v>21298353818.650002</v>
      </c>
      <c r="J828" s="53">
        <v>14044817476.66</v>
      </c>
      <c r="K828" s="53">
        <v>13577737174.469999</v>
      </c>
      <c r="L828" s="53">
        <v>14918901175.51</v>
      </c>
      <c r="M828" s="53">
        <v>14203127997.68</v>
      </c>
      <c r="N828" s="53">
        <v>14826962621.299999</v>
      </c>
      <c r="O828" s="53">
        <v>14068349602.41</v>
      </c>
      <c r="P828" s="53">
        <v>13411561251.57</v>
      </c>
      <c r="Q828" s="53">
        <v>7955349484.54</v>
      </c>
      <c r="R828" s="53">
        <v>10324108543.26</v>
      </c>
    </row>
    <row r="829" spans="1:18" x14ac:dyDescent="0.25">
      <c r="A829" s="25" t="s">
        <v>295</v>
      </c>
      <c r="B829" s="26">
        <v>2013</v>
      </c>
      <c r="C829" s="74" t="s">
        <v>281</v>
      </c>
      <c r="D829" s="27">
        <v>0</v>
      </c>
      <c r="E829" s="53">
        <v>28800000000</v>
      </c>
      <c r="F829" s="53">
        <v>28800000000</v>
      </c>
      <c r="G829" s="53">
        <v>3305437705.4000001</v>
      </c>
      <c r="H829" s="53">
        <v>1586012067.1500001</v>
      </c>
      <c r="I829" s="53">
        <v>2742604397.4299998</v>
      </c>
      <c r="J829" s="53">
        <v>2281632261.2399998</v>
      </c>
      <c r="K829" s="53">
        <v>2138578327.6900001</v>
      </c>
      <c r="L829" s="53">
        <v>2103982356.4300001</v>
      </c>
      <c r="M829" s="53">
        <v>1809882690</v>
      </c>
      <c r="N829" s="53">
        <v>2288838264.1100001</v>
      </c>
      <c r="O829" s="53">
        <v>2305351123.7399998</v>
      </c>
      <c r="P829" s="53">
        <v>2613728603.4000001</v>
      </c>
      <c r="Q829" s="53">
        <v>1561103184.74</v>
      </c>
      <c r="R829" s="53">
        <v>3495633344.0900002</v>
      </c>
    </row>
    <row r="830" spans="1:18" x14ac:dyDescent="0.25">
      <c r="A830" s="25" t="s">
        <v>294</v>
      </c>
      <c r="B830" s="26">
        <v>2013</v>
      </c>
      <c r="C830" s="74" t="s">
        <v>287</v>
      </c>
      <c r="D830" s="27">
        <v>0</v>
      </c>
      <c r="E830" s="53">
        <v>7200000000</v>
      </c>
      <c r="F830" s="53">
        <v>7200000000</v>
      </c>
      <c r="G830" s="53">
        <v>586097461.25</v>
      </c>
      <c r="H830" s="53">
        <v>453461089.10000002</v>
      </c>
      <c r="I830" s="53">
        <v>653512366.13999999</v>
      </c>
      <c r="J830" s="53">
        <v>612415339.51999998</v>
      </c>
      <c r="K830" s="53">
        <v>621860899.03999996</v>
      </c>
      <c r="L830" s="53">
        <v>459779233.86000001</v>
      </c>
      <c r="M830" s="53">
        <v>436701865.02999997</v>
      </c>
      <c r="N830" s="53">
        <v>420009871.83999997</v>
      </c>
      <c r="O830" s="53">
        <v>458536205.19999999</v>
      </c>
      <c r="P830" s="53">
        <v>833222161.13</v>
      </c>
      <c r="Q830" s="53">
        <v>763544548.59000003</v>
      </c>
      <c r="R830" s="53">
        <v>722112210.74000001</v>
      </c>
    </row>
    <row r="831" spans="1:18" x14ac:dyDescent="0.25">
      <c r="A831" s="25" t="s">
        <v>292</v>
      </c>
      <c r="B831" s="26">
        <v>2013</v>
      </c>
      <c r="C831" s="74" t="s">
        <v>281</v>
      </c>
      <c r="D831" s="27">
        <v>0</v>
      </c>
      <c r="E831" s="53">
        <v>31700000000</v>
      </c>
      <c r="F831" s="53">
        <v>31700000000</v>
      </c>
      <c r="G831" s="53">
        <v>3025058104.0999999</v>
      </c>
      <c r="H831" s="53">
        <v>2287163496.7800002</v>
      </c>
      <c r="I831" s="53">
        <v>2341441928.5500002</v>
      </c>
      <c r="J831" s="53">
        <v>2749517283.6199999</v>
      </c>
      <c r="K831" s="53">
        <v>2484457889.6999998</v>
      </c>
      <c r="L831" s="53">
        <v>2505769368.1300001</v>
      </c>
      <c r="M831" s="53">
        <v>2383857812.6399999</v>
      </c>
      <c r="N831" s="53">
        <v>2491439247.3400002</v>
      </c>
      <c r="O831" s="53">
        <v>2381928162.2800002</v>
      </c>
      <c r="P831" s="53">
        <v>2313068147.8800001</v>
      </c>
      <c r="Q831" s="53">
        <v>2398552042.9899998</v>
      </c>
      <c r="R831" s="53">
        <v>2648858299.0300002</v>
      </c>
    </row>
    <row r="832" spans="1:18" x14ac:dyDescent="0.25">
      <c r="A832" s="25" t="s">
        <v>291</v>
      </c>
      <c r="B832" s="26">
        <v>2013</v>
      </c>
      <c r="C832" s="74" t="s">
        <v>287</v>
      </c>
      <c r="D832" s="27">
        <v>0</v>
      </c>
      <c r="E832" s="53">
        <v>2800000000</v>
      </c>
      <c r="F832" s="53">
        <v>2800000000</v>
      </c>
      <c r="G832" s="53">
        <v>183664578.33000001</v>
      </c>
      <c r="H832" s="53">
        <v>176859500.99000001</v>
      </c>
      <c r="I832" s="53">
        <v>224375741.93000001</v>
      </c>
      <c r="J832" s="53">
        <v>192920029.09999999</v>
      </c>
      <c r="K832" s="53">
        <v>212846142.43000001</v>
      </c>
      <c r="L832" s="53">
        <v>207080377.56</v>
      </c>
      <c r="M832" s="53">
        <v>210971974.30000001</v>
      </c>
      <c r="N832" s="53">
        <v>230855577.38999999</v>
      </c>
      <c r="O832" s="53">
        <v>178485060.69</v>
      </c>
      <c r="P832" s="53">
        <v>200285206.72999999</v>
      </c>
      <c r="Q832" s="53">
        <v>289919112.10000002</v>
      </c>
      <c r="R832" s="53">
        <v>199233356.30000001</v>
      </c>
    </row>
    <row r="833" spans="1:18" x14ac:dyDescent="0.25">
      <c r="A833" s="25" t="s">
        <v>289</v>
      </c>
      <c r="B833" s="26">
        <v>2013</v>
      </c>
      <c r="C833" s="74" t="s">
        <v>287</v>
      </c>
      <c r="D833" s="27">
        <v>0</v>
      </c>
      <c r="E833" s="53">
        <v>1650000000</v>
      </c>
      <c r="F833" s="53">
        <v>1650000000</v>
      </c>
      <c r="G833" s="53">
        <v>126914149.33</v>
      </c>
      <c r="H833" s="53">
        <v>161905453.69</v>
      </c>
      <c r="I833" s="53">
        <v>124019822.54000001</v>
      </c>
      <c r="J833" s="53">
        <v>177655018.11000001</v>
      </c>
      <c r="K833" s="53">
        <v>232704885.72999999</v>
      </c>
      <c r="L833" s="53">
        <v>188833392.34</v>
      </c>
      <c r="M833" s="53">
        <v>172234557.13999999</v>
      </c>
      <c r="N833" s="53">
        <v>169079344.97</v>
      </c>
      <c r="O833" s="53">
        <v>180677465.24000001</v>
      </c>
      <c r="P833" s="53">
        <v>167653255.52000001</v>
      </c>
      <c r="Q833" s="53">
        <v>129985264.78</v>
      </c>
      <c r="R833" s="53">
        <v>156988692.72999999</v>
      </c>
    </row>
    <row r="834" spans="1:18" x14ac:dyDescent="0.25">
      <c r="A834" s="25" t="s">
        <v>286</v>
      </c>
      <c r="B834" s="26">
        <v>2013</v>
      </c>
      <c r="C834" s="74" t="s">
        <v>285</v>
      </c>
      <c r="D834" s="27">
        <v>0</v>
      </c>
      <c r="E834" s="53">
        <v>215000000</v>
      </c>
      <c r="F834" s="53">
        <v>215000000</v>
      </c>
      <c r="G834" s="53">
        <v>0</v>
      </c>
      <c r="H834" s="53">
        <v>17976908.350000001</v>
      </c>
      <c r="I834" s="53">
        <v>21541692.98</v>
      </c>
      <c r="J834" s="53">
        <v>44880823.359999999</v>
      </c>
      <c r="K834" s="53">
        <v>28346802.829999998</v>
      </c>
      <c r="L834" s="53">
        <v>26138003.109999999</v>
      </c>
      <c r="M834" s="53">
        <v>0</v>
      </c>
      <c r="N834" s="53">
        <v>50379167.68</v>
      </c>
      <c r="O834" s="53">
        <v>24266155.879999999</v>
      </c>
      <c r="P834" s="53">
        <v>24410574.780000001</v>
      </c>
      <c r="Q834" s="53">
        <v>0</v>
      </c>
      <c r="R834" s="53">
        <v>53379760.409999996</v>
      </c>
    </row>
    <row r="835" spans="1:18" x14ac:dyDescent="0.25">
      <c r="A835" s="25" t="s">
        <v>283</v>
      </c>
      <c r="B835" s="26">
        <v>2013</v>
      </c>
      <c r="C835" s="74" t="s">
        <v>282</v>
      </c>
      <c r="D835" s="27">
        <v>0</v>
      </c>
      <c r="E835" s="53">
        <v>22800000000</v>
      </c>
      <c r="F835" s="53">
        <v>22800000000</v>
      </c>
      <c r="G835" s="53">
        <v>1483042296.9300001</v>
      </c>
      <c r="H835" s="53">
        <v>1696508417</v>
      </c>
      <c r="I835" s="53">
        <v>1925732560</v>
      </c>
      <c r="J835" s="53">
        <v>2086044797.1300001</v>
      </c>
      <c r="K835" s="53">
        <v>2304039425</v>
      </c>
      <c r="L835" s="53">
        <v>1486469205.4000001</v>
      </c>
      <c r="M835" s="53">
        <v>4132889403.6999998</v>
      </c>
      <c r="N835" s="53">
        <v>941019457.13</v>
      </c>
      <c r="O835" s="53">
        <v>1654999113.21</v>
      </c>
      <c r="P835" s="53">
        <v>817752398.79999995</v>
      </c>
      <c r="Q835" s="53">
        <v>1177809905.2</v>
      </c>
      <c r="R835" s="53">
        <v>3955150904.1999998</v>
      </c>
    </row>
    <row r="836" spans="1:18" x14ac:dyDescent="0.25">
      <c r="A836" s="25" t="s">
        <v>280</v>
      </c>
      <c r="B836" s="26">
        <v>2013</v>
      </c>
      <c r="C836" s="74" t="s">
        <v>279</v>
      </c>
      <c r="D836" s="27">
        <v>0</v>
      </c>
      <c r="E836" s="53">
        <v>15200000000</v>
      </c>
      <c r="F836" s="53">
        <v>15200000000</v>
      </c>
      <c r="G836" s="53">
        <v>1423635987</v>
      </c>
      <c r="H836" s="53">
        <v>899840000</v>
      </c>
      <c r="I836" s="53">
        <v>1257040198.9000001</v>
      </c>
      <c r="J836" s="53">
        <v>1454364519</v>
      </c>
      <c r="K836" s="53">
        <v>541616400</v>
      </c>
      <c r="L836" s="53">
        <v>1110753059.1199999</v>
      </c>
      <c r="M836" s="53">
        <v>1646939107.01</v>
      </c>
      <c r="N836" s="53">
        <v>1550988054.5899999</v>
      </c>
      <c r="O836" s="53">
        <v>1039259623.9299999</v>
      </c>
      <c r="P836" s="53">
        <v>1398643200</v>
      </c>
      <c r="Q836" s="53">
        <v>1671629935.5999999</v>
      </c>
      <c r="R836" s="53">
        <v>1203433390.9400001</v>
      </c>
    </row>
    <row r="837" spans="1:18" x14ac:dyDescent="0.25">
      <c r="A837" s="25" t="s">
        <v>276</v>
      </c>
      <c r="B837" s="26">
        <v>2013</v>
      </c>
      <c r="C837" s="74" t="s">
        <v>275</v>
      </c>
      <c r="D837" s="27">
        <v>0</v>
      </c>
      <c r="E837" s="53">
        <v>917000000</v>
      </c>
      <c r="F837" s="53">
        <v>917000000</v>
      </c>
      <c r="G837" s="53">
        <v>90781269.230000004</v>
      </c>
      <c r="H837" s="53">
        <v>91308574.120000005</v>
      </c>
      <c r="I837" s="53">
        <v>61645601.210000001</v>
      </c>
      <c r="J837" s="53">
        <v>79253355.420000002</v>
      </c>
      <c r="K837" s="53">
        <v>100059121.94</v>
      </c>
      <c r="L837" s="53">
        <v>78850286.200000003</v>
      </c>
      <c r="M837" s="53">
        <v>88234635.810000002</v>
      </c>
      <c r="N837" s="53">
        <v>93863975.489999995</v>
      </c>
      <c r="O837" s="53">
        <v>111874671.54000001</v>
      </c>
      <c r="P837" s="53">
        <v>56704571.829999998</v>
      </c>
      <c r="Q837" s="53">
        <v>59652829.82</v>
      </c>
      <c r="R837" s="53">
        <v>87734646.75</v>
      </c>
    </row>
    <row r="838" spans="1:18" x14ac:dyDescent="0.25">
      <c r="A838" s="25" t="s">
        <v>274</v>
      </c>
      <c r="B838" s="26">
        <v>2013</v>
      </c>
      <c r="C838" s="74" t="s">
        <v>273</v>
      </c>
      <c r="D838" s="27">
        <v>0</v>
      </c>
      <c r="E838" s="53">
        <v>132000000</v>
      </c>
      <c r="F838" s="53">
        <v>132000000</v>
      </c>
      <c r="G838" s="53">
        <v>0</v>
      </c>
      <c r="H838" s="53">
        <v>0</v>
      </c>
      <c r="I838" s="53">
        <v>0</v>
      </c>
      <c r="J838" s="53">
        <v>0</v>
      </c>
      <c r="K838" s="53">
        <v>0</v>
      </c>
      <c r="L838" s="53">
        <v>10765475</v>
      </c>
      <c r="M838" s="53">
        <v>0</v>
      </c>
      <c r="N838" s="53">
        <v>0</v>
      </c>
      <c r="O838" s="53">
        <v>0</v>
      </c>
      <c r="P838" s="53">
        <v>8065276</v>
      </c>
      <c r="Q838" s="53">
        <v>0</v>
      </c>
      <c r="R838" s="53">
        <v>0</v>
      </c>
    </row>
    <row r="839" spans="1:18" x14ac:dyDescent="0.25">
      <c r="A839" s="25" t="s">
        <v>268</v>
      </c>
      <c r="B839" s="26">
        <v>2013</v>
      </c>
      <c r="C839" s="74" t="s">
        <v>267</v>
      </c>
      <c r="D839" s="27">
        <v>0</v>
      </c>
      <c r="E839" s="53">
        <v>130500000000</v>
      </c>
      <c r="F839" s="53">
        <v>130500000000</v>
      </c>
      <c r="G839" s="53">
        <v>10137268563.42</v>
      </c>
      <c r="H839" s="53">
        <v>9487901956.6900005</v>
      </c>
      <c r="I839" s="53">
        <v>8852766171.4300003</v>
      </c>
      <c r="J839" s="53">
        <v>10024697175.73</v>
      </c>
      <c r="K839" s="53">
        <v>10429460002.620001</v>
      </c>
      <c r="L839" s="53">
        <v>9467715399.2000008</v>
      </c>
      <c r="M839" s="53">
        <v>10883391887.459999</v>
      </c>
      <c r="N839" s="53">
        <v>10709182471.76</v>
      </c>
      <c r="O839" s="53">
        <v>12027996435.93</v>
      </c>
      <c r="P839" s="53">
        <v>13239741188.65</v>
      </c>
      <c r="Q839" s="53">
        <v>13024650670.67</v>
      </c>
      <c r="R839" s="53">
        <v>12349119826.139999</v>
      </c>
    </row>
    <row r="840" spans="1:18" x14ac:dyDescent="0.25">
      <c r="A840" s="25" t="s">
        <v>264</v>
      </c>
      <c r="B840" s="26">
        <v>2013</v>
      </c>
      <c r="C840" s="74" t="s">
        <v>263</v>
      </c>
      <c r="D840" s="27">
        <v>0</v>
      </c>
      <c r="E840" s="53">
        <v>24000000000</v>
      </c>
      <c r="F840" s="53">
        <v>24000000000</v>
      </c>
      <c r="G840" s="53">
        <v>2153575697.5999999</v>
      </c>
      <c r="H840" s="53">
        <v>1906924330.54</v>
      </c>
      <c r="I840" s="53">
        <v>1766943780.1500001</v>
      </c>
      <c r="J840" s="53">
        <v>2029707415.02</v>
      </c>
      <c r="K840" s="53">
        <v>1981629071.8699999</v>
      </c>
      <c r="L840" s="53">
        <v>1769818469.49</v>
      </c>
      <c r="M840" s="53">
        <v>1844909578.05</v>
      </c>
      <c r="N840" s="53">
        <v>1930961108.8</v>
      </c>
      <c r="O840" s="53">
        <v>2192193289.8200002</v>
      </c>
      <c r="P840" s="53">
        <v>2218665779.4499998</v>
      </c>
      <c r="Q840" s="53">
        <v>1882478014.21</v>
      </c>
      <c r="R840" s="53">
        <v>2264377414.5100002</v>
      </c>
    </row>
    <row r="841" spans="1:18" x14ac:dyDescent="0.25">
      <c r="A841" s="25" t="s">
        <v>260</v>
      </c>
      <c r="B841" s="26">
        <v>2013</v>
      </c>
      <c r="C841" s="74" t="s">
        <v>259</v>
      </c>
      <c r="D841" s="27">
        <v>0</v>
      </c>
      <c r="E841" s="53">
        <v>2625000000</v>
      </c>
      <c r="F841" s="53">
        <v>2625000000</v>
      </c>
      <c r="G841" s="53">
        <v>260712161.84</v>
      </c>
      <c r="H841" s="53">
        <v>296111276.37</v>
      </c>
      <c r="I841" s="53">
        <v>184832048.91</v>
      </c>
      <c r="J841" s="53">
        <v>222054170.33000001</v>
      </c>
      <c r="K841" s="53">
        <v>212174646.50999999</v>
      </c>
      <c r="L841" s="53">
        <v>213216631.06</v>
      </c>
      <c r="M841" s="53">
        <v>178115439.53999999</v>
      </c>
      <c r="N841" s="53">
        <v>195020532.50999999</v>
      </c>
      <c r="O841" s="53">
        <v>199030638.31</v>
      </c>
      <c r="P841" s="53">
        <v>853533599.80999994</v>
      </c>
      <c r="Q841" s="53">
        <v>1024753438.28</v>
      </c>
      <c r="R841" s="53">
        <v>263983415.71000001</v>
      </c>
    </row>
    <row r="842" spans="1:18" x14ac:dyDescent="0.25">
      <c r="A842" s="25" t="s">
        <v>258</v>
      </c>
      <c r="B842" s="26">
        <v>2013</v>
      </c>
      <c r="C842" s="74" t="s">
        <v>257</v>
      </c>
      <c r="D842" s="27">
        <v>0</v>
      </c>
      <c r="E842" s="53">
        <v>158000000</v>
      </c>
      <c r="F842" s="53">
        <v>158000000</v>
      </c>
      <c r="G842" s="53">
        <v>13188270</v>
      </c>
      <c r="H842" s="53">
        <v>13328159.16</v>
      </c>
      <c r="I842" s="53">
        <v>11281686</v>
      </c>
      <c r="J842" s="53">
        <v>13495273.5</v>
      </c>
      <c r="K842" s="53">
        <v>12961921.5</v>
      </c>
      <c r="L842" s="53">
        <v>13099857</v>
      </c>
      <c r="M842" s="53">
        <v>11064739.5</v>
      </c>
      <c r="N842" s="53">
        <v>12118744.5</v>
      </c>
      <c r="O842" s="53">
        <v>12298105.5</v>
      </c>
      <c r="P842" s="53">
        <v>17936349.309999999</v>
      </c>
      <c r="Q842" s="53">
        <v>19276950</v>
      </c>
      <c r="R842" s="53">
        <v>18273318.84</v>
      </c>
    </row>
    <row r="843" spans="1:18" x14ac:dyDescent="0.25">
      <c r="A843" s="25" t="s">
        <v>256</v>
      </c>
      <c r="B843" s="26">
        <v>2013</v>
      </c>
      <c r="C843" s="74" t="s">
        <v>255</v>
      </c>
      <c r="D843" s="27">
        <v>0</v>
      </c>
      <c r="E843" s="53">
        <v>887000000</v>
      </c>
      <c r="F843" s="53">
        <v>887000000</v>
      </c>
      <c r="G843" s="53">
        <v>0</v>
      </c>
      <c r="H843" s="53">
        <v>0</v>
      </c>
      <c r="I843" s="53">
        <v>0</v>
      </c>
      <c r="J843" s="53">
        <v>0</v>
      </c>
      <c r="K843" s="53">
        <v>0</v>
      </c>
      <c r="L843" s="53">
        <v>0</v>
      </c>
      <c r="M843" s="53">
        <v>0</v>
      </c>
      <c r="N843" s="53">
        <v>112522109.5</v>
      </c>
      <c r="O843" s="53">
        <v>124745972.75</v>
      </c>
      <c r="P843" s="53">
        <v>134809469.47</v>
      </c>
      <c r="Q843" s="53">
        <v>125508415.5</v>
      </c>
      <c r="R843" s="53">
        <v>107079401.25</v>
      </c>
    </row>
    <row r="844" spans="1:18" x14ac:dyDescent="0.25">
      <c r="A844" s="25" t="s">
        <v>253</v>
      </c>
      <c r="B844" s="26">
        <v>2013</v>
      </c>
      <c r="C844" s="74" t="s">
        <v>252</v>
      </c>
      <c r="D844" s="27">
        <v>0</v>
      </c>
      <c r="E844" s="53">
        <v>27780000000</v>
      </c>
      <c r="F844" s="53">
        <v>27780000000</v>
      </c>
      <c r="G844" s="53">
        <v>2995221940.6700001</v>
      </c>
      <c r="H844" s="53">
        <v>2384572672</v>
      </c>
      <c r="I844" s="53">
        <v>2554157521.0900002</v>
      </c>
      <c r="J844" s="53">
        <v>2800069819.73</v>
      </c>
      <c r="K844" s="53">
        <v>1915376643.0999999</v>
      </c>
      <c r="L844" s="53">
        <v>1959953573.3399999</v>
      </c>
      <c r="M844" s="53">
        <v>2611812562.27</v>
      </c>
      <c r="N844" s="53">
        <v>2281836564.7600002</v>
      </c>
      <c r="O844" s="53">
        <v>1625026378.55</v>
      </c>
      <c r="P844" s="53">
        <v>1673490006.9200001</v>
      </c>
      <c r="Q844" s="53">
        <v>1828177459.9200001</v>
      </c>
      <c r="R844" s="53">
        <v>2752346665.3600001</v>
      </c>
    </row>
    <row r="845" spans="1:18" x14ac:dyDescent="0.25">
      <c r="A845" s="25" t="s">
        <v>251</v>
      </c>
      <c r="B845" s="26">
        <v>2013</v>
      </c>
      <c r="C845" s="74" t="s">
        <v>250</v>
      </c>
      <c r="D845" s="27">
        <v>0</v>
      </c>
      <c r="E845" s="53">
        <v>713000000</v>
      </c>
      <c r="F845" s="53">
        <v>713000000</v>
      </c>
      <c r="G845" s="53">
        <v>0</v>
      </c>
      <c r="H845" s="53">
        <v>0</v>
      </c>
      <c r="I845" s="53">
        <v>0</v>
      </c>
      <c r="J845" s="53">
        <v>0</v>
      </c>
      <c r="K845" s="53">
        <v>0</v>
      </c>
      <c r="L845" s="53">
        <v>0</v>
      </c>
      <c r="M845" s="53">
        <v>0</v>
      </c>
      <c r="N845" s="53">
        <v>1725900.72</v>
      </c>
      <c r="O845" s="53">
        <v>1121076.56</v>
      </c>
      <c r="P845" s="53">
        <v>596359.80000000005</v>
      </c>
      <c r="Q845" s="53">
        <v>629745.25</v>
      </c>
      <c r="R845" s="53">
        <v>165733978.56</v>
      </c>
    </row>
    <row r="846" spans="1:18" x14ac:dyDescent="0.25">
      <c r="A846" s="25" t="s">
        <v>249</v>
      </c>
      <c r="B846" s="26">
        <v>2013</v>
      </c>
      <c r="C846" s="74" t="s">
        <v>248</v>
      </c>
      <c r="D846" s="27">
        <v>0</v>
      </c>
      <c r="E846" s="53">
        <v>6200000000</v>
      </c>
      <c r="F846" s="53">
        <v>6200000000</v>
      </c>
      <c r="G846" s="53">
        <v>888858414.07000005</v>
      </c>
      <c r="H846" s="53">
        <v>518059421.70999998</v>
      </c>
      <c r="I846" s="53">
        <v>522883580.81</v>
      </c>
      <c r="J846" s="53">
        <v>472864543.75999999</v>
      </c>
      <c r="K846" s="53">
        <v>494680957.52999997</v>
      </c>
      <c r="L846" s="53">
        <v>314387883.38</v>
      </c>
      <c r="M846" s="53">
        <v>408484281.17000002</v>
      </c>
      <c r="N846" s="53">
        <v>253290594.65000001</v>
      </c>
      <c r="O846" s="53">
        <v>311562302.42000002</v>
      </c>
      <c r="P846" s="53">
        <v>358485260.05000001</v>
      </c>
      <c r="Q846" s="53">
        <v>330931011.38999999</v>
      </c>
      <c r="R846" s="53">
        <v>395529305.88999999</v>
      </c>
    </row>
    <row r="847" spans="1:18" x14ac:dyDescent="0.25">
      <c r="A847" s="25" t="s">
        <v>246</v>
      </c>
      <c r="B847" s="26">
        <v>2013</v>
      </c>
      <c r="C847" s="74" t="s">
        <v>245</v>
      </c>
      <c r="D847" s="27">
        <v>0</v>
      </c>
      <c r="E847" s="53">
        <v>850000000</v>
      </c>
      <c r="F847" s="53">
        <v>850000000</v>
      </c>
      <c r="G847" s="53">
        <v>0</v>
      </c>
      <c r="H847" s="53">
        <v>67411763.299999997</v>
      </c>
      <c r="I847" s="53">
        <v>63976813.060000002</v>
      </c>
      <c r="J847" s="53">
        <v>59600150.960000001</v>
      </c>
      <c r="K847" s="53">
        <v>75763686.950000003</v>
      </c>
      <c r="L847" s="53">
        <v>90055291.469999999</v>
      </c>
      <c r="M847" s="53">
        <v>66767585.200000003</v>
      </c>
      <c r="N847" s="53">
        <v>98804100.950000003</v>
      </c>
      <c r="O847" s="53">
        <v>72629823.049999997</v>
      </c>
      <c r="P847" s="53">
        <v>68915589.810000002</v>
      </c>
      <c r="Q847" s="53">
        <v>85036962.900000006</v>
      </c>
      <c r="R847" s="53">
        <v>117234555.73999999</v>
      </c>
    </row>
    <row r="848" spans="1:18" x14ac:dyDescent="0.25">
      <c r="A848" s="25" t="s">
        <v>244</v>
      </c>
      <c r="B848" s="26">
        <v>2013</v>
      </c>
      <c r="C848" s="74" t="s">
        <v>243</v>
      </c>
      <c r="D848" s="27">
        <v>0</v>
      </c>
      <c r="E848" s="53">
        <v>3950000000</v>
      </c>
      <c r="F848" s="53">
        <v>3950000000</v>
      </c>
      <c r="G848" s="53">
        <v>0</v>
      </c>
      <c r="H848" s="53">
        <v>298454232.93000001</v>
      </c>
      <c r="I848" s="53">
        <v>0</v>
      </c>
      <c r="J848" s="53">
        <v>0</v>
      </c>
      <c r="K848" s="53">
        <v>866165711.90999997</v>
      </c>
      <c r="L848" s="53">
        <v>313246232.95999998</v>
      </c>
      <c r="M848" s="53">
        <v>289903563.98000002</v>
      </c>
      <c r="N848" s="53">
        <v>331656494.87</v>
      </c>
      <c r="O848" s="53">
        <v>316432281.70999998</v>
      </c>
      <c r="P848" s="53">
        <v>320929900.43000001</v>
      </c>
      <c r="Q848" s="53">
        <v>385981485.04000002</v>
      </c>
      <c r="R848" s="53">
        <v>668630651.28999996</v>
      </c>
    </row>
    <row r="849" spans="1:18" x14ac:dyDescent="0.25">
      <c r="A849" s="25" t="s">
        <v>242</v>
      </c>
      <c r="B849" s="26">
        <v>2013</v>
      </c>
      <c r="C849" s="74" t="s">
        <v>241</v>
      </c>
      <c r="D849" s="27">
        <v>0</v>
      </c>
      <c r="E849" s="53">
        <v>9000000000</v>
      </c>
      <c r="F849" s="53">
        <v>9000000000</v>
      </c>
      <c r="G849" s="53">
        <v>965932.8</v>
      </c>
      <c r="H849" s="53">
        <v>674322630.02999997</v>
      </c>
      <c r="I849" s="53">
        <v>687611121.50999999</v>
      </c>
      <c r="J849" s="53">
        <v>606605878.41999996</v>
      </c>
      <c r="K849" s="53">
        <v>773113971.36000001</v>
      </c>
      <c r="L849" s="53">
        <v>658869573.79999995</v>
      </c>
      <c r="M849" s="53">
        <v>520747400.32999998</v>
      </c>
      <c r="N849" s="53">
        <v>599092213.63</v>
      </c>
      <c r="O849" s="53">
        <v>599951982.79999995</v>
      </c>
      <c r="P849" s="53">
        <v>637836778.89999998</v>
      </c>
      <c r="Q849" s="53">
        <v>709932246.25</v>
      </c>
      <c r="R849" s="53">
        <v>1213359987.05</v>
      </c>
    </row>
    <row r="850" spans="1:18" x14ac:dyDescent="0.25">
      <c r="A850" s="25" t="s">
        <v>240</v>
      </c>
      <c r="B850" s="26">
        <v>2013</v>
      </c>
      <c r="C850" s="74" t="s">
        <v>239</v>
      </c>
      <c r="D850" s="27">
        <v>0</v>
      </c>
      <c r="E850" s="53">
        <v>965000000</v>
      </c>
      <c r="F850" s="53">
        <v>965000000</v>
      </c>
      <c r="G850" s="53">
        <v>81234086.120000005</v>
      </c>
      <c r="H850" s="53">
        <v>60544290.649999999</v>
      </c>
      <c r="I850" s="53">
        <v>60852986.229999997</v>
      </c>
      <c r="J850" s="53">
        <v>52310101.420000002</v>
      </c>
      <c r="K850" s="53">
        <v>76704192.700000003</v>
      </c>
      <c r="L850" s="53">
        <v>104109460.12</v>
      </c>
      <c r="M850" s="53">
        <v>98740286.609999999</v>
      </c>
      <c r="N850" s="53">
        <v>82367011.170000002</v>
      </c>
      <c r="O850" s="53">
        <v>68403910.25</v>
      </c>
      <c r="P850" s="53">
        <v>83783407.230000004</v>
      </c>
      <c r="Q850" s="53">
        <v>86551585.739999995</v>
      </c>
      <c r="R850" s="53">
        <v>67313965.569999993</v>
      </c>
    </row>
    <row r="851" spans="1:18" x14ac:dyDescent="0.25">
      <c r="A851" s="25" t="s">
        <v>236</v>
      </c>
      <c r="B851" s="26">
        <v>2013</v>
      </c>
      <c r="C851" s="74" t="s">
        <v>235</v>
      </c>
      <c r="D851" s="27">
        <v>0</v>
      </c>
      <c r="E851" s="53">
        <v>5150000000</v>
      </c>
      <c r="F851" s="53">
        <v>5150000000</v>
      </c>
      <c r="G851" s="53">
        <v>479585807.48000002</v>
      </c>
      <c r="H851" s="53">
        <v>289085502.48000002</v>
      </c>
      <c r="I851" s="53">
        <v>740139881.45000005</v>
      </c>
      <c r="J851" s="53">
        <v>289199239.61000001</v>
      </c>
      <c r="K851" s="53">
        <v>380256955.19999999</v>
      </c>
      <c r="L851" s="53">
        <v>306510768.72000003</v>
      </c>
      <c r="M851" s="53">
        <v>402140592.75</v>
      </c>
      <c r="N851" s="53">
        <v>520076471.25</v>
      </c>
      <c r="O851" s="53">
        <v>389546184.75</v>
      </c>
      <c r="P851" s="53">
        <v>611714233.63999999</v>
      </c>
      <c r="Q851" s="53">
        <v>415628610.56999999</v>
      </c>
      <c r="R851" s="53">
        <v>683904304.50999999</v>
      </c>
    </row>
    <row r="852" spans="1:18" x14ac:dyDescent="0.25">
      <c r="A852" s="25" t="s">
        <v>234</v>
      </c>
      <c r="B852" s="26">
        <v>2013</v>
      </c>
      <c r="C852" s="74" t="s">
        <v>233</v>
      </c>
      <c r="D852" s="27">
        <v>0</v>
      </c>
      <c r="E852" s="53">
        <v>128000000</v>
      </c>
      <c r="F852" s="53">
        <v>128000000</v>
      </c>
      <c r="G852" s="53">
        <v>8294678.4100000001</v>
      </c>
      <c r="H852" s="53">
        <v>9139764.5099999998</v>
      </c>
      <c r="I852" s="53">
        <v>9055767.3200000003</v>
      </c>
      <c r="J852" s="53">
        <v>6223</v>
      </c>
      <c r="K852" s="53">
        <v>25084597.739999998</v>
      </c>
      <c r="L852" s="53">
        <v>11426529.029999999</v>
      </c>
      <c r="M852" s="53">
        <v>12640553.57</v>
      </c>
      <c r="N852" s="53">
        <v>10946859.02</v>
      </c>
      <c r="O852" s="53">
        <v>12485734.48</v>
      </c>
      <c r="P852" s="53">
        <v>14854287.49</v>
      </c>
      <c r="Q852" s="53">
        <v>15546083.24</v>
      </c>
      <c r="R852" s="53">
        <v>28121.25</v>
      </c>
    </row>
    <row r="853" spans="1:18" x14ac:dyDescent="0.25">
      <c r="A853" s="25" t="s">
        <v>230</v>
      </c>
      <c r="B853" s="26">
        <v>2013</v>
      </c>
      <c r="C853" s="74" t="s">
        <v>229</v>
      </c>
      <c r="D853" s="27">
        <v>0</v>
      </c>
      <c r="E853" s="53">
        <v>23000000000</v>
      </c>
      <c r="F853" s="53">
        <v>23000000000</v>
      </c>
      <c r="G853" s="53">
        <v>2813725198.5799999</v>
      </c>
      <c r="H853" s="53">
        <v>1808175026.0799999</v>
      </c>
      <c r="I853" s="53">
        <v>1735479400.9100001</v>
      </c>
      <c r="J853" s="53">
        <v>1936156961.7</v>
      </c>
      <c r="K853" s="53">
        <v>1346237564.54</v>
      </c>
      <c r="L853" s="53">
        <v>2098257859.1500001</v>
      </c>
      <c r="M853" s="53">
        <v>1591957018.8900001</v>
      </c>
      <c r="N853" s="53">
        <v>1361562603.8</v>
      </c>
      <c r="O853" s="53">
        <v>2215714641.4099998</v>
      </c>
      <c r="P853" s="53">
        <v>1849435967.47</v>
      </c>
      <c r="Q853" s="53">
        <v>1944591278.21</v>
      </c>
      <c r="R853" s="53">
        <v>1707962687.9100001</v>
      </c>
    </row>
    <row r="854" spans="1:18" x14ac:dyDescent="0.25">
      <c r="A854" s="25" t="s">
        <v>228</v>
      </c>
      <c r="B854" s="26">
        <v>2013</v>
      </c>
      <c r="C854" s="74" t="s">
        <v>227</v>
      </c>
      <c r="D854" s="27">
        <v>0</v>
      </c>
      <c r="E854" s="53">
        <v>22000000000</v>
      </c>
      <c r="F854" s="53">
        <v>22000000000</v>
      </c>
      <c r="G854" s="53">
        <v>1636972767.95</v>
      </c>
      <c r="H854" s="53">
        <v>1680963671.78</v>
      </c>
      <c r="I854" s="53">
        <v>1788175015.8199999</v>
      </c>
      <c r="J854" s="53">
        <v>1805992981.49</v>
      </c>
      <c r="K854" s="53">
        <v>1773395761.6600001</v>
      </c>
      <c r="L854" s="53">
        <v>1759053973.26</v>
      </c>
      <c r="M854" s="53">
        <v>1814889319.9200001</v>
      </c>
      <c r="N854" s="53">
        <v>1900720620.73</v>
      </c>
      <c r="O854" s="53">
        <v>1879355837.0899999</v>
      </c>
      <c r="P854" s="53">
        <v>1841595109.8</v>
      </c>
      <c r="Q854" s="53">
        <v>1331510730.8199999</v>
      </c>
      <c r="R854" s="53">
        <v>1877020379.8900001</v>
      </c>
    </row>
    <row r="855" spans="1:18" x14ac:dyDescent="0.25">
      <c r="A855" s="25" t="s">
        <v>226</v>
      </c>
      <c r="B855" s="26">
        <v>2013</v>
      </c>
      <c r="C855" s="74" t="s">
        <v>225</v>
      </c>
      <c r="D855" s="27">
        <v>0</v>
      </c>
      <c r="E855" s="53">
        <v>12500000000</v>
      </c>
      <c r="F855" s="53">
        <v>12500000000</v>
      </c>
      <c r="G855" s="53">
        <v>1091292564.4200001</v>
      </c>
      <c r="H855" s="53">
        <v>986648482.47000003</v>
      </c>
      <c r="I855" s="53">
        <v>984990403.66999996</v>
      </c>
      <c r="J855" s="53">
        <v>982056257.63999999</v>
      </c>
      <c r="K855" s="53">
        <v>1097465835.6600001</v>
      </c>
      <c r="L855" s="53">
        <v>1037499581.25</v>
      </c>
      <c r="M855" s="53">
        <v>1029408829.63</v>
      </c>
      <c r="N855" s="53">
        <v>1043297882.85</v>
      </c>
      <c r="O855" s="53">
        <v>1177452241.28</v>
      </c>
      <c r="P855" s="53">
        <v>1047835755.74</v>
      </c>
      <c r="Q855" s="53">
        <v>1068661123.22</v>
      </c>
      <c r="R855" s="53">
        <v>1226903085.99</v>
      </c>
    </row>
    <row r="856" spans="1:18" x14ac:dyDescent="0.25">
      <c r="A856" s="25" t="s">
        <v>222</v>
      </c>
      <c r="B856" s="26">
        <v>2013</v>
      </c>
      <c r="C856" s="74" t="s">
        <v>221</v>
      </c>
      <c r="D856" s="27">
        <v>0</v>
      </c>
      <c r="E856" s="53">
        <v>1000000</v>
      </c>
      <c r="F856" s="53">
        <v>1000000</v>
      </c>
      <c r="G856" s="53">
        <v>11319.53</v>
      </c>
      <c r="H856" s="53">
        <v>179967.02</v>
      </c>
      <c r="I856" s="53">
        <v>68034.009999999995</v>
      </c>
      <c r="J856" s="53">
        <v>184980.66</v>
      </c>
      <c r="K856" s="53">
        <v>200610.06</v>
      </c>
      <c r="L856" s="53">
        <v>0</v>
      </c>
      <c r="M856" s="53">
        <v>102118.64</v>
      </c>
      <c r="N856" s="53">
        <v>71419.3</v>
      </c>
      <c r="O856" s="53">
        <v>349353.12</v>
      </c>
      <c r="P856" s="53">
        <v>14783.93</v>
      </c>
      <c r="Q856" s="53">
        <v>122348.92</v>
      </c>
      <c r="R856" s="53">
        <v>133871.29999999999</v>
      </c>
    </row>
    <row r="857" spans="1:18" x14ac:dyDescent="0.25">
      <c r="A857" s="25" t="s">
        <v>409</v>
      </c>
      <c r="B857" s="26">
        <v>2013</v>
      </c>
      <c r="C857" s="74" t="s">
        <v>408</v>
      </c>
      <c r="D857" s="27">
        <v>0</v>
      </c>
      <c r="E857" s="53">
        <v>25000000</v>
      </c>
      <c r="F857" s="53">
        <v>25000000</v>
      </c>
      <c r="G857" s="53">
        <v>1321456.6200000001</v>
      </c>
      <c r="H857" s="53">
        <v>1878543.33</v>
      </c>
      <c r="I857" s="53">
        <v>2621277.4300000002</v>
      </c>
      <c r="J857" s="53">
        <v>2300267.31</v>
      </c>
      <c r="K857" s="53">
        <v>3132359.86</v>
      </c>
      <c r="L857" s="53">
        <v>2094140.48</v>
      </c>
      <c r="M857" s="53">
        <v>2067074.66</v>
      </c>
      <c r="N857" s="53">
        <v>1882617.25</v>
      </c>
      <c r="O857" s="53">
        <v>2399154.34</v>
      </c>
      <c r="P857" s="53">
        <v>3304553.73</v>
      </c>
      <c r="Q857" s="53">
        <v>2521173.06</v>
      </c>
      <c r="R857" s="53">
        <v>2919216.06</v>
      </c>
    </row>
    <row r="858" spans="1:18" x14ac:dyDescent="0.25">
      <c r="A858" s="25" t="s">
        <v>215</v>
      </c>
      <c r="B858" s="26">
        <v>2013</v>
      </c>
      <c r="C858" s="74" t="s">
        <v>214</v>
      </c>
      <c r="D858" s="27">
        <v>0</v>
      </c>
      <c r="E858" s="53">
        <v>16000000</v>
      </c>
      <c r="F858" s="53">
        <v>16000000</v>
      </c>
      <c r="G858" s="53">
        <v>360750</v>
      </c>
      <c r="H858" s="53">
        <v>212250</v>
      </c>
      <c r="I858" s="53">
        <v>1261390.5</v>
      </c>
      <c r="J858" s="53">
        <v>2934531</v>
      </c>
      <c r="K858" s="53">
        <v>1223640.5</v>
      </c>
      <c r="L858" s="53">
        <v>1671640.5</v>
      </c>
      <c r="M858" s="53">
        <v>1223640.5</v>
      </c>
      <c r="N858" s="53">
        <v>1671640.5</v>
      </c>
      <c r="O858" s="53">
        <v>1223640.5</v>
      </c>
      <c r="P858" s="53">
        <v>1223640.5</v>
      </c>
      <c r="Q858" s="53">
        <v>1209390.5</v>
      </c>
      <c r="R858" s="53">
        <v>9053640.5</v>
      </c>
    </row>
    <row r="859" spans="1:18" x14ac:dyDescent="0.25">
      <c r="A859" s="25" t="s">
        <v>213</v>
      </c>
      <c r="B859" s="26">
        <v>2013</v>
      </c>
      <c r="C859" s="74" t="s">
        <v>212</v>
      </c>
      <c r="D859" s="27">
        <v>0</v>
      </c>
      <c r="E859" s="53">
        <v>227000000</v>
      </c>
      <c r="F859" s="53">
        <v>227000000</v>
      </c>
      <c r="G859" s="53">
        <v>1625476.49</v>
      </c>
      <c r="H859" s="53">
        <v>21397949.280000001</v>
      </c>
      <c r="I859" s="53">
        <v>18852930.609999999</v>
      </c>
      <c r="J859" s="53">
        <v>22858766.59</v>
      </c>
      <c r="K859" s="53">
        <v>33789059.119999997</v>
      </c>
      <c r="L859" s="53">
        <v>15203824.640000001</v>
      </c>
      <c r="M859" s="53">
        <v>12897992.58</v>
      </c>
      <c r="N859" s="53">
        <v>41261737.100000001</v>
      </c>
      <c r="O859" s="53">
        <v>42519163.030000001</v>
      </c>
      <c r="P859" s="53">
        <v>3909794.48</v>
      </c>
      <c r="Q859" s="53">
        <v>18820251.579999998</v>
      </c>
      <c r="R859" s="53">
        <v>118769753.38</v>
      </c>
    </row>
    <row r="860" spans="1:18" x14ac:dyDescent="0.25">
      <c r="A860" s="25" t="s">
        <v>211</v>
      </c>
      <c r="B860" s="26">
        <v>2013</v>
      </c>
      <c r="C860" s="74" t="s">
        <v>210</v>
      </c>
      <c r="D860" s="27">
        <v>0</v>
      </c>
      <c r="E860" s="53">
        <v>172000000</v>
      </c>
      <c r="F860" s="53">
        <v>172000000</v>
      </c>
      <c r="G860" s="53">
        <v>11744866.390000001</v>
      </c>
      <c r="H860" s="53">
        <v>22904215.73</v>
      </c>
      <c r="I860" s="53">
        <v>22391153.18</v>
      </c>
      <c r="J860" s="53">
        <v>2918840.65</v>
      </c>
      <c r="K860" s="53">
        <v>4224826.37</v>
      </c>
      <c r="L860" s="53">
        <v>36701947.240000002</v>
      </c>
      <c r="M860" s="53">
        <v>34821437.640000001</v>
      </c>
      <c r="N860" s="53">
        <v>6363605</v>
      </c>
      <c r="O860" s="53">
        <v>17815930.460000001</v>
      </c>
      <c r="P860" s="53">
        <v>1375114.71</v>
      </c>
      <c r="Q860" s="53">
        <v>4692133.99</v>
      </c>
      <c r="R860" s="53">
        <v>25980976.609999999</v>
      </c>
    </row>
    <row r="861" spans="1:18" x14ac:dyDescent="0.25">
      <c r="A861" s="25" t="s">
        <v>433</v>
      </c>
      <c r="B861" s="26">
        <v>2013</v>
      </c>
      <c r="C861" s="74" t="s">
        <v>432</v>
      </c>
      <c r="D861" s="27">
        <v>0</v>
      </c>
      <c r="E861" s="53">
        <v>27000000</v>
      </c>
      <c r="F861" s="53">
        <v>27000000</v>
      </c>
      <c r="G861" s="53">
        <v>6207667.2999999998</v>
      </c>
      <c r="H861" s="53">
        <v>9523284.2599999998</v>
      </c>
      <c r="I861" s="53">
        <v>299253121.02999997</v>
      </c>
      <c r="J861" s="53">
        <v>270832216.36000001</v>
      </c>
      <c r="K861" s="53">
        <v>-557067443.94000006</v>
      </c>
      <c r="L861" s="53">
        <v>-2330955.96</v>
      </c>
      <c r="M861" s="53">
        <v>27500</v>
      </c>
      <c r="N861" s="53">
        <v>3741303.34</v>
      </c>
      <c r="O861" s="53">
        <v>-3692391.56</v>
      </c>
      <c r="P861" s="53">
        <v>0</v>
      </c>
      <c r="Q861" s="53">
        <v>0</v>
      </c>
      <c r="R861" s="53">
        <v>12488553.109999999</v>
      </c>
    </row>
    <row r="862" spans="1:18" x14ac:dyDescent="0.25">
      <c r="A862" s="25" t="s">
        <v>407</v>
      </c>
      <c r="B862" s="26">
        <v>2013</v>
      </c>
      <c r="C862" s="74" t="s">
        <v>406</v>
      </c>
      <c r="D862" s="27">
        <v>0</v>
      </c>
      <c r="E862" s="53">
        <v>0</v>
      </c>
      <c r="F862" s="53">
        <v>0</v>
      </c>
      <c r="G862" s="53">
        <v>0</v>
      </c>
      <c r="H862" s="53">
        <v>0</v>
      </c>
      <c r="I862" s="53">
        <v>0</v>
      </c>
      <c r="J862" s="53">
        <v>0</v>
      </c>
      <c r="K862" s="53">
        <v>0</v>
      </c>
      <c r="L862" s="53">
        <v>0</v>
      </c>
      <c r="M862" s="53">
        <v>120199.23</v>
      </c>
      <c r="N862" s="53">
        <v>0</v>
      </c>
      <c r="O862" s="53">
        <v>0</v>
      </c>
      <c r="P862" s="53">
        <v>0</v>
      </c>
      <c r="Q862" s="53">
        <v>0</v>
      </c>
      <c r="R862" s="53">
        <v>0</v>
      </c>
    </row>
    <row r="863" spans="1:18" x14ac:dyDescent="0.25">
      <c r="A863" s="25" t="s">
        <v>207</v>
      </c>
      <c r="B863" s="26">
        <v>2013</v>
      </c>
      <c r="C863" s="74" t="s">
        <v>206</v>
      </c>
      <c r="D863" s="27">
        <v>0</v>
      </c>
      <c r="E863" s="53">
        <v>0</v>
      </c>
      <c r="F863" s="53">
        <v>0</v>
      </c>
      <c r="G863" s="53">
        <v>0</v>
      </c>
      <c r="H863" s="53">
        <v>0</v>
      </c>
      <c r="I863" s="53">
        <v>0</v>
      </c>
      <c r="J863" s="53">
        <v>0</v>
      </c>
      <c r="K863" s="53">
        <v>0</v>
      </c>
      <c r="L863" s="53">
        <v>0</v>
      </c>
      <c r="M863" s="53">
        <v>0</v>
      </c>
      <c r="N863" s="53">
        <v>0</v>
      </c>
      <c r="O863" s="53">
        <v>0</v>
      </c>
      <c r="P863" s="53">
        <v>0</v>
      </c>
      <c r="Q863" s="53">
        <v>0</v>
      </c>
      <c r="R863" s="53">
        <v>863891036.76999998</v>
      </c>
    </row>
    <row r="864" spans="1:18" x14ac:dyDescent="0.25">
      <c r="A864" s="25" t="s">
        <v>374</v>
      </c>
      <c r="B864" s="26">
        <v>2013</v>
      </c>
      <c r="C864" s="74" t="s">
        <v>405</v>
      </c>
      <c r="D864" s="27">
        <v>0</v>
      </c>
      <c r="E864" s="53">
        <v>0</v>
      </c>
      <c r="F864" s="53">
        <v>0</v>
      </c>
      <c r="G864" s="53">
        <v>2250</v>
      </c>
      <c r="H864" s="53">
        <v>2050</v>
      </c>
      <c r="I864" s="53">
        <v>3350</v>
      </c>
      <c r="J864" s="53">
        <v>555149</v>
      </c>
      <c r="K864" s="53">
        <v>151200</v>
      </c>
      <c r="L864" s="53">
        <v>1200</v>
      </c>
      <c r="M864" s="53">
        <v>2200</v>
      </c>
      <c r="N864" s="53">
        <v>2650</v>
      </c>
      <c r="O864" s="53">
        <v>1700</v>
      </c>
      <c r="P864" s="53">
        <v>3300</v>
      </c>
      <c r="Q864" s="53">
        <v>19400</v>
      </c>
      <c r="R864" s="53">
        <v>2400</v>
      </c>
    </row>
    <row r="865" spans="1:18" x14ac:dyDescent="0.25">
      <c r="A865" s="25" t="s">
        <v>203</v>
      </c>
      <c r="B865" s="26">
        <v>2013</v>
      </c>
      <c r="C865" s="74" t="s">
        <v>202</v>
      </c>
      <c r="D865" s="27">
        <v>0</v>
      </c>
      <c r="E865" s="53">
        <v>3186000000</v>
      </c>
      <c r="F865" s="53">
        <v>3186000000</v>
      </c>
      <c r="G865" s="53">
        <v>266872778.58000001</v>
      </c>
      <c r="H865" s="53">
        <v>99248549.439999998</v>
      </c>
      <c r="I865" s="53">
        <v>37894073.390000001</v>
      </c>
      <c r="J865" s="53">
        <v>35287916.93</v>
      </c>
      <c r="K865" s="53">
        <v>30989363.510000002</v>
      </c>
      <c r="L865" s="53">
        <v>16880087</v>
      </c>
      <c r="M865" s="53">
        <v>16432628.619999999</v>
      </c>
      <c r="N865" s="53">
        <v>13907311.699999999</v>
      </c>
      <c r="O865" s="53">
        <v>9574516.0999999996</v>
      </c>
      <c r="P865" s="53">
        <v>16725921.85</v>
      </c>
      <c r="Q865" s="53">
        <v>251884571.09</v>
      </c>
      <c r="R865" s="53">
        <v>2423900449.4699998</v>
      </c>
    </row>
    <row r="866" spans="1:18" x14ac:dyDescent="0.25">
      <c r="A866" s="25" t="s">
        <v>200</v>
      </c>
      <c r="B866" s="26">
        <v>2013</v>
      </c>
      <c r="C866" s="74" t="s">
        <v>199</v>
      </c>
      <c r="D866" s="27">
        <v>0</v>
      </c>
      <c r="E866" s="53">
        <v>45000000</v>
      </c>
      <c r="F866" s="53">
        <v>45000000</v>
      </c>
      <c r="G866" s="53">
        <v>3839887.12</v>
      </c>
      <c r="H866" s="53">
        <v>4866366.9800000004</v>
      </c>
      <c r="I866" s="53">
        <v>2946177.6</v>
      </c>
      <c r="J866" s="53">
        <v>4557205</v>
      </c>
      <c r="K866" s="53">
        <v>4832717.5199999996</v>
      </c>
      <c r="L866" s="53">
        <v>1629939.75</v>
      </c>
      <c r="M866" s="53">
        <v>4238565.96</v>
      </c>
      <c r="N866" s="53">
        <v>4482704.24</v>
      </c>
      <c r="O866" s="53">
        <v>2539301.2999999998</v>
      </c>
      <c r="P866" s="53">
        <v>4317322.68</v>
      </c>
      <c r="Q866" s="53">
        <v>1905891.36</v>
      </c>
      <c r="R866" s="53">
        <v>4146610.74</v>
      </c>
    </row>
    <row r="867" spans="1:18" x14ac:dyDescent="0.25">
      <c r="A867" s="25" t="s">
        <v>198</v>
      </c>
      <c r="B867" s="26">
        <v>2013</v>
      </c>
      <c r="C867" s="74" t="s">
        <v>197</v>
      </c>
      <c r="D867" s="27">
        <v>0</v>
      </c>
      <c r="E867" s="53">
        <v>3000000</v>
      </c>
      <c r="F867" s="53">
        <v>3000000</v>
      </c>
      <c r="G867" s="53">
        <v>157850</v>
      </c>
      <c r="H867" s="53">
        <v>76940</v>
      </c>
      <c r="I867" s="53">
        <v>168810</v>
      </c>
      <c r="J867" s="53">
        <v>214836</v>
      </c>
      <c r="K867" s="53">
        <v>272079</v>
      </c>
      <c r="L867" s="53">
        <v>315592</v>
      </c>
      <c r="M867" s="53">
        <v>303012</v>
      </c>
      <c r="N867" s="53">
        <v>420954</v>
      </c>
      <c r="O867" s="53">
        <v>297639</v>
      </c>
      <c r="P867" s="53">
        <v>249002</v>
      </c>
      <c r="Q867" s="53">
        <v>124279</v>
      </c>
      <c r="R867" s="53">
        <v>368261</v>
      </c>
    </row>
    <row r="868" spans="1:18" x14ac:dyDescent="0.25">
      <c r="A868" s="25" t="s">
        <v>196</v>
      </c>
      <c r="B868" s="26">
        <v>2013</v>
      </c>
      <c r="C868" s="74" t="s">
        <v>195</v>
      </c>
      <c r="D868" s="27">
        <v>0</v>
      </c>
      <c r="E868" s="53">
        <v>100000000</v>
      </c>
      <c r="F868" s="53">
        <v>100000000</v>
      </c>
      <c r="G868" s="53">
        <v>7726772.5</v>
      </c>
      <c r="H868" s="53">
        <v>7440122.1799999997</v>
      </c>
      <c r="I868" s="53">
        <v>8229528.5</v>
      </c>
      <c r="J868" s="53">
        <v>8833966.5</v>
      </c>
      <c r="K868" s="53">
        <v>7714531.5</v>
      </c>
      <c r="L868" s="53">
        <v>6188156.0499999998</v>
      </c>
      <c r="M868" s="53">
        <v>6633322.5</v>
      </c>
      <c r="N868" s="53">
        <v>7005990.5</v>
      </c>
      <c r="O868" s="53">
        <v>7548610</v>
      </c>
      <c r="P868" s="53">
        <v>9279009.4600000009</v>
      </c>
      <c r="Q868" s="53">
        <v>4724621</v>
      </c>
      <c r="R868" s="53">
        <v>10737604</v>
      </c>
    </row>
    <row r="869" spans="1:18" x14ac:dyDescent="0.25">
      <c r="A869" s="25" t="s">
        <v>194</v>
      </c>
      <c r="B869" s="26">
        <v>2013</v>
      </c>
      <c r="C869" s="74" t="s">
        <v>193</v>
      </c>
      <c r="D869" s="27">
        <v>0</v>
      </c>
      <c r="E869" s="53">
        <v>50000000</v>
      </c>
      <c r="F869" s="53">
        <v>50000000</v>
      </c>
      <c r="G869" s="53">
        <v>3379455</v>
      </c>
      <c r="H869" s="53">
        <v>2423900.9900000002</v>
      </c>
      <c r="I869" s="53">
        <v>4314378</v>
      </c>
      <c r="J869" s="53">
        <v>3231645.95</v>
      </c>
      <c r="K869" s="53">
        <v>4413752</v>
      </c>
      <c r="L869" s="53">
        <v>5414104</v>
      </c>
      <c r="M869" s="53">
        <v>7054291</v>
      </c>
      <c r="N869" s="53">
        <v>4521328</v>
      </c>
      <c r="O869" s="53">
        <v>4983541</v>
      </c>
      <c r="P869" s="53">
        <v>2829176.8</v>
      </c>
      <c r="Q869" s="53">
        <v>2888937.7</v>
      </c>
      <c r="R869" s="53">
        <v>7985965</v>
      </c>
    </row>
    <row r="870" spans="1:18" x14ac:dyDescent="0.25">
      <c r="A870" s="25" t="s">
        <v>187</v>
      </c>
      <c r="B870" s="26">
        <v>2013</v>
      </c>
      <c r="C870" s="74" t="s">
        <v>186</v>
      </c>
      <c r="D870" s="27">
        <v>0</v>
      </c>
      <c r="E870" s="53">
        <v>24000000</v>
      </c>
      <c r="F870" s="53">
        <v>24000000</v>
      </c>
      <c r="G870" s="53">
        <v>3057000</v>
      </c>
      <c r="H870" s="53">
        <v>1580000</v>
      </c>
      <c r="I870" s="53">
        <v>1376000</v>
      </c>
      <c r="J870" s="53">
        <v>2260700</v>
      </c>
      <c r="K870" s="53">
        <v>2152072</v>
      </c>
      <c r="L870" s="53">
        <v>1997265</v>
      </c>
      <c r="M870" s="53">
        <v>2402000</v>
      </c>
      <c r="N870" s="53">
        <v>1636000</v>
      </c>
      <c r="O870" s="53">
        <v>2143000</v>
      </c>
      <c r="P870" s="53">
        <v>1172000</v>
      </c>
      <c r="Q870" s="53">
        <v>1070000</v>
      </c>
      <c r="R870" s="53">
        <v>1527965</v>
      </c>
    </row>
    <row r="871" spans="1:18" x14ac:dyDescent="0.25">
      <c r="A871" s="25" t="s">
        <v>185</v>
      </c>
      <c r="B871" s="26">
        <v>2013</v>
      </c>
      <c r="C871" s="74" t="s">
        <v>184</v>
      </c>
      <c r="D871" s="27">
        <v>0</v>
      </c>
      <c r="E871" s="53">
        <v>40000000</v>
      </c>
      <c r="F871" s="53">
        <v>40000000</v>
      </c>
      <c r="G871" s="53">
        <v>0</v>
      </c>
      <c r="H871" s="53">
        <v>4724000</v>
      </c>
      <c r="I871" s="53">
        <v>16835000</v>
      </c>
      <c r="J871" s="53">
        <v>244500</v>
      </c>
      <c r="K871" s="53">
        <v>3352000</v>
      </c>
      <c r="L871" s="53">
        <v>3646000</v>
      </c>
      <c r="M871" s="53">
        <v>14500</v>
      </c>
      <c r="N871" s="53">
        <v>0</v>
      </c>
      <c r="O871" s="53">
        <v>2360000</v>
      </c>
      <c r="P871" s="53">
        <v>247000</v>
      </c>
      <c r="Q871" s="53">
        <v>90000</v>
      </c>
      <c r="R871" s="53">
        <v>1762000</v>
      </c>
    </row>
    <row r="872" spans="1:18" x14ac:dyDescent="0.25">
      <c r="A872" s="25" t="s">
        <v>176</v>
      </c>
      <c r="B872" s="26">
        <v>2013</v>
      </c>
      <c r="C872" s="74" t="s">
        <v>175</v>
      </c>
      <c r="D872" s="27">
        <v>0</v>
      </c>
      <c r="E872" s="53">
        <v>236000000</v>
      </c>
      <c r="F872" s="53">
        <v>236000000</v>
      </c>
      <c r="G872" s="53">
        <v>8050192.2599999998</v>
      </c>
      <c r="H872" s="53">
        <v>19097124.460000001</v>
      </c>
      <c r="I872" s="53">
        <v>8357137.4699999997</v>
      </c>
      <c r="J872" s="53">
        <v>21472514.899999999</v>
      </c>
      <c r="K872" s="53">
        <v>20039661.73</v>
      </c>
      <c r="L872" s="53">
        <v>32059734.329999998</v>
      </c>
      <c r="M872" s="53">
        <v>71411715.730000004</v>
      </c>
      <c r="N872" s="53">
        <v>19748991.73</v>
      </c>
      <c r="O872" s="53">
        <v>6657225.7999999998</v>
      </c>
      <c r="P872" s="53">
        <v>10726132.949999999</v>
      </c>
      <c r="Q872" s="53">
        <v>8500638.9900000002</v>
      </c>
      <c r="R872" s="53">
        <v>52034733.759999998</v>
      </c>
    </row>
    <row r="873" spans="1:18" x14ac:dyDescent="0.25">
      <c r="A873" s="25" t="s">
        <v>174</v>
      </c>
      <c r="B873" s="26">
        <v>2013</v>
      </c>
      <c r="C873" s="74" t="s">
        <v>173</v>
      </c>
      <c r="D873" s="27">
        <v>0</v>
      </c>
      <c r="E873" s="53">
        <v>123000000</v>
      </c>
      <c r="F873" s="53">
        <v>123000000</v>
      </c>
      <c r="G873" s="53">
        <v>0</v>
      </c>
      <c r="H873" s="53">
        <v>0</v>
      </c>
      <c r="I873" s="53">
        <v>0</v>
      </c>
      <c r="J873" s="53">
        <v>15</v>
      </c>
      <c r="K873" s="53">
        <v>0</v>
      </c>
      <c r="L873" s="53">
        <v>0</v>
      </c>
      <c r="M873" s="53">
        <v>83915473.450000003</v>
      </c>
      <c r="N873" s="53">
        <v>0</v>
      </c>
      <c r="O873" s="53">
        <v>0</v>
      </c>
      <c r="P873" s="53">
        <v>93590.19</v>
      </c>
      <c r="Q873" s="53">
        <v>0</v>
      </c>
      <c r="R873" s="53">
        <v>78670751.459999993</v>
      </c>
    </row>
    <row r="874" spans="1:18" x14ac:dyDescent="0.25">
      <c r="A874" s="25" t="s">
        <v>172</v>
      </c>
      <c r="B874" s="26">
        <v>2013</v>
      </c>
      <c r="C874" s="74" t="s">
        <v>171</v>
      </c>
      <c r="D874" s="27">
        <v>0</v>
      </c>
      <c r="E874" s="53">
        <v>1000000</v>
      </c>
      <c r="F874" s="53">
        <v>1000000</v>
      </c>
      <c r="G874" s="53">
        <v>0</v>
      </c>
      <c r="H874" s="53">
        <v>409502.48</v>
      </c>
      <c r="I874" s="53">
        <v>1295</v>
      </c>
      <c r="J874" s="53">
        <v>50</v>
      </c>
      <c r="K874" s="53">
        <v>0</v>
      </c>
      <c r="L874" s="53">
        <v>0</v>
      </c>
      <c r="M874" s="53">
        <v>5265</v>
      </c>
      <c r="N874" s="53">
        <v>0</v>
      </c>
      <c r="O874" s="53">
        <v>72120</v>
      </c>
      <c r="P874" s="53">
        <v>0</v>
      </c>
      <c r="Q874" s="53">
        <v>7553445</v>
      </c>
      <c r="R874" s="53">
        <v>870849.57</v>
      </c>
    </row>
    <row r="875" spans="1:18" x14ac:dyDescent="0.25">
      <c r="A875" s="25" t="s">
        <v>170</v>
      </c>
      <c r="B875" s="26">
        <v>2013</v>
      </c>
      <c r="C875" s="74" t="s">
        <v>168</v>
      </c>
      <c r="D875" s="27">
        <v>0</v>
      </c>
      <c r="E875" s="53">
        <v>974000000</v>
      </c>
      <c r="F875" s="53">
        <v>974000000</v>
      </c>
      <c r="G875" s="53">
        <v>67988556.950000003</v>
      </c>
      <c r="H875" s="53">
        <v>23170428.379999999</v>
      </c>
      <c r="I875" s="53">
        <v>100602613.53</v>
      </c>
      <c r="J875" s="53">
        <v>49168928.659999996</v>
      </c>
      <c r="K875" s="53">
        <v>81161410.420000002</v>
      </c>
      <c r="L875" s="53">
        <v>327409229.63</v>
      </c>
      <c r="M875" s="53">
        <v>-43651463.890000001</v>
      </c>
      <c r="N875" s="53">
        <v>101420172.41</v>
      </c>
      <c r="O875" s="53">
        <v>74777329.799999997</v>
      </c>
      <c r="P875" s="53">
        <v>40438746.030000001</v>
      </c>
      <c r="Q875" s="53">
        <v>32620855.710000001</v>
      </c>
      <c r="R875" s="53">
        <v>220801264.59999999</v>
      </c>
    </row>
    <row r="876" spans="1:18" x14ac:dyDescent="0.25">
      <c r="A876" s="25" t="s">
        <v>167</v>
      </c>
      <c r="B876" s="26">
        <v>2013</v>
      </c>
      <c r="C876" s="74" t="s">
        <v>166</v>
      </c>
      <c r="D876" s="27">
        <v>0</v>
      </c>
      <c r="E876" s="53">
        <v>5440000000</v>
      </c>
      <c r="F876" s="53">
        <v>5440000000</v>
      </c>
      <c r="G876" s="53">
        <v>338834409</v>
      </c>
      <c r="H876" s="53">
        <v>470086767</v>
      </c>
      <c r="I876" s="53">
        <v>257130135</v>
      </c>
      <c r="J876" s="53">
        <v>365448133.32999998</v>
      </c>
      <c r="K876" s="53">
        <v>737267082</v>
      </c>
      <c r="L876" s="53">
        <v>576371699</v>
      </c>
      <c r="M876" s="53">
        <v>361824599.81</v>
      </c>
      <c r="N876" s="53">
        <v>460851643</v>
      </c>
      <c r="O876" s="53">
        <v>398698904.17000002</v>
      </c>
      <c r="P876" s="53">
        <v>446977650.18000001</v>
      </c>
      <c r="Q876" s="53">
        <v>602412326.29999995</v>
      </c>
      <c r="R876" s="53">
        <v>877824810.57000005</v>
      </c>
    </row>
    <row r="877" spans="1:18" x14ac:dyDescent="0.25">
      <c r="A877" s="25" t="s">
        <v>165</v>
      </c>
      <c r="B877" s="26">
        <v>2013</v>
      </c>
      <c r="C877" s="74" t="s">
        <v>164</v>
      </c>
      <c r="D877" s="27">
        <v>0</v>
      </c>
      <c r="E877" s="53">
        <v>65000000</v>
      </c>
      <c r="F877" s="53">
        <v>65000000</v>
      </c>
      <c r="G877" s="53">
        <v>7730570.8300000001</v>
      </c>
      <c r="H877" s="53">
        <v>35715000</v>
      </c>
      <c r="I877" s="53">
        <v>1393000</v>
      </c>
      <c r="J877" s="53">
        <v>1350325.48</v>
      </c>
      <c r="K877" s="53">
        <v>323484.98</v>
      </c>
      <c r="L877" s="53">
        <v>0</v>
      </c>
      <c r="M877" s="53">
        <v>14824777.439999999</v>
      </c>
      <c r="N877" s="53">
        <v>1730000</v>
      </c>
      <c r="O877" s="53">
        <v>286094.5</v>
      </c>
      <c r="P877" s="53">
        <v>-3541533</v>
      </c>
      <c r="Q877" s="53">
        <v>8224287.5099999998</v>
      </c>
      <c r="R877" s="53">
        <v>13411384.67</v>
      </c>
    </row>
    <row r="878" spans="1:18" x14ac:dyDescent="0.25">
      <c r="A878" s="25" t="s">
        <v>445</v>
      </c>
      <c r="B878" s="26">
        <v>2013</v>
      </c>
      <c r="C878" s="74" t="s">
        <v>444</v>
      </c>
      <c r="D878" s="27">
        <v>0</v>
      </c>
      <c r="E878" s="53">
        <v>10000000</v>
      </c>
      <c r="F878" s="53">
        <v>10000000</v>
      </c>
      <c r="G878" s="53">
        <v>0</v>
      </c>
      <c r="H878" s="53">
        <v>0</v>
      </c>
      <c r="I878" s="53">
        <v>0</v>
      </c>
      <c r="J878" s="53">
        <v>0</v>
      </c>
      <c r="K878" s="53">
        <v>0</v>
      </c>
      <c r="L878" s="53">
        <v>0</v>
      </c>
      <c r="M878" s="53">
        <v>84275.93</v>
      </c>
      <c r="N878" s="53">
        <v>-84275.93</v>
      </c>
      <c r="O878" s="53">
        <v>0</v>
      </c>
      <c r="P878" s="53">
        <v>0</v>
      </c>
      <c r="Q878" s="53">
        <v>35712555.350000001</v>
      </c>
      <c r="R878" s="53">
        <v>0</v>
      </c>
    </row>
    <row r="879" spans="1:18" x14ac:dyDescent="0.25">
      <c r="A879" s="25" t="s">
        <v>163</v>
      </c>
      <c r="B879" s="26">
        <v>2013</v>
      </c>
      <c r="C879" s="74" t="s">
        <v>162</v>
      </c>
      <c r="D879" s="27">
        <v>0</v>
      </c>
      <c r="E879" s="53">
        <v>220000000</v>
      </c>
      <c r="F879" s="53">
        <v>220000000</v>
      </c>
      <c r="G879" s="53">
        <v>1593500</v>
      </c>
      <c r="H879" s="53">
        <v>10823500</v>
      </c>
      <c r="I879" s="53">
        <v>18861500</v>
      </c>
      <c r="J879" s="53">
        <v>13476500</v>
      </c>
      <c r="K879" s="53">
        <v>10182000</v>
      </c>
      <c r="L879" s="53">
        <v>8395500</v>
      </c>
      <c r="M879" s="53">
        <v>5929500</v>
      </c>
      <c r="N879" s="53">
        <v>9310000</v>
      </c>
      <c r="O879" s="53">
        <v>132513859</v>
      </c>
      <c r="P879" s="53">
        <v>39201603.060000002</v>
      </c>
      <c r="Q879" s="53">
        <v>130680859</v>
      </c>
      <c r="R879" s="53">
        <v>32877995</v>
      </c>
    </row>
    <row r="880" spans="1:18" x14ac:dyDescent="0.25">
      <c r="A880" s="25" t="s">
        <v>161</v>
      </c>
      <c r="B880" s="26">
        <v>2013</v>
      </c>
      <c r="C880" s="74" t="s">
        <v>160</v>
      </c>
      <c r="D880" s="27">
        <v>0</v>
      </c>
      <c r="E880" s="53">
        <v>150000000</v>
      </c>
      <c r="F880" s="53">
        <v>150000000</v>
      </c>
      <c r="G880" s="53">
        <v>6424761.1299999999</v>
      </c>
      <c r="H880" s="53">
        <v>6957925.7800000003</v>
      </c>
      <c r="I880" s="53">
        <v>13999879.6</v>
      </c>
      <c r="J880" s="53">
        <v>63400651.609999999</v>
      </c>
      <c r="K880" s="53">
        <v>29964312.710000001</v>
      </c>
      <c r="L880" s="53">
        <v>3480365.29</v>
      </c>
      <c r="M880" s="53">
        <v>8788692.1999999993</v>
      </c>
      <c r="N880" s="53">
        <v>6911127.6799999997</v>
      </c>
      <c r="O880" s="53">
        <v>1555399.97</v>
      </c>
      <c r="P880" s="53">
        <v>15169209</v>
      </c>
      <c r="Q880" s="53">
        <v>9972303.5999999996</v>
      </c>
      <c r="R880" s="53">
        <v>13098683.58</v>
      </c>
    </row>
    <row r="881" spans="1:18" x14ac:dyDescent="0.25">
      <c r="A881" s="25" t="s">
        <v>159</v>
      </c>
      <c r="B881" s="26">
        <v>2013</v>
      </c>
      <c r="C881" s="74" t="s">
        <v>158</v>
      </c>
      <c r="D881" s="27">
        <v>0</v>
      </c>
      <c r="E881" s="53">
        <v>386933757.54000002</v>
      </c>
      <c r="F881" s="53">
        <v>386933757.54000002</v>
      </c>
      <c r="G881" s="53">
        <v>0</v>
      </c>
      <c r="H881" s="53">
        <v>0</v>
      </c>
      <c r="I881" s="53">
        <v>0</v>
      </c>
      <c r="J881" s="53">
        <v>0</v>
      </c>
      <c r="K881" s="53">
        <v>0</v>
      </c>
      <c r="L881" s="53">
        <v>0</v>
      </c>
      <c r="M881" s="53">
        <v>0</v>
      </c>
      <c r="N881" s="53">
        <v>0</v>
      </c>
      <c r="O881" s="53">
        <v>0</v>
      </c>
      <c r="P881" s="53">
        <v>386933757.54000002</v>
      </c>
      <c r="Q881" s="53">
        <v>0</v>
      </c>
      <c r="R881" s="53">
        <v>0</v>
      </c>
    </row>
    <row r="882" spans="1:18" x14ac:dyDescent="0.25">
      <c r="A882" s="25" t="s">
        <v>153</v>
      </c>
      <c r="B882" s="26">
        <v>2013</v>
      </c>
      <c r="C882" s="74" t="s">
        <v>151</v>
      </c>
      <c r="D882" s="27">
        <v>0</v>
      </c>
      <c r="E882" s="53">
        <v>120000000</v>
      </c>
      <c r="F882" s="53">
        <v>120000000</v>
      </c>
      <c r="G882" s="53">
        <v>528979</v>
      </c>
      <c r="H882" s="53">
        <v>188300</v>
      </c>
      <c r="I882" s="53">
        <v>6422854.3799999999</v>
      </c>
      <c r="J882" s="53">
        <v>16196814.49</v>
      </c>
      <c r="K882" s="53">
        <v>93181653.370000005</v>
      </c>
      <c r="L882" s="53">
        <v>775960</v>
      </c>
      <c r="M882" s="53">
        <v>-609505.57999999996</v>
      </c>
      <c r="N882" s="53">
        <v>924084.4</v>
      </c>
      <c r="O882" s="53">
        <v>130000</v>
      </c>
      <c r="P882" s="53">
        <v>17928987</v>
      </c>
      <c r="Q882" s="53">
        <v>17770696.609999999</v>
      </c>
      <c r="R882" s="53">
        <v>4500021.5599999996</v>
      </c>
    </row>
    <row r="883" spans="1:18" x14ac:dyDescent="0.25">
      <c r="A883" s="25" t="s">
        <v>150</v>
      </c>
      <c r="B883" s="26">
        <v>2013</v>
      </c>
      <c r="C883" s="74" t="s">
        <v>149</v>
      </c>
      <c r="D883" s="27">
        <v>0</v>
      </c>
      <c r="E883" s="53">
        <v>65000000</v>
      </c>
      <c r="F883" s="53">
        <v>65000000</v>
      </c>
      <c r="G883" s="53">
        <v>0</v>
      </c>
      <c r="H883" s="53">
        <v>2987515.6</v>
      </c>
      <c r="I883" s="53">
        <v>1905738.09</v>
      </c>
      <c r="J883" s="53">
        <v>2017072.88</v>
      </c>
      <c r="K883" s="53">
        <v>3467564.98</v>
      </c>
      <c r="L883" s="53">
        <v>1793614.58</v>
      </c>
      <c r="M883" s="53">
        <v>42946795.490000002</v>
      </c>
      <c r="N883" s="53">
        <v>984826</v>
      </c>
      <c r="O883" s="53">
        <v>688881</v>
      </c>
      <c r="P883" s="53">
        <v>11321660</v>
      </c>
      <c r="Q883" s="53">
        <v>0</v>
      </c>
      <c r="R883" s="53">
        <v>25095524.719999999</v>
      </c>
    </row>
    <row r="884" spans="1:18" x14ac:dyDescent="0.25">
      <c r="A884" s="25" t="s">
        <v>144</v>
      </c>
      <c r="B884" s="26">
        <v>2013</v>
      </c>
      <c r="C884" s="74" t="s">
        <v>143</v>
      </c>
      <c r="D884" s="27">
        <v>0</v>
      </c>
      <c r="E884" s="53">
        <v>6041400000</v>
      </c>
      <c r="F884" s="53">
        <v>6041400000</v>
      </c>
      <c r="G884" s="53">
        <v>88210038.519999996</v>
      </c>
      <c r="H884" s="53">
        <v>178185731.11000001</v>
      </c>
      <c r="I884" s="53">
        <v>171424209.93000001</v>
      </c>
      <c r="J884" s="53">
        <v>829860584.41999996</v>
      </c>
      <c r="K884" s="53">
        <v>309382974.35000002</v>
      </c>
      <c r="L884" s="53">
        <v>114083397.55</v>
      </c>
      <c r="M884" s="53">
        <v>188090380.44</v>
      </c>
      <c r="N884" s="53">
        <v>244672753.90000001</v>
      </c>
      <c r="O884" s="53">
        <v>175282007.13999999</v>
      </c>
      <c r="P884" s="53">
        <v>277587267.54000002</v>
      </c>
      <c r="Q884" s="53">
        <v>371848652.56</v>
      </c>
      <c r="R884" s="53">
        <v>2974848454.8899999</v>
      </c>
    </row>
    <row r="885" spans="1:18" x14ac:dyDescent="0.25">
      <c r="A885" s="25" t="s">
        <v>142</v>
      </c>
      <c r="B885" s="26">
        <v>2013</v>
      </c>
      <c r="C885" s="74" t="s">
        <v>141</v>
      </c>
      <c r="D885" s="27">
        <v>0</v>
      </c>
      <c r="E885" s="53">
        <v>850000000</v>
      </c>
      <c r="F885" s="53">
        <v>850000000</v>
      </c>
      <c r="G885" s="53">
        <v>35215734.689999998</v>
      </c>
      <c r="H885" s="53">
        <v>50924208.909999996</v>
      </c>
      <c r="I885" s="53">
        <v>43392641.799999997</v>
      </c>
      <c r="J885" s="53">
        <v>50073436.57</v>
      </c>
      <c r="K885" s="53">
        <v>54935386.960000001</v>
      </c>
      <c r="L885" s="53">
        <v>120440065.06</v>
      </c>
      <c r="M885" s="53">
        <v>75191507.739999995</v>
      </c>
      <c r="N885" s="53">
        <v>142894673.33000001</v>
      </c>
      <c r="O885" s="53">
        <v>222113650.24000001</v>
      </c>
      <c r="P885" s="53">
        <v>125914219.04000001</v>
      </c>
      <c r="Q885" s="53">
        <v>1139782189.9000001</v>
      </c>
      <c r="R885" s="53">
        <v>-935372957.35000002</v>
      </c>
    </row>
    <row r="886" spans="1:18" x14ac:dyDescent="0.25">
      <c r="A886" s="25" t="s">
        <v>140</v>
      </c>
      <c r="B886" s="26">
        <v>2013</v>
      </c>
      <c r="C886" s="74" t="s">
        <v>139</v>
      </c>
      <c r="D886" s="27">
        <v>0</v>
      </c>
      <c r="E886" s="53">
        <v>24511200000</v>
      </c>
      <c r="F886" s="53">
        <v>24511200000</v>
      </c>
      <c r="G886" s="53">
        <v>0</v>
      </c>
      <c r="H886" s="53">
        <v>0</v>
      </c>
      <c r="I886" s="53">
        <v>0</v>
      </c>
      <c r="J886" s="53">
        <v>0</v>
      </c>
      <c r="K886" s="53">
        <v>0</v>
      </c>
      <c r="L886" s="53">
        <v>3377040779</v>
      </c>
      <c r="M886" s="53">
        <v>3422923170</v>
      </c>
      <c r="N886" s="53">
        <v>0</v>
      </c>
      <c r="O886" s="53">
        <v>12053299715</v>
      </c>
      <c r="P886" s="53">
        <v>2059098860</v>
      </c>
      <c r="Q886" s="53">
        <v>2644616092</v>
      </c>
      <c r="R886" s="53">
        <v>2778713222</v>
      </c>
    </row>
    <row r="887" spans="1:18" x14ac:dyDescent="0.25">
      <c r="A887" s="25" t="s">
        <v>372</v>
      </c>
      <c r="B887" s="26">
        <v>2013</v>
      </c>
      <c r="C887" s="74" t="s">
        <v>398</v>
      </c>
      <c r="D887" s="27">
        <v>0</v>
      </c>
      <c r="E887" s="53">
        <v>1800000000</v>
      </c>
      <c r="F887" s="53">
        <v>1800000000</v>
      </c>
      <c r="G887" s="53">
        <v>0</v>
      </c>
      <c r="H887" s="53">
        <v>0</v>
      </c>
      <c r="I887" s="53">
        <v>0</v>
      </c>
      <c r="J887" s="53">
        <v>0</v>
      </c>
      <c r="K887" s="53">
        <v>0</v>
      </c>
      <c r="L887" s="53">
        <v>0</v>
      </c>
      <c r="M887" s="53">
        <v>0</v>
      </c>
      <c r="N887" s="53">
        <v>0</v>
      </c>
      <c r="O887" s="53">
        <v>0</v>
      </c>
      <c r="P887" s="53">
        <v>0</v>
      </c>
      <c r="Q887" s="53">
        <v>0</v>
      </c>
      <c r="R887" s="53">
        <v>0</v>
      </c>
    </row>
    <row r="888" spans="1:18" x14ac:dyDescent="0.25">
      <c r="A888" s="25" t="s">
        <v>138</v>
      </c>
      <c r="B888" s="26">
        <v>2013</v>
      </c>
      <c r="C888" s="74" t="s">
        <v>137</v>
      </c>
      <c r="D888" s="27">
        <v>0</v>
      </c>
      <c r="E888" s="53">
        <v>5724158092.6999998</v>
      </c>
      <c r="F888" s="53">
        <v>5724158092.6999998</v>
      </c>
      <c r="G888" s="53">
        <v>0</v>
      </c>
      <c r="H888" s="53">
        <v>0</v>
      </c>
      <c r="I888" s="53">
        <v>0</v>
      </c>
      <c r="J888" s="53">
        <v>0</v>
      </c>
      <c r="K888" s="53">
        <v>495995000</v>
      </c>
      <c r="L888" s="53">
        <v>0</v>
      </c>
      <c r="M888" s="53">
        <v>1563318750</v>
      </c>
      <c r="N888" s="53">
        <v>429425000</v>
      </c>
      <c r="O888" s="53">
        <v>-395995000</v>
      </c>
      <c r="P888" s="53">
        <v>866975000</v>
      </c>
      <c r="Q888" s="53">
        <v>507175000</v>
      </c>
      <c r="R888" s="53">
        <v>1033745000</v>
      </c>
    </row>
    <row r="889" spans="1:18" x14ac:dyDescent="0.25">
      <c r="A889" s="25" t="s">
        <v>136</v>
      </c>
      <c r="B889" s="26">
        <v>2013</v>
      </c>
      <c r="C889" s="74" t="s">
        <v>135</v>
      </c>
      <c r="D889" s="27">
        <v>0</v>
      </c>
      <c r="E889" s="53">
        <v>300000000</v>
      </c>
      <c r="F889" s="53">
        <v>300000000</v>
      </c>
      <c r="G889" s="53">
        <v>0</v>
      </c>
      <c r="H889" s="53">
        <v>0</v>
      </c>
      <c r="I889" s="53">
        <v>50000000</v>
      </c>
      <c r="J889" s="53">
        <v>0</v>
      </c>
      <c r="K889" s="53">
        <v>100000000</v>
      </c>
      <c r="L889" s="53">
        <v>0</v>
      </c>
      <c r="M889" s="53">
        <v>0</v>
      </c>
      <c r="N889" s="53">
        <v>150000000</v>
      </c>
      <c r="O889" s="53">
        <v>395995000</v>
      </c>
      <c r="P889" s="53">
        <v>0</v>
      </c>
      <c r="Q889" s="53">
        <v>0</v>
      </c>
      <c r="R889" s="53">
        <v>-395995000</v>
      </c>
    </row>
    <row r="890" spans="1:18" x14ac:dyDescent="0.25">
      <c r="A890" s="25" t="s">
        <v>134</v>
      </c>
      <c r="B890" s="26">
        <v>2013</v>
      </c>
      <c r="C890" s="74" t="s">
        <v>133</v>
      </c>
      <c r="D890" s="27">
        <v>0</v>
      </c>
      <c r="E890" s="53">
        <v>57000000000</v>
      </c>
      <c r="F890" s="53">
        <v>57000000000</v>
      </c>
      <c r="G890" s="53">
        <v>0</v>
      </c>
      <c r="H890" s="53">
        <v>2000000000</v>
      </c>
      <c r="I890" s="53">
        <v>6000000000</v>
      </c>
      <c r="J890" s="53">
        <v>9579741340</v>
      </c>
      <c r="K890" s="53">
        <v>6000000000</v>
      </c>
      <c r="L890" s="53">
        <v>6000000000</v>
      </c>
      <c r="M890" s="53">
        <v>461150000</v>
      </c>
      <c r="N890" s="53">
        <v>12036808660</v>
      </c>
      <c r="O890" s="53">
        <v>0</v>
      </c>
      <c r="P890" s="53">
        <v>12000000000</v>
      </c>
      <c r="Q890" s="53">
        <v>2922300000</v>
      </c>
      <c r="R890" s="53">
        <v>0</v>
      </c>
    </row>
    <row r="891" spans="1:18" x14ac:dyDescent="0.25">
      <c r="A891" s="25" t="s">
        <v>132</v>
      </c>
      <c r="B891" s="26">
        <v>2013</v>
      </c>
      <c r="C891" s="74" t="s">
        <v>131</v>
      </c>
      <c r="D891" s="27">
        <v>0</v>
      </c>
      <c r="E891" s="53">
        <v>19423912066</v>
      </c>
      <c r="F891" s="53">
        <v>19423912066</v>
      </c>
      <c r="G891" s="53">
        <v>0</v>
      </c>
      <c r="H891" s="53">
        <v>0</v>
      </c>
      <c r="I891" s="53">
        <v>4477402029</v>
      </c>
      <c r="J891" s="53">
        <v>0</v>
      </c>
      <c r="K891" s="53">
        <v>11980899471</v>
      </c>
      <c r="L891" s="53">
        <v>2826101878</v>
      </c>
      <c r="M891" s="53">
        <v>2252778356</v>
      </c>
      <c r="N891" s="53">
        <v>0</v>
      </c>
      <c r="O891" s="53">
        <v>-8353952343</v>
      </c>
      <c r="P891" s="53">
        <v>607289156</v>
      </c>
      <c r="Q891" s="53">
        <v>1921556692</v>
      </c>
      <c r="R891" s="53">
        <v>1684153773</v>
      </c>
    </row>
    <row r="892" spans="1:18" x14ac:dyDescent="0.25">
      <c r="A892" s="25" t="s">
        <v>130</v>
      </c>
      <c r="B892" s="26">
        <v>2013</v>
      </c>
      <c r="C892" s="74" t="s">
        <v>129</v>
      </c>
      <c r="D892" s="27">
        <v>0</v>
      </c>
      <c r="E892" s="53">
        <v>42000000000</v>
      </c>
      <c r="F892" s="53">
        <v>42000000000</v>
      </c>
      <c r="G892" s="53">
        <v>0</v>
      </c>
      <c r="H892" s="53">
        <v>0</v>
      </c>
      <c r="I892" s="53">
        <v>7000000000</v>
      </c>
      <c r="J892" s="53">
        <v>0</v>
      </c>
      <c r="K892" s="53">
        <v>8000000000</v>
      </c>
      <c r="L892" s="53">
        <v>4000000000</v>
      </c>
      <c r="M892" s="53">
        <v>4000000000</v>
      </c>
      <c r="N892" s="53">
        <v>0</v>
      </c>
      <c r="O892" s="53">
        <v>6000000000</v>
      </c>
      <c r="P892" s="53">
        <v>3000000000</v>
      </c>
      <c r="Q892" s="53">
        <v>10000000000</v>
      </c>
      <c r="R892" s="53">
        <v>0</v>
      </c>
    </row>
    <row r="893" spans="1:18" x14ac:dyDescent="0.25">
      <c r="A893" s="25" t="s">
        <v>128</v>
      </c>
      <c r="B893" s="26">
        <v>2013</v>
      </c>
      <c r="C893" s="74" t="s">
        <v>127</v>
      </c>
      <c r="D893" s="27">
        <v>0</v>
      </c>
      <c r="E893" s="53">
        <v>6701400000</v>
      </c>
      <c r="F893" s="53">
        <v>6701400000</v>
      </c>
      <c r="G893" s="53">
        <v>0</v>
      </c>
      <c r="H893" s="53">
        <v>558453333.33000004</v>
      </c>
      <c r="I893" s="53">
        <v>558453333.33000004</v>
      </c>
      <c r="J893" s="53">
        <v>558453333.33000004</v>
      </c>
      <c r="K893" s="53">
        <v>1091786666.6600001</v>
      </c>
      <c r="L893" s="53">
        <v>558453333.33000004</v>
      </c>
      <c r="M893" s="53">
        <v>558453333.35000002</v>
      </c>
      <c r="N893" s="53">
        <v>558453333.33000004</v>
      </c>
      <c r="O893" s="53">
        <v>0</v>
      </c>
      <c r="P893" s="53">
        <v>1116906666.6700001</v>
      </c>
      <c r="Q893" s="53">
        <v>1675360000</v>
      </c>
      <c r="R893" s="53">
        <v>0</v>
      </c>
    </row>
    <row r="894" spans="1:18" x14ac:dyDescent="0.25">
      <c r="A894" s="25" t="s">
        <v>126</v>
      </c>
      <c r="B894" s="26">
        <v>2013</v>
      </c>
      <c r="C894" s="74" t="s">
        <v>125</v>
      </c>
      <c r="D894" s="27">
        <v>0</v>
      </c>
      <c r="E894" s="53">
        <v>2300300000</v>
      </c>
      <c r="F894" s="53">
        <v>2300300000</v>
      </c>
      <c r="G894" s="53">
        <v>0</v>
      </c>
      <c r="H894" s="53">
        <v>576319724.05999994</v>
      </c>
      <c r="I894" s="53">
        <v>81229144.319999993</v>
      </c>
      <c r="J894" s="53">
        <v>70676847.849999994</v>
      </c>
      <c r="K894" s="53">
        <v>594621184.04999995</v>
      </c>
      <c r="L894" s="53">
        <v>76891428</v>
      </c>
      <c r="M894" s="53">
        <v>88473950</v>
      </c>
      <c r="N894" s="53">
        <v>80252483</v>
      </c>
      <c r="O894" s="53">
        <v>0</v>
      </c>
      <c r="P894" s="53">
        <v>211433917</v>
      </c>
      <c r="Q894" s="53">
        <v>100376780</v>
      </c>
      <c r="R894" s="53">
        <v>102723062</v>
      </c>
    </row>
    <row r="895" spans="1:18" x14ac:dyDescent="0.25">
      <c r="A895" s="25" t="s">
        <v>122</v>
      </c>
      <c r="B895" s="26">
        <v>2013</v>
      </c>
      <c r="C895" s="74" t="s">
        <v>121</v>
      </c>
      <c r="D895" s="27">
        <v>0</v>
      </c>
      <c r="E895" s="53">
        <v>5154800000</v>
      </c>
      <c r="F895" s="53">
        <v>5154800000</v>
      </c>
      <c r="G895" s="53">
        <v>0</v>
      </c>
      <c r="H895" s="53">
        <v>0</v>
      </c>
      <c r="I895" s="53">
        <v>0</v>
      </c>
      <c r="J895" s="53">
        <v>853760807.88</v>
      </c>
      <c r="K895" s="53">
        <v>175738679.63</v>
      </c>
      <c r="L895" s="53">
        <v>176316952.63999999</v>
      </c>
      <c r="M895" s="53">
        <v>176680920.31</v>
      </c>
      <c r="N895" s="53">
        <v>189231560.36000001</v>
      </c>
      <c r="O895" s="53">
        <v>0</v>
      </c>
      <c r="P895" s="53">
        <v>190374800.90000001</v>
      </c>
      <c r="Q895" s="53">
        <v>372965682.11000001</v>
      </c>
      <c r="R895" s="53">
        <v>515404947.05000001</v>
      </c>
    </row>
    <row r="896" spans="1:18" x14ac:dyDescent="0.25">
      <c r="A896" s="25" t="s">
        <v>115</v>
      </c>
      <c r="B896" s="26">
        <v>2013</v>
      </c>
      <c r="C896" s="74" t="s">
        <v>114</v>
      </c>
      <c r="D896" s="27">
        <v>0</v>
      </c>
      <c r="E896" s="53">
        <v>3100000</v>
      </c>
      <c r="F896" s="53">
        <v>3100000</v>
      </c>
      <c r="G896" s="53">
        <v>0</v>
      </c>
      <c r="H896" s="53">
        <v>0</v>
      </c>
      <c r="I896" s="53">
        <v>3100000</v>
      </c>
      <c r="J896" s="53">
        <v>0</v>
      </c>
      <c r="K896" s="53">
        <v>0</v>
      </c>
      <c r="L896" s="53">
        <v>0</v>
      </c>
      <c r="M896" s="53">
        <v>0</v>
      </c>
      <c r="N896" s="53">
        <v>0</v>
      </c>
      <c r="O896" s="53">
        <v>0</v>
      </c>
      <c r="P896" s="53">
        <v>0</v>
      </c>
      <c r="Q896" s="53">
        <v>0</v>
      </c>
      <c r="R896" s="53">
        <v>0</v>
      </c>
    </row>
    <row r="897" spans="1:18" x14ac:dyDescent="0.25">
      <c r="A897" s="25" t="s">
        <v>113</v>
      </c>
      <c r="B897" s="26">
        <v>2013</v>
      </c>
      <c r="C897" s="74" t="s">
        <v>112</v>
      </c>
      <c r="D897" s="27">
        <v>0</v>
      </c>
      <c r="E897" s="53">
        <v>200000</v>
      </c>
      <c r="F897" s="53">
        <v>200000</v>
      </c>
      <c r="G897" s="53">
        <v>0</v>
      </c>
      <c r="H897" s="53">
        <v>0</v>
      </c>
      <c r="I897" s="53">
        <v>0</v>
      </c>
      <c r="J897" s="53">
        <v>0</v>
      </c>
      <c r="K897" s="53">
        <v>0</v>
      </c>
      <c r="L897" s="53">
        <v>0</v>
      </c>
      <c r="M897" s="53">
        <v>0</v>
      </c>
      <c r="N897" s="53">
        <v>0</v>
      </c>
      <c r="O897" s="53">
        <v>0</v>
      </c>
      <c r="P897" s="53">
        <v>0</v>
      </c>
      <c r="Q897" s="53">
        <v>0</v>
      </c>
      <c r="R897" s="53">
        <v>0</v>
      </c>
    </row>
    <row r="898" spans="1:18" x14ac:dyDescent="0.25">
      <c r="A898" s="25" t="s">
        <v>111</v>
      </c>
      <c r="B898" s="26">
        <v>2013</v>
      </c>
      <c r="C898" s="74" t="s">
        <v>110</v>
      </c>
      <c r="D898" s="27">
        <v>0</v>
      </c>
      <c r="E898" s="53">
        <v>11700000</v>
      </c>
      <c r="F898" s="53">
        <v>11700000</v>
      </c>
      <c r="G898" s="53">
        <v>0</v>
      </c>
      <c r="H898" s="53">
        <v>0</v>
      </c>
      <c r="I898" s="53">
        <v>11700000</v>
      </c>
      <c r="J898" s="53">
        <v>0</v>
      </c>
      <c r="K898" s="53">
        <v>0</v>
      </c>
      <c r="L898" s="53">
        <v>0</v>
      </c>
      <c r="M898" s="53">
        <v>0</v>
      </c>
      <c r="N898" s="53">
        <v>0</v>
      </c>
      <c r="O898" s="53">
        <v>0</v>
      </c>
      <c r="P898" s="53">
        <v>0</v>
      </c>
      <c r="Q898" s="53">
        <v>0</v>
      </c>
      <c r="R898" s="53">
        <v>0</v>
      </c>
    </row>
    <row r="899" spans="1:18" x14ac:dyDescent="0.25">
      <c r="A899" s="25" t="s">
        <v>109</v>
      </c>
      <c r="B899" s="26">
        <v>2013</v>
      </c>
      <c r="C899" s="74" t="s">
        <v>108</v>
      </c>
      <c r="D899" s="27">
        <v>0</v>
      </c>
      <c r="E899" s="53">
        <v>2900000</v>
      </c>
      <c r="F899" s="53">
        <v>2900000</v>
      </c>
      <c r="G899" s="53">
        <v>0</v>
      </c>
      <c r="H899" s="53">
        <v>2900000</v>
      </c>
      <c r="I899" s="53">
        <v>0</v>
      </c>
      <c r="J899" s="53">
        <v>0</v>
      </c>
      <c r="K899" s="53">
        <v>0</v>
      </c>
      <c r="L899" s="53">
        <v>0</v>
      </c>
      <c r="M899" s="53">
        <v>0</v>
      </c>
      <c r="N899" s="53">
        <v>0</v>
      </c>
      <c r="O899" s="53">
        <v>0</v>
      </c>
      <c r="P899" s="53">
        <v>0</v>
      </c>
      <c r="Q899" s="53">
        <v>0</v>
      </c>
      <c r="R899" s="53">
        <v>0</v>
      </c>
    </row>
    <row r="900" spans="1:18" x14ac:dyDescent="0.25">
      <c r="A900" s="25" t="s">
        <v>107</v>
      </c>
      <c r="B900" s="26">
        <v>2013</v>
      </c>
      <c r="C900" s="74" t="s">
        <v>106</v>
      </c>
      <c r="D900" s="27">
        <v>0</v>
      </c>
      <c r="E900" s="53">
        <v>9400000</v>
      </c>
      <c r="F900" s="53">
        <v>9400000</v>
      </c>
      <c r="G900" s="53">
        <v>0</v>
      </c>
      <c r="H900" s="53">
        <v>0</v>
      </c>
      <c r="I900" s="53">
        <v>0</v>
      </c>
      <c r="J900" s="53">
        <v>9400000</v>
      </c>
      <c r="K900" s="53">
        <v>0</v>
      </c>
      <c r="L900" s="53">
        <v>0</v>
      </c>
      <c r="M900" s="53">
        <v>0</v>
      </c>
      <c r="N900" s="53">
        <v>0</v>
      </c>
      <c r="O900" s="53">
        <v>0</v>
      </c>
      <c r="P900" s="53">
        <v>0</v>
      </c>
      <c r="Q900" s="53">
        <v>0</v>
      </c>
      <c r="R900" s="53">
        <v>0</v>
      </c>
    </row>
    <row r="901" spans="1:18" x14ac:dyDescent="0.25">
      <c r="A901" s="25" t="s">
        <v>105</v>
      </c>
      <c r="B901" s="26">
        <v>2013</v>
      </c>
      <c r="C901" s="74" t="s">
        <v>104</v>
      </c>
      <c r="D901" s="27">
        <v>0</v>
      </c>
      <c r="E901" s="53">
        <v>10400000</v>
      </c>
      <c r="F901" s="53">
        <v>10400000</v>
      </c>
      <c r="G901" s="53">
        <v>0</v>
      </c>
      <c r="H901" s="53">
        <v>0</v>
      </c>
      <c r="I901" s="53">
        <v>0</v>
      </c>
      <c r="J901" s="53">
        <v>10400000</v>
      </c>
      <c r="K901" s="53">
        <v>0</v>
      </c>
      <c r="L901" s="53">
        <v>0</v>
      </c>
      <c r="M901" s="53">
        <v>0</v>
      </c>
      <c r="N901" s="53">
        <v>0</v>
      </c>
      <c r="O901" s="53">
        <v>0</v>
      </c>
      <c r="P901" s="53">
        <v>0</v>
      </c>
      <c r="Q901" s="53">
        <v>0</v>
      </c>
      <c r="R901" s="53">
        <v>0</v>
      </c>
    </row>
    <row r="902" spans="1:18" x14ac:dyDescent="0.25">
      <c r="A902" s="25" t="s">
        <v>103</v>
      </c>
      <c r="B902" s="26">
        <v>2013</v>
      </c>
      <c r="C902" s="74" t="s">
        <v>102</v>
      </c>
      <c r="D902" s="27">
        <v>0</v>
      </c>
      <c r="E902" s="53">
        <v>21100000</v>
      </c>
      <c r="F902" s="53">
        <v>21100000</v>
      </c>
      <c r="G902" s="53">
        <v>0</v>
      </c>
      <c r="H902" s="53">
        <v>20000000</v>
      </c>
      <c r="I902" s="53">
        <v>0</v>
      </c>
      <c r="J902" s="53">
        <v>0</v>
      </c>
      <c r="K902" s="53">
        <v>0</v>
      </c>
      <c r="L902" s="53">
        <v>0</v>
      </c>
      <c r="M902" s="53">
        <v>0</v>
      </c>
      <c r="N902" s="53">
        <v>0</v>
      </c>
      <c r="O902" s="53">
        <v>0</v>
      </c>
      <c r="P902" s="53">
        <v>0</v>
      </c>
      <c r="Q902" s="53">
        <v>0</v>
      </c>
      <c r="R902" s="53">
        <v>0</v>
      </c>
    </row>
    <row r="903" spans="1:18" x14ac:dyDescent="0.25">
      <c r="A903" s="25" t="s">
        <v>469</v>
      </c>
      <c r="B903" s="26">
        <v>2013</v>
      </c>
      <c r="C903" s="74" t="s">
        <v>468</v>
      </c>
      <c r="D903" s="27">
        <v>0</v>
      </c>
      <c r="E903" s="53">
        <v>0</v>
      </c>
      <c r="F903" s="53">
        <v>0</v>
      </c>
      <c r="G903" s="53">
        <v>0</v>
      </c>
      <c r="H903" s="53">
        <v>0</v>
      </c>
      <c r="I903" s="53">
        <v>9400000</v>
      </c>
      <c r="J903" s="53">
        <v>-9400000</v>
      </c>
      <c r="K903" s="53">
        <v>0</v>
      </c>
      <c r="L903" s="53">
        <v>0</v>
      </c>
      <c r="M903" s="53">
        <v>0</v>
      </c>
      <c r="N903" s="53">
        <v>0</v>
      </c>
      <c r="O903" s="53">
        <v>0</v>
      </c>
      <c r="P903" s="53">
        <v>0</v>
      </c>
      <c r="Q903" s="53">
        <v>0</v>
      </c>
      <c r="R903" s="53">
        <v>0</v>
      </c>
    </row>
    <row r="904" spans="1:18" x14ac:dyDescent="0.25">
      <c r="A904" s="25" t="s">
        <v>101</v>
      </c>
      <c r="B904" s="26">
        <v>2013</v>
      </c>
      <c r="C904" s="74" t="s">
        <v>100</v>
      </c>
      <c r="D904" s="27">
        <v>0</v>
      </c>
      <c r="E904" s="53">
        <v>3500000</v>
      </c>
      <c r="F904" s="53">
        <v>3500000</v>
      </c>
      <c r="G904" s="53">
        <v>0</v>
      </c>
      <c r="H904" s="53">
        <v>0</v>
      </c>
      <c r="I904" s="53">
        <v>0</v>
      </c>
      <c r="J904" s="53">
        <v>3500000</v>
      </c>
      <c r="K904" s="53">
        <v>0</v>
      </c>
      <c r="L904" s="53">
        <v>0</v>
      </c>
      <c r="M904" s="53">
        <v>0</v>
      </c>
      <c r="N904" s="53">
        <v>0</v>
      </c>
      <c r="O904" s="53">
        <v>0</v>
      </c>
      <c r="P904" s="53">
        <v>0</v>
      </c>
      <c r="Q904" s="53">
        <v>0</v>
      </c>
      <c r="R904" s="53">
        <v>0</v>
      </c>
    </row>
    <row r="905" spans="1:18" x14ac:dyDescent="0.25">
      <c r="A905" s="25" t="s">
        <v>99</v>
      </c>
      <c r="B905" s="26">
        <v>2013</v>
      </c>
      <c r="C905" s="74" t="s">
        <v>98</v>
      </c>
      <c r="D905" s="27">
        <v>0</v>
      </c>
      <c r="E905" s="53">
        <v>14700000</v>
      </c>
      <c r="F905" s="53">
        <v>14700000</v>
      </c>
      <c r="G905" s="53">
        <v>0</v>
      </c>
      <c r="H905" s="53">
        <v>0</v>
      </c>
      <c r="I905" s="53">
        <v>0</v>
      </c>
      <c r="J905" s="53">
        <v>14700000</v>
      </c>
      <c r="K905" s="53">
        <v>0</v>
      </c>
      <c r="L905" s="53">
        <v>0</v>
      </c>
      <c r="M905" s="53">
        <v>0</v>
      </c>
      <c r="N905" s="53">
        <v>0</v>
      </c>
      <c r="O905" s="53">
        <v>0</v>
      </c>
      <c r="P905" s="53">
        <v>0</v>
      </c>
      <c r="Q905" s="53">
        <v>0</v>
      </c>
      <c r="R905" s="53">
        <v>0</v>
      </c>
    </row>
    <row r="906" spans="1:18" x14ac:dyDescent="0.25">
      <c r="A906" s="25" t="s">
        <v>97</v>
      </c>
      <c r="B906" s="26">
        <v>2013</v>
      </c>
      <c r="C906" s="74" t="s">
        <v>96</v>
      </c>
      <c r="D906" s="27">
        <v>0</v>
      </c>
      <c r="E906" s="53">
        <v>3900000</v>
      </c>
      <c r="F906" s="53">
        <v>3900000</v>
      </c>
      <c r="G906" s="53">
        <v>0</v>
      </c>
      <c r="H906" s="53">
        <v>0</v>
      </c>
      <c r="I906" s="53">
        <v>0</v>
      </c>
      <c r="J906" s="53">
        <v>0</v>
      </c>
      <c r="K906" s="53">
        <v>0</v>
      </c>
      <c r="L906" s="53">
        <v>0</v>
      </c>
      <c r="M906" s="53">
        <v>0</v>
      </c>
      <c r="N906" s="53">
        <v>0</v>
      </c>
      <c r="O906" s="53">
        <v>0</v>
      </c>
      <c r="P906" s="53">
        <v>0</v>
      </c>
      <c r="Q906" s="53">
        <v>3900000</v>
      </c>
      <c r="R906" s="53">
        <v>0</v>
      </c>
    </row>
    <row r="907" spans="1:18" x14ac:dyDescent="0.25">
      <c r="A907" s="25" t="s">
        <v>95</v>
      </c>
      <c r="B907" s="26">
        <v>2013</v>
      </c>
      <c r="C907" s="74" t="s">
        <v>94</v>
      </c>
      <c r="D907" s="27">
        <v>0</v>
      </c>
      <c r="E907" s="53">
        <v>38900000</v>
      </c>
      <c r="F907" s="53">
        <v>38900000</v>
      </c>
      <c r="G907" s="53">
        <v>0</v>
      </c>
      <c r="H907" s="53">
        <v>0</v>
      </c>
      <c r="I907" s="53">
        <v>0</v>
      </c>
      <c r="J907" s="53">
        <v>0</v>
      </c>
      <c r="K907" s="53">
        <v>0</v>
      </c>
      <c r="L907" s="53">
        <v>0</v>
      </c>
      <c r="M907" s="53">
        <v>38900000</v>
      </c>
      <c r="N907" s="53">
        <v>0</v>
      </c>
      <c r="O907" s="53">
        <v>0</v>
      </c>
      <c r="P907" s="53">
        <v>0</v>
      </c>
      <c r="Q907" s="53">
        <v>0</v>
      </c>
      <c r="R907" s="53">
        <v>0</v>
      </c>
    </row>
    <row r="908" spans="1:18" x14ac:dyDescent="0.25">
      <c r="A908" s="25" t="s">
        <v>93</v>
      </c>
      <c r="B908" s="26">
        <v>2013</v>
      </c>
      <c r="C908" s="74" t="s">
        <v>92</v>
      </c>
      <c r="D908" s="27">
        <v>0</v>
      </c>
      <c r="E908" s="53">
        <v>3600000</v>
      </c>
      <c r="F908" s="53">
        <v>3600000</v>
      </c>
      <c r="G908" s="53">
        <v>0</v>
      </c>
      <c r="H908" s="53">
        <v>0</v>
      </c>
      <c r="I908" s="53">
        <v>0</v>
      </c>
      <c r="J908" s="53">
        <v>0</v>
      </c>
      <c r="K908" s="53">
        <v>0</v>
      </c>
      <c r="L908" s="53">
        <v>0</v>
      </c>
      <c r="M908" s="53">
        <v>0</v>
      </c>
      <c r="N908" s="53">
        <v>0</v>
      </c>
      <c r="O908" s="53">
        <v>0</v>
      </c>
      <c r="P908" s="53">
        <v>0</v>
      </c>
      <c r="Q908" s="53">
        <v>0</v>
      </c>
      <c r="R908" s="53">
        <v>3600000</v>
      </c>
    </row>
    <row r="909" spans="1:18" x14ac:dyDescent="0.25">
      <c r="A909" s="25" t="s">
        <v>91</v>
      </c>
      <c r="B909" s="26">
        <v>2013</v>
      </c>
      <c r="C909" s="74" t="s">
        <v>90</v>
      </c>
      <c r="D909" s="27">
        <v>0</v>
      </c>
      <c r="E909" s="53">
        <v>4145000000</v>
      </c>
      <c r="F909" s="53">
        <v>4145000000</v>
      </c>
      <c r="G909" s="53">
        <v>0</v>
      </c>
      <c r="H909" s="53">
        <v>0</v>
      </c>
      <c r="I909" s="53">
        <v>0</v>
      </c>
      <c r="J909" s="53">
        <v>0</v>
      </c>
      <c r="K909" s="53">
        <v>4144373149</v>
      </c>
      <c r="L909" s="53">
        <v>0</v>
      </c>
      <c r="M909" s="53">
        <v>0</v>
      </c>
      <c r="N909" s="53">
        <v>0</v>
      </c>
      <c r="O909" s="53">
        <v>0</v>
      </c>
      <c r="P909" s="53">
        <v>0</v>
      </c>
      <c r="Q909" s="53">
        <v>0</v>
      </c>
      <c r="R909" s="53">
        <v>0</v>
      </c>
    </row>
    <row r="910" spans="1:18" x14ac:dyDescent="0.25">
      <c r="A910" s="25" t="s">
        <v>89</v>
      </c>
      <c r="B910" s="26">
        <v>2013</v>
      </c>
      <c r="C910" s="74" t="s">
        <v>88</v>
      </c>
      <c r="D910" s="27">
        <v>0</v>
      </c>
      <c r="E910" s="53">
        <v>398700000</v>
      </c>
      <c r="F910" s="53">
        <v>398700000</v>
      </c>
      <c r="G910" s="53">
        <v>0</v>
      </c>
      <c r="H910" s="53">
        <v>0</v>
      </c>
      <c r="I910" s="53">
        <v>33223370</v>
      </c>
      <c r="J910" s="53">
        <v>0</v>
      </c>
      <c r="K910" s="53">
        <v>33223370</v>
      </c>
      <c r="L910" s="53">
        <v>0</v>
      </c>
      <c r="M910" s="53">
        <v>0</v>
      </c>
      <c r="N910" s="53">
        <v>0</v>
      </c>
      <c r="O910" s="53">
        <v>33223370</v>
      </c>
      <c r="P910" s="53">
        <v>0</v>
      </c>
      <c r="Q910" s="53">
        <v>0</v>
      </c>
      <c r="R910" s="53">
        <v>99670110</v>
      </c>
    </row>
    <row r="911" spans="1:18" x14ac:dyDescent="0.25">
      <c r="A911" s="25" t="s">
        <v>87</v>
      </c>
      <c r="B911" s="26">
        <v>2013</v>
      </c>
      <c r="C911" s="74" t="s">
        <v>86</v>
      </c>
      <c r="D911" s="27">
        <v>0</v>
      </c>
      <c r="E911" s="53">
        <v>1600000000</v>
      </c>
      <c r="F911" s="53">
        <v>1600000000</v>
      </c>
      <c r="G911" s="53">
        <v>0</v>
      </c>
      <c r="H911" s="53">
        <v>670000000</v>
      </c>
      <c r="I911" s="53">
        <v>0</v>
      </c>
      <c r="J911" s="53">
        <v>0</v>
      </c>
      <c r="K911" s="53">
        <v>0</v>
      </c>
      <c r="L911" s="53">
        <v>0</v>
      </c>
      <c r="M911" s="53">
        <v>0</v>
      </c>
      <c r="N911" s="53">
        <v>164113623</v>
      </c>
      <c r="O911" s="53">
        <v>157722416</v>
      </c>
      <c r="P911" s="53">
        <v>0</v>
      </c>
      <c r="Q911" s="53">
        <v>0</v>
      </c>
      <c r="R911" s="53">
        <v>0</v>
      </c>
    </row>
    <row r="912" spans="1:18" x14ac:dyDescent="0.25">
      <c r="A912" s="25" t="s">
        <v>83</v>
      </c>
      <c r="B912" s="26">
        <v>2013</v>
      </c>
      <c r="C912" s="74" t="s">
        <v>82</v>
      </c>
      <c r="D912" s="27">
        <v>0</v>
      </c>
      <c r="E912" s="53">
        <v>220000000</v>
      </c>
      <c r="F912" s="53">
        <v>220000000</v>
      </c>
      <c r="G912" s="53">
        <v>21631431.609999999</v>
      </c>
      <c r="H912" s="53">
        <v>6305869.4900000002</v>
      </c>
      <c r="I912" s="53">
        <v>7573350</v>
      </c>
      <c r="J912" s="53">
        <v>19040917.07</v>
      </c>
      <c r="K912" s="53">
        <v>43698015.210000001</v>
      </c>
      <c r="L912" s="53">
        <v>9588322.8599999994</v>
      </c>
      <c r="M912" s="53">
        <v>19702625.23</v>
      </c>
      <c r="N912" s="53">
        <v>22238667.82</v>
      </c>
      <c r="O912" s="53">
        <v>11345195.560000001</v>
      </c>
      <c r="P912" s="53">
        <v>27487637.359999999</v>
      </c>
      <c r="Q912" s="53">
        <v>20714399.34</v>
      </c>
      <c r="R912" s="53">
        <v>37174088.960000001</v>
      </c>
    </row>
    <row r="913" spans="1:18" x14ac:dyDescent="0.25">
      <c r="A913" s="25" t="s">
        <v>80</v>
      </c>
      <c r="B913" s="26">
        <v>2013</v>
      </c>
      <c r="C913" s="74" t="s">
        <v>79</v>
      </c>
      <c r="D913" s="27">
        <v>0</v>
      </c>
      <c r="E913" s="53">
        <v>48000000</v>
      </c>
      <c r="F913" s="53">
        <v>48000000</v>
      </c>
      <c r="G913" s="53">
        <v>0</v>
      </c>
      <c r="H913" s="53">
        <v>0</v>
      </c>
      <c r="I913" s="53">
        <v>0</v>
      </c>
      <c r="J913" s="53">
        <v>48000000</v>
      </c>
      <c r="K913" s="53">
        <v>0</v>
      </c>
      <c r="L913" s="53">
        <v>0</v>
      </c>
      <c r="M913" s="53">
        <v>0</v>
      </c>
      <c r="N913" s="53">
        <v>0</v>
      </c>
      <c r="O913" s="53">
        <v>0</v>
      </c>
      <c r="P913" s="53">
        <v>0</v>
      </c>
      <c r="Q913" s="53">
        <v>0</v>
      </c>
      <c r="R913" s="53">
        <v>0</v>
      </c>
    </row>
    <row r="914" spans="1:18" x14ac:dyDescent="0.25">
      <c r="A914" s="25" t="s">
        <v>78</v>
      </c>
      <c r="B914" s="26">
        <v>2013</v>
      </c>
      <c r="C914" s="74" t="s">
        <v>77</v>
      </c>
      <c r="D914" s="27">
        <v>0</v>
      </c>
      <c r="E914" s="53">
        <v>92000000</v>
      </c>
      <c r="F914" s="53">
        <v>92000000</v>
      </c>
      <c r="G914" s="53">
        <v>0</v>
      </c>
      <c r="H914" s="53">
        <v>0</v>
      </c>
      <c r="I914" s="53">
        <v>0</v>
      </c>
      <c r="J914" s="53">
        <v>0</v>
      </c>
      <c r="K914" s="53">
        <v>0</v>
      </c>
      <c r="L914" s="53">
        <v>0</v>
      </c>
      <c r="M914" s="53">
        <v>0</v>
      </c>
      <c r="N914" s="53">
        <v>0</v>
      </c>
      <c r="O914" s="53">
        <v>0</v>
      </c>
      <c r="P914" s="53">
        <v>0</v>
      </c>
      <c r="Q914" s="53">
        <v>0</v>
      </c>
      <c r="R914" s="53">
        <v>92000000</v>
      </c>
    </row>
    <row r="915" spans="1:18" x14ac:dyDescent="0.25">
      <c r="A915" s="25" t="s">
        <v>76</v>
      </c>
      <c r="B915" s="26">
        <v>2013</v>
      </c>
      <c r="C915" s="74" t="s">
        <v>75</v>
      </c>
      <c r="D915" s="27">
        <v>0</v>
      </c>
      <c r="E915" s="53">
        <v>8500000</v>
      </c>
      <c r="F915" s="53">
        <v>8500000</v>
      </c>
      <c r="G915" s="53">
        <v>0</v>
      </c>
      <c r="H915" s="53">
        <v>0</v>
      </c>
      <c r="I915" s="53">
        <v>0</v>
      </c>
      <c r="J915" s="53">
        <v>8500000</v>
      </c>
      <c r="K915" s="53">
        <v>0</v>
      </c>
      <c r="L915" s="53">
        <v>0</v>
      </c>
      <c r="M915" s="53">
        <v>0</v>
      </c>
      <c r="N915" s="53">
        <v>0</v>
      </c>
      <c r="O915" s="53">
        <v>0</v>
      </c>
      <c r="P915" s="53">
        <v>0</v>
      </c>
      <c r="Q915" s="53">
        <v>0</v>
      </c>
      <c r="R915" s="53">
        <v>0</v>
      </c>
    </row>
    <row r="916" spans="1:18" x14ac:dyDescent="0.25">
      <c r="A916" s="25" t="s">
        <v>74</v>
      </c>
      <c r="B916" s="26">
        <v>2013</v>
      </c>
      <c r="C916" s="74" t="s">
        <v>73</v>
      </c>
      <c r="D916" s="27">
        <v>0</v>
      </c>
      <c r="E916" s="53">
        <v>10000000</v>
      </c>
      <c r="F916" s="53">
        <v>10000000</v>
      </c>
      <c r="G916" s="53">
        <v>0</v>
      </c>
      <c r="H916" s="53">
        <v>0</v>
      </c>
      <c r="I916" s="53">
        <v>0</v>
      </c>
      <c r="J916" s="53">
        <v>0</v>
      </c>
      <c r="K916" s="53">
        <v>0</v>
      </c>
      <c r="L916" s="53">
        <v>0</v>
      </c>
      <c r="M916" s="53">
        <v>0</v>
      </c>
      <c r="N916" s="53">
        <v>10000000</v>
      </c>
      <c r="O916" s="53">
        <v>0</v>
      </c>
      <c r="P916" s="53">
        <v>0</v>
      </c>
      <c r="Q916" s="53">
        <v>0</v>
      </c>
      <c r="R916" s="53">
        <v>0</v>
      </c>
    </row>
    <row r="917" spans="1:18" x14ac:dyDescent="0.25">
      <c r="A917" s="25" t="s">
        <v>72</v>
      </c>
      <c r="B917" s="26">
        <v>2013</v>
      </c>
      <c r="C917" s="74" t="s">
        <v>71</v>
      </c>
      <c r="D917" s="27">
        <v>0</v>
      </c>
      <c r="E917" s="53">
        <v>18600000</v>
      </c>
      <c r="F917" s="53">
        <v>18600000</v>
      </c>
      <c r="G917" s="53">
        <v>0</v>
      </c>
      <c r="H917" s="53">
        <v>0</v>
      </c>
      <c r="I917" s="53">
        <v>0</v>
      </c>
      <c r="J917" s="53">
        <v>0</v>
      </c>
      <c r="K917" s="53">
        <v>0</v>
      </c>
      <c r="L917" s="53">
        <v>0</v>
      </c>
      <c r="M917" s="53">
        <v>0</v>
      </c>
      <c r="N917" s="53">
        <v>0</v>
      </c>
      <c r="O917" s="53">
        <v>0</v>
      </c>
      <c r="P917" s="53">
        <v>0</v>
      </c>
      <c r="Q917" s="53">
        <v>0</v>
      </c>
      <c r="R917" s="53">
        <v>0</v>
      </c>
    </row>
    <row r="918" spans="1:18" x14ac:dyDescent="0.25">
      <c r="A918" s="25" t="s">
        <v>70</v>
      </c>
      <c r="B918" s="26">
        <v>2013</v>
      </c>
      <c r="C918" s="74" t="s">
        <v>69</v>
      </c>
      <c r="D918" s="27">
        <v>0</v>
      </c>
      <c r="E918" s="53">
        <v>2200000</v>
      </c>
      <c r="F918" s="53">
        <v>2200000</v>
      </c>
      <c r="G918" s="53">
        <v>0</v>
      </c>
      <c r="H918" s="53">
        <v>0</v>
      </c>
      <c r="I918" s="53">
        <v>0</v>
      </c>
      <c r="J918" s="53">
        <v>0</v>
      </c>
      <c r="K918" s="53">
        <v>0</v>
      </c>
      <c r="L918" s="53">
        <v>0</v>
      </c>
      <c r="M918" s="53">
        <v>0</v>
      </c>
      <c r="N918" s="53">
        <v>0</v>
      </c>
      <c r="O918" s="53">
        <v>0</v>
      </c>
      <c r="P918" s="53">
        <v>0</v>
      </c>
      <c r="Q918" s="53">
        <v>0</v>
      </c>
      <c r="R918" s="53">
        <v>0</v>
      </c>
    </row>
    <row r="919" spans="1:18" x14ac:dyDescent="0.25">
      <c r="A919" s="25" t="s">
        <v>467</v>
      </c>
      <c r="B919" s="26">
        <v>2013</v>
      </c>
      <c r="C919" s="74" t="s">
        <v>20</v>
      </c>
      <c r="D919" s="27">
        <v>0</v>
      </c>
      <c r="E919" s="53">
        <v>30000000</v>
      </c>
      <c r="F919" s="53">
        <v>30000000</v>
      </c>
      <c r="G919" s="53">
        <v>0</v>
      </c>
      <c r="H919" s="53">
        <v>0</v>
      </c>
      <c r="I919" s="53">
        <v>0</v>
      </c>
      <c r="J919" s="53">
        <v>0</v>
      </c>
      <c r="K919" s="53">
        <v>0</v>
      </c>
      <c r="L919" s="53">
        <v>0</v>
      </c>
      <c r="M919" s="53">
        <v>0</v>
      </c>
      <c r="N919" s="53">
        <v>0</v>
      </c>
      <c r="O919" s="53">
        <v>0</v>
      </c>
      <c r="P919" s="53">
        <v>0</v>
      </c>
      <c r="Q919" s="53">
        <v>0</v>
      </c>
      <c r="R919" s="53">
        <v>0</v>
      </c>
    </row>
    <row r="920" spans="1:18" x14ac:dyDescent="0.25">
      <c r="A920" s="25" t="s">
        <v>68</v>
      </c>
      <c r="B920" s="26">
        <v>2013</v>
      </c>
      <c r="C920" s="74" t="s">
        <v>67</v>
      </c>
      <c r="D920" s="27">
        <v>0</v>
      </c>
      <c r="E920" s="53">
        <v>269400000</v>
      </c>
      <c r="F920" s="53">
        <v>269400000</v>
      </c>
      <c r="G920" s="53">
        <v>0</v>
      </c>
      <c r="H920" s="53">
        <v>0</v>
      </c>
      <c r="I920" s="53">
        <v>0</v>
      </c>
      <c r="J920" s="53">
        <v>0</v>
      </c>
      <c r="K920" s="53">
        <v>0</v>
      </c>
      <c r="L920" s="53">
        <v>0</v>
      </c>
      <c r="M920" s="53">
        <v>0</v>
      </c>
      <c r="N920" s="53">
        <v>0</v>
      </c>
      <c r="O920" s="53">
        <v>0</v>
      </c>
      <c r="P920" s="53">
        <v>0</v>
      </c>
      <c r="Q920" s="53">
        <v>0</v>
      </c>
      <c r="R920" s="53">
        <v>269400000</v>
      </c>
    </row>
    <row r="921" spans="1:18" x14ac:dyDescent="0.25">
      <c r="A921" s="25" t="s">
        <v>66</v>
      </c>
      <c r="B921" s="26">
        <v>2013</v>
      </c>
      <c r="C921" s="74" t="s">
        <v>65</v>
      </c>
      <c r="D921" s="27">
        <v>0</v>
      </c>
      <c r="E921" s="53">
        <v>43300000</v>
      </c>
      <c r="F921" s="53">
        <v>43300000</v>
      </c>
      <c r="G921" s="53">
        <v>3608335</v>
      </c>
      <c r="H921" s="53">
        <v>3626515</v>
      </c>
      <c r="I921" s="53">
        <v>3626515</v>
      </c>
      <c r="J921" s="53">
        <v>3626515</v>
      </c>
      <c r="K921" s="53">
        <v>3626515</v>
      </c>
      <c r="L921" s="53">
        <v>3626515</v>
      </c>
      <c r="M921" s="53">
        <v>3626515</v>
      </c>
      <c r="N921" s="53">
        <v>3626515</v>
      </c>
      <c r="O921" s="53">
        <v>3626515</v>
      </c>
      <c r="P921" s="53">
        <v>3626515</v>
      </c>
      <c r="Q921" s="53">
        <v>3626515</v>
      </c>
      <c r="R921" s="53">
        <v>3626515</v>
      </c>
    </row>
    <row r="922" spans="1:18" x14ac:dyDescent="0.25">
      <c r="A922" s="25" t="s">
        <v>64</v>
      </c>
      <c r="B922" s="26">
        <v>2013</v>
      </c>
      <c r="C922" s="74" t="s">
        <v>63</v>
      </c>
      <c r="D922" s="27">
        <v>0</v>
      </c>
      <c r="E922" s="53">
        <v>389800000</v>
      </c>
      <c r="F922" s="53">
        <v>389800000</v>
      </c>
      <c r="G922" s="53">
        <v>378400000</v>
      </c>
      <c r="H922" s="53">
        <v>0</v>
      </c>
      <c r="I922" s="53">
        <v>0</v>
      </c>
      <c r="J922" s="53">
        <v>0</v>
      </c>
      <c r="K922" s="53">
        <v>0</v>
      </c>
      <c r="L922" s="53">
        <v>0</v>
      </c>
      <c r="M922" s="53">
        <v>0</v>
      </c>
      <c r="N922" s="53">
        <v>0</v>
      </c>
      <c r="O922" s="53">
        <v>0</v>
      </c>
      <c r="P922" s="53">
        <v>0</v>
      </c>
      <c r="Q922" s="53">
        <v>0</v>
      </c>
      <c r="R922" s="53">
        <v>389800000</v>
      </c>
    </row>
    <row r="923" spans="1:18" x14ac:dyDescent="0.25">
      <c r="A923" s="25" t="s">
        <v>62</v>
      </c>
      <c r="B923" s="26">
        <v>2013</v>
      </c>
      <c r="C923" s="74" t="s">
        <v>61</v>
      </c>
      <c r="D923" s="27">
        <v>0</v>
      </c>
      <c r="E923" s="53">
        <v>8300000</v>
      </c>
      <c r="F923" s="53">
        <v>8300000</v>
      </c>
      <c r="G923" s="53">
        <v>0</v>
      </c>
      <c r="H923" s="53">
        <v>0</v>
      </c>
      <c r="I923" s="53">
        <v>8300000</v>
      </c>
      <c r="J923" s="53">
        <v>0</v>
      </c>
      <c r="K923" s="53">
        <v>0</v>
      </c>
      <c r="L923" s="53">
        <v>0</v>
      </c>
      <c r="M923" s="53">
        <v>0</v>
      </c>
      <c r="N923" s="53">
        <v>0</v>
      </c>
      <c r="O923" s="53">
        <v>0</v>
      </c>
      <c r="P923" s="53">
        <v>0</v>
      </c>
      <c r="Q923" s="53">
        <v>0</v>
      </c>
      <c r="R923" s="53">
        <v>0</v>
      </c>
    </row>
    <row r="924" spans="1:18" x14ac:dyDescent="0.25">
      <c r="A924" s="25" t="s">
        <v>466</v>
      </c>
      <c r="B924" s="26">
        <v>2013</v>
      </c>
      <c r="C924" s="74" t="s">
        <v>465</v>
      </c>
      <c r="D924" s="27">
        <v>0</v>
      </c>
      <c r="E924" s="53">
        <v>0</v>
      </c>
      <c r="F924" s="53">
        <v>0</v>
      </c>
      <c r="G924" s="53">
        <v>0</v>
      </c>
      <c r="H924" s="53">
        <v>0</v>
      </c>
      <c r="I924" s="53">
        <v>0</v>
      </c>
      <c r="J924" s="53">
        <v>38900000</v>
      </c>
      <c r="K924" s="53">
        <v>0</v>
      </c>
      <c r="L924" s="53">
        <v>0</v>
      </c>
      <c r="M924" s="53">
        <v>-38900000</v>
      </c>
      <c r="N924" s="53">
        <v>0</v>
      </c>
      <c r="O924" s="53">
        <v>0</v>
      </c>
      <c r="P924" s="53">
        <v>0</v>
      </c>
      <c r="Q924" s="53">
        <v>0</v>
      </c>
      <c r="R924" s="53">
        <v>0</v>
      </c>
    </row>
    <row r="925" spans="1:18" x14ac:dyDescent="0.25">
      <c r="A925" s="25" t="s">
        <v>60</v>
      </c>
      <c r="B925" s="26">
        <v>2013</v>
      </c>
      <c r="C925" s="74" t="s">
        <v>59</v>
      </c>
      <c r="D925" s="27">
        <v>0</v>
      </c>
      <c r="E925" s="53">
        <v>6900000</v>
      </c>
      <c r="F925" s="53">
        <v>6900000</v>
      </c>
      <c r="G925" s="53">
        <v>0</v>
      </c>
      <c r="H925" s="53">
        <v>0</v>
      </c>
      <c r="I925" s="53">
        <v>0</v>
      </c>
      <c r="J925" s="53">
        <v>0</v>
      </c>
      <c r="K925" s="53">
        <v>0</v>
      </c>
      <c r="L925" s="53">
        <v>0</v>
      </c>
      <c r="M925" s="53">
        <v>0</v>
      </c>
      <c r="N925" s="53">
        <v>0</v>
      </c>
      <c r="O925" s="53">
        <v>0</v>
      </c>
      <c r="P925" s="53">
        <v>0</v>
      </c>
      <c r="Q925" s="53">
        <v>0</v>
      </c>
      <c r="R925" s="53">
        <v>6900000</v>
      </c>
    </row>
    <row r="926" spans="1:18" x14ac:dyDescent="0.25">
      <c r="A926" s="25" t="s">
        <v>464</v>
      </c>
      <c r="B926" s="26">
        <v>2013</v>
      </c>
      <c r="C926" s="74" t="s">
        <v>463</v>
      </c>
      <c r="D926" s="27">
        <v>0</v>
      </c>
      <c r="E926" s="53">
        <v>476444000</v>
      </c>
      <c r="F926" s="53">
        <v>476444000</v>
      </c>
      <c r="G926" s="53">
        <v>0</v>
      </c>
      <c r="H926" s="53">
        <v>0</v>
      </c>
      <c r="I926" s="53">
        <v>0</v>
      </c>
      <c r="J926" s="53">
        <v>475503500</v>
      </c>
      <c r="K926" s="53">
        <v>0</v>
      </c>
      <c r="L926" s="53">
        <v>0</v>
      </c>
      <c r="M926" s="53">
        <v>0</v>
      </c>
      <c r="N926" s="53">
        <v>0</v>
      </c>
      <c r="O926" s="53">
        <v>0</v>
      </c>
      <c r="P926" s="53">
        <v>0</v>
      </c>
      <c r="Q926" s="53">
        <v>0</v>
      </c>
      <c r="R926" s="53">
        <v>0</v>
      </c>
    </row>
    <row r="927" spans="1:18" x14ac:dyDescent="0.25">
      <c r="A927" s="25" t="s">
        <v>370</v>
      </c>
      <c r="B927" s="26">
        <v>2013</v>
      </c>
      <c r="C927" s="74" t="s">
        <v>424</v>
      </c>
      <c r="D927" s="27">
        <v>0</v>
      </c>
      <c r="E927" s="53">
        <v>2458840000</v>
      </c>
      <c r="F927" s="53">
        <v>2458840000</v>
      </c>
      <c r="G927" s="53">
        <v>0</v>
      </c>
      <c r="H927" s="53">
        <v>0</v>
      </c>
      <c r="I927" s="53">
        <v>0</v>
      </c>
      <c r="J927" s="53">
        <v>0</v>
      </c>
      <c r="K927" s="53">
        <v>0</v>
      </c>
      <c r="L927" s="53">
        <v>0</v>
      </c>
      <c r="M927" s="53">
        <v>0</v>
      </c>
      <c r="N927" s="53">
        <v>0</v>
      </c>
      <c r="O927" s="53">
        <v>0</v>
      </c>
      <c r="P927" s="53">
        <v>0</v>
      </c>
      <c r="Q927" s="53">
        <v>0</v>
      </c>
      <c r="R927" s="53">
        <v>0</v>
      </c>
    </row>
    <row r="928" spans="1:18" x14ac:dyDescent="0.25">
      <c r="A928" s="25" t="s">
        <v>368</v>
      </c>
      <c r="B928" s="26">
        <v>2013</v>
      </c>
      <c r="C928" s="74" t="s">
        <v>437</v>
      </c>
      <c r="D928" s="27">
        <v>0</v>
      </c>
      <c r="E928" s="53">
        <v>0</v>
      </c>
      <c r="F928" s="53">
        <v>0</v>
      </c>
      <c r="G928" s="53">
        <v>0</v>
      </c>
      <c r="H928" s="53">
        <v>0</v>
      </c>
      <c r="I928" s="53">
        <v>0</v>
      </c>
      <c r="J928" s="53">
        <v>0</v>
      </c>
      <c r="K928" s="53">
        <v>0</v>
      </c>
      <c r="L928" s="53">
        <v>0</v>
      </c>
      <c r="M928" s="53">
        <v>0</v>
      </c>
      <c r="N928" s="53">
        <v>0</v>
      </c>
      <c r="O928" s="53">
        <v>0</v>
      </c>
      <c r="P928" s="53">
        <v>0</v>
      </c>
      <c r="Q928" s="53">
        <v>0</v>
      </c>
      <c r="R928" s="53">
        <v>821032000</v>
      </c>
    </row>
    <row r="929" spans="1:18" x14ac:dyDescent="0.25">
      <c r="A929" s="25" t="s">
        <v>462</v>
      </c>
      <c r="B929" s="26">
        <v>2013</v>
      </c>
      <c r="C929" s="74" t="s">
        <v>20</v>
      </c>
      <c r="D929" s="27">
        <v>0</v>
      </c>
      <c r="E929" s="53">
        <v>35868771.759999998</v>
      </c>
      <c r="F929" s="53">
        <v>35868771.759999998</v>
      </c>
      <c r="G929" s="53">
        <v>0</v>
      </c>
      <c r="H929" s="53">
        <v>0</v>
      </c>
      <c r="I929" s="53">
        <v>0</v>
      </c>
      <c r="J929" s="53">
        <v>0</v>
      </c>
      <c r="K929" s="53">
        <v>0</v>
      </c>
      <c r="L929" s="53">
        <v>0</v>
      </c>
      <c r="M929" s="53">
        <v>0</v>
      </c>
      <c r="N929" s="53">
        <v>0</v>
      </c>
      <c r="O929" s="53">
        <v>0</v>
      </c>
      <c r="P929" s="53">
        <v>0</v>
      </c>
      <c r="Q929" s="53">
        <v>0</v>
      </c>
      <c r="R929" s="53">
        <v>0</v>
      </c>
    </row>
    <row r="930" spans="1:18" x14ac:dyDescent="0.25">
      <c r="A930" s="25" t="s">
        <v>461</v>
      </c>
      <c r="B930" s="26">
        <v>2013</v>
      </c>
      <c r="C930" s="74" t="s">
        <v>460</v>
      </c>
      <c r="D930" s="27">
        <v>0</v>
      </c>
      <c r="E930" s="53">
        <v>292182896.67000002</v>
      </c>
      <c r="F930" s="53">
        <v>292182896.67000002</v>
      </c>
      <c r="G930" s="53">
        <v>0</v>
      </c>
      <c r="H930" s="53">
        <v>0</v>
      </c>
      <c r="I930" s="53">
        <v>0</v>
      </c>
      <c r="J930" s="53">
        <v>0</v>
      </c>
      <c r="K930" s="53">
        <v>0</v>
      </c>
      <c r="L930" s="53">
        <v>0</v>
      </c>
      <c r="M930" s="53">
        <v>0</v>
      </c>
      <c r="N930" s="53">
        <v>0</v>
      </c>
      <c r="O930" s="53">
        <v>0</v>
      </c>
      <c r="P930" s="53">
        <v>292182896.67000002</v>
      </c>
      <c r="Q930" s="53">
        <v>0</v>
      </c>
      <c r="R930" s="53">
        <v>0</v>
      </c>
    </row>
    <row r="931" spans="1:18" x14ac:dyDescent="0.25">
      <c r="A931" s="25" t="s">
        <v>49</v>
      </c>
      <c r="B931" s="26">
        <v>2013</v>
      </c>
      <c r="C931" s="74" t="s">
        <v>48</v>
      </c>
      <c r="D931" s="27">
        <v>0</v>
      </c>
      <c r="E931" s="53">
        <v>510194512780.57001</v>
      </c>
      <c r="F931" s="53">
        <v>510194512780.57001</v>
      </c>
      <c r="G931" s="53">
        <v>4072116044.0100002</v>
      </c>
      <c r="H931" s="53">
        <v>15420887366.76</v>
      </c>
      <c r="I931" s="53">
        <v>19636979582.990002</v>
      </c>
      <c r="J931" s="53">
        <v>22582995919.209999</v>
      </c>
      <c r="K931" s="53">
        <v>6247606549.0100002</v>
      </c>
      <c r="L931" s="53">
        <v>23842623809.919998</v>
      </c>
      <c r="M931" s="53">
        <v>7668673884.4799995</v>
      </c>
      <c r="N931" s="53">
        <v>17218887990.540001</v>
      </c>
      <c r="O931" s="53">
        <v>39583373950.260002</v>
      </c>
      <c r="P931" s="53">
        <v>56690975018.019997</v>
      </c>
      <c r="Q931" s="53">
        <v>100795254749.17999</v>
      </c>
      <c r="R931" s="53">
        <v>130545533611.42999</v>
      </c>
    </row>
    <row r="932" spans="1:18" x14ac:dyDescent="0.25">
      <c r="A932" s="25" t="s">
        <v>43</v>
      </c>
      <c r="B932" s="26">
        <v>2013</v>
      </c>
      <c r="C932" s="74" t="s">
        <v>42</v>
      </c>
      <c r="D932" s="27">
        <v>0</v>
      </c>
      <c r="E932" s="53">
        <v>1337041243885.6201</v>
      </c>
      <c r="F932" s="53">
        <v>1337041243885.6201</v>
      </c>
      <c r="G932" s="53">
        <v>109008865000</v>
      </c>
      <c r="H932" s="53">
        <v>76119834002.839996</v>
      </c>
      <c r="I932" s="53">
        <v>168006004983.10001</v>
      </c>
      <c r="J932" s="53">
        <v>103943339239.49001</v>
      </c>
      <c r="K932" s="53">
        <v>73459609370.070007</v>
      </c>
      <c r="L932" s="53">
        <v>117932602556.55</v>
      </c>
      <c r="M932" s="53">
        <v>66616164200</v>
      </c>
      <c r="N932" s="53">
        <v>95101386499.169998</v>
      </c>
      <c r="O932" s="53">
        <v>22116487500</v>
      </c>
      <c r="P932" s="53">
        <v>40884943339.339996</v>
      </c>
      <c r="Q932" s="53">
        <v>105389312079</v>
      </c>
      <c r="R932" s="53">
        <v>90745913488.399994</v>
      </c>
    </row>
    <row r="933" spans="1:18" x14ac:dyDescent="0.25">
      <c r="A933" s="25" t="s">
        <v>47</v>
      </c>
      <c r="B933" s="26">
        <v>2013</v>
      </c>
      <c r="C933" s="74" t="s">
        <v>46</v>
      </c>
      <c r="D933" s="27">
        <v>0</v>
      </c>
      <c r="E933" s="53">
        <v>24901234600</v>
      </c>
      <c r="F933" s="53">
        <v>24901234600</v>
      </c>
      <c r="G933" s="53">
        <v>0</v>
      </c>
      <c r="H933" s="53">
        <v>0</v>
      </c>
      <c r="I933" s="53">
        <v>0</v>
      </c>
      <c r="J933" s="53">
        <v>0</v>
      </c>
      <c r="K933" s="53">
        <v>0</v>
      </c>
      <c r="L933" s="53">
        <v>0</v>
      </c>
      <c r="M933" s="53">
        <v>0</v>
      </c>
      <c r="N933" s="53">
        <v>0</v>
      </c>
      <c r="O933" s="53">
        <v>0</v>
      </c>
      <c r="P933" s="53">
        <v>0</v>
      </c>
      <c r="Q933" s="53">
        <v>0</v>
      </c>
      <c r="R933" s="53">
        <v>18147670000</v>
      </c>
    </row>
    <row r="934" spans="1:18" x14ac:dyDescent="0.25">
      <c r="A934" s="25" t="s">
        <v>45</v>
      </c>
      <c r="B934" s="26">
        <v>2013</v>
      </c>
      <c r="C934" s="74" t="s">
        <v>44</v>
      </c>
      <c r="D934" s="27">
        <v>0</v>
      </c>
      <c r="E934" s="53">
        <v>10000000000</v>
      </c>
      <c r="F934" s="53">
        <v>10000000000</v>
      </c>
      <c r="G934" s="53">
        <v>0</v>
      </c>
      <c r="H934" s="53">
        <v>0</v>
      </c>
      <c r="I934" s="53">
        <v>0</v>
      </c>
      <c r="J934" s="53">
        <v>0</v>
      </c>
      <c r="K934" s="53">
        <v>0</v>
      </c>
      <c r="L934" s="53">
        <v>0</v>
      </c>
      <c r="M934" s="53">
        <v>0</v>
      </c>
      <c r="N934" s="53">
        <v>0</v>
      </c>
      <c r="O934" s="53">
        <v>0</v>
      </c>
      <c r="P934" s="53">
        <v>0</v>
      </c>
      <c r="Q934" s="53">
        <v>0</v>
      </c>
      <c r="R934" s="53">
        <v>0</v>
      </c>
    </row>
    <row r="935" spans="1:18" x14ac:dyDescent="0.25">
      <c r="A935" s="25" t="s">
        <v>459</v>
      </c>
      <c r="B935" s="26">
        <v>2013</v>
      </c>
      <c r="C935" s="74" t="s">
        <v>458</v>
      </c>
      <c r="D935" s="27">
        <v>0</v>
      </c>
      <c r="E935" s="53">
        <v>20000000000</v>
      </c>
      <c r="F935" s="53">
        <v>20000000000</v>
      </c>
      <c r="G935" s="53">
        <v>0</v>
      </c>
      <c r="H935" s="53">
        <v>0</v>
      </c>
      <c r="I935" s="53">
        <v>0</v>
      </c>
      <c r="J935" s="53">
        <v>0</v>
      </c>
      <c r="K935" s="53">
        <v>0</v>
      </c>
      <c r="L935" s="53">
        <v>0</v>
      </c>
      <c r="M935" s="53">
        <v>0</v>
      </c>
      <c r="N935" s="53">
        <v>0</v>
      </c>
      <c r="O935" s="53">
        <v>0</v>
      </c>
      <c r="P935" s="53">
        <v>20000000000</v>
      </c>
      <c r="Q935" s="53">
        <v>0</v>
      </c>
      <c r="R935" s="53">
        <v>0</v>
      </c>
    </row>
    <row r="936" spans="1:18" x14ac:dyDescent="0.25">
      <c r="A936" s="25" t="s">
        <v>457</v>
      </c>
      <c r="B936" s="26">
        <v>2013</v>
      </c>
      <c r="C936" s="74" t="s">
        <v>456</v>
      </c>
      <c r="D936" s="27">
        <v>0</v>
      </c>
      <c r="E936" s="54">
        <v>0</v>
      </c>
      <c r="F936" s="53">
        <v>0</v>
      </c>
      <c r="G936" s="53">
        <v>0</v>
      </c>
      <c r="H936" s="53">
        <v>0</v>
      </c>
      <c r="I936" s="53">
        <v>0</v>
      </c>
      <c r="J936" s="53">
        <v>0</v>
      </c>
      <c r="K936" s="53">
        <v>0</v>
      </c>
      <c r="L936" s="53">
        <v>0</v>
      </c>
      <c r="M936" s="53">
        <v>0</v>
      </c>
      <c r="N936" s="53">
        <v>0</v>
      </c>
      <c r="O936" s="53">
        <v>0</v>
      </c>
      <c r="P936" s="53">
        <v>0</v>
      </c>
      <c r="Q936" s="53">
        <v>0</v>
      </c>
      <c r="R936" s="53">
        <v>0</v>
      </c>
    </row>
    <row r="937" spans="1:18" x14ac:dyDescent="0.25">
      <c r="A937" s="25" t="s">
        <v>41</v>
      </c>
      <c r="B937" s="26">
        <v>2013</v>
      </c>
      <c r="C937" s="74" t="s">
        <v>40</v>
      </c>
      <c r="D937" s="27">
        <v>0</v>
      </c>
      <c r="E937" s="54">
        <v>19364423856.650002</v>
      </c>
      <c r="F937" s="53">
        <v>1420367817.1500001</v>
      </c>
      <c r="G937" s="53">
        <v>0</v>
      </c>
      <c r="H937" s="53">
        <v>0</v>
      </c>
      <c r="I937" s="53">
        <v>0</v>
      </c>
      <c r="J937" s="53">
        <v>0</v>
      </c>
      <c r="K937" s="53">
        <v>504340000</v>
      </c>
      <c r="L937" s="53">
        <v>0</v>
      </c>
      <c r="M937" s="53">
        <v>0</v>
      </c>
      <c r="N937" s="53">
        <v>232657817.15000001</v>
      </c>
      <c r="O937" s="53">
        <v>0</v>
      </c>
      <c r="P937" s="53">
        <v>0</v>
      </c>
      <c r="Q937" s="53">
        <v>683370000</v>
      </c>
      <c r="R937" s="53">
        <v>0</v>
      </c>
    </row>
    <row r="938" spans="1:18" x14ac:dyDescent="0.25">
      <c r="A938" s="25" t="s">
        <v>419</v>
      </c>
      <c r="B938" s="26">
        <v>2013</v>
      </c>
      <c r="C938" s="74" t="s">
        <v>418</v>
      </c>
      <c r="D938" s="27">
        <v>0</v>
      </c>
      <c r="E938" s="54">
        <v>4953629288.9300003</v>
      </c>
      <c r="F938" s="53">
        <v>2562436873.79</v>
      </c>
      <c r="G938" s="53">
        <v>0</v>
      </c>
      <c r="H938" s="53">
        <v>773155435.54999995</v>
      </c>
      <c r="I938" s="53">
        <v>282712555.47000003</v>
      </c>
      <c r="J938" s="53">
        <v>0</v>
      </c>
      <c r="K938" s="53">
        <v>0</v>
      </c>
      <c r="L938" s="53">
        <v>421481475.89999998</v>
      </c>
      <c r="M938" s="53">
        <v>0</v>
      </c>
      <c r="N938" s="53">
        <v>598567604.08000004</v>
      </c>
      <c r="O938" s="53">
        <v>0</v>
      </c>
      <c r="P938" s="53">
        <v>125643452.81999999</v>
      </c>
      <c r="Q938" s="53">
        <v>0</v>
      </c>
      <c r="R938" s="53">
        <v>360876349.97000003</v>
      </c>
    </row>
    <row r="939" spans="1:18" x14ac:dyDescent="0.25">
      <c r="A939" s="25" t="s">
        <v>455</v>
      </c>
      <c r="B939" s="26">
        <v>2013</v>
      </c>
      <c r="C939" s="74" t="s">
        <v>454</v>
      </c>
      <c r="D939" s="27">
        <v>0</v>
      </c>
      <c r="E939" s="54">
        <v>563658381.22000003</v>
      </c>
      <c r="F939" s="53">
        <v>563658381.22000003</v>
      </c>
      <c r="G939" s="53">
        <v>0</v>
      </c>
      <c r="H939" s="53">
        <v>263858400</v>
      </c>
      <c r="I939" s="53">
        <v>127461400</v>
      </c>
      <c r="J939" s="53">
        <v>172338581.22</v>
      </c>
      <c r="K939" s="53">
        <v>0</v>
      </c>
      <c r="L939" s="53">
        <v>0</v>
      </c>
      <c r="M939" s="53">
        <v>0</v>
      </c>
      <c r="N939" s="53">
        <v>0</v>
      </c>
      <c r="O939" s="53">
        <v>0</v>
      </c>
      <c r="P939" s="53">
        <v>0</v>
      </c>
      <c r="Q939" s="53">
        <v>0</v>
      </c>
      <c r="R939" s="53">
        <v>0</v>
      </c>
    </row>
    <row r="940" spans="1:18" x14ac:dyDescent="0.25">
      <c r="A940" s="25" t="s">
        <v>37</v>
      </c>
      <c r="B940" s="26">
        <v>2013</v>
      </c>
      <c r="C940" s="74" t="s">
        <v>36</v>
      </c>
      <c r="D940" s="27">
        <v>0</v>
      </c>
      <c r="E940" s="54">
        <v>4502501960.6100006</v>
      </c>
      <c r="F940" s="53">
        <v>1015265803.8099999</v>
      </c>
      <c r="G940" s="53">
        <v>0</v>
      </c>
      <c r="H940" s="53">
        <v>30221625.879999999</v>
      </c>
      <c r="I940" s="53">
        <v>23309754.329999998</v>
      </c>
      <c r="J940" s="53">
        <v>34708385.649999999</v>
      </c>
      <c r="K940" s="53">
        <v>35345067.359999999</v>
      </c>
      <c r="L940" s="53">
        <v>47756245.850000001</v>
      </c>
      <c r="M940" s="53">
        <v>37171964.799999997</v>
      </c>
      <c r="N940" s="53">
        <v>94555765.870000005</v>
      </c>
      <c r="O940" s="53">
        <v>58141284.140000001</v>
      </c>
      <c r="P940" s="53">
        <v>90682205.760000005</v>
      </c>
      <c r="Q940" s="53">
        <v>185296791.58000001</v>
      </c>
      <c r="R940" s="53">
        <v>378076712.58999997</v>
      </c>
    </row>
    <row r="941" spans="1:18" x14ac:dyDescent="0.25">
      <c r="A941" s="25" t="s">
        <v>35</v>
      </c>
      <c r="B941" s="26">
        <v>2013</v>
      </c>
      <c r="C941" s="74" t="s">
        <v>34</v>
      </c>
      <c r="D941" s="27">
        <v>0</v>
      </c>
      <c r="E941" s="54">
        <v>145408000000</v>
      </c>
      <c r="F941" s="53">
        <v>24193920000</v>
      </c>
      <c r="G941" s="53">
        <v>0</v>
      </c>
      <c r="H941" s="53">
        <v>0</v>
      </c>
      <c r="I941" s="53">
        <v>24193920000</v>
      </c>
      <c r="J941" s="53">
        <v>0</v>
      </c>
      <c r="K941" s="53">
        <v>0</v>
      </c>
      <c r="L941" s="53">
        <v>0</v>
      </c>
      <c r="M941" s="53">
        <v>0</v>
      </c>
      <c r="N941" s="53">
        <v>0</v>
      </c>
      <c r="O941" s="53">
        <v>0</v>
      </c>
      <c r="P941" s="53">
        <v>0</v>
      </c>
      <c r="Q941" s="53">
        <v>0</v>
      </c>
      <c r="R941" s="53">
        <v>0</v>
      </c>
    </row>
    <row r="942" spans="1:18" x14ac:dyDescent="0.25">
      <c r="A942" s="25" t="s">
        <v>33</v>
      </c>
      <c r="B942" s="26">
        <v>2013</v>
      </c>
      <c r="C942" s="74" t="s">
        <v>32</v>
      </c>
      <c r="D942" s="27">
        <v>0</v>
      </c>
      <c r="E942" s="54">
        <v>30435000000</v>
      </c>
      <c r="F942" s="53">
        <v>131562339.2</v>
      </c>
      <c r="G942" s="53">
        <v>0</v>
      </c>
      <c r="H942" s="53">
        <v>0</v>
      </c>
      <c r="I942" s="53">
        <v>1260480</v>
      </c>
      <c r="J942" s="53">
        <v>0</v>
      </c>
      <c r="K942" s="53">
        <v>0</v>
      </c>
      <c r="L942" s="53">
        <v>5548180</v>
      </c>
      <c r="M942" s="53">
        <v>0</v>
      </c>
      <c r="N942" s="53">
        <v>0</v>
      </c>
      <c r="O942" s="53">
        <v>0</v>
      </c>
      <c r="P942" s="53">
        <v>0</v>
      </c>
      <c r="Q942" s="53">
        <v>112578703.93000001</v>
      </c>
      <c r="R942" s="53">
        <v>12174975.27</v>
      </c>
    </row>
    <row r="943" spans="1:18" x14ac:dyDescent="0.25">
      <c r="A943" s="25" t="s">
        <v>31</v>
      </c>
      <c r="B943" s="26">
        <v>2013</v>
      </c>
      <c r="C943" s="74" t="s">
        <v>30</v>
      </c>
      <c r="D943" s="27">
        <v>0</v>
      </c>
      <c r="E943" s="54">
        <v>9637750000</v>
      </c>
      <c r="F943" s="53">
        <v>252155000</v>
      </c>
      <c r="G943" s="53">
        <v>0</v>
      </c>
      <c r="H943" s="53">
        <v>0</v>
      </c>
      <c r="I943" s="53">
        <v>0</v>
      </c>
      <c r="J943" s="53">
        <v>0</v>
      </c>
      <c r="K943" s="53">
        <v>252155000</v>
      </c>
      <c r="L943" s="53">
        <v>0</v>
      </c>
      <c r="M943" s="53">
        <v>0</v>
      </c>
      <c r="N943" s="53">
        <v>0</v>
      </c>
      <c r="O943" s="53">
        <v>0</v>
      </c>
      <c r="P943" s="53">
        <v>0</v>
      </c>
      <c r="Q943" s="53">
        <v>0</v>
      </c>
      <c r="R943" s="53">
        <v>0</v>
      </c>
    </row>
    <row r="944" spans="1:18" x14ac:dyDescent="0.25">
      <c r="A944" s="25" t="s">
        <v>29</v>
      </c>
      <c r="B944" s="26">
        <v>2013</v>
      </c>
      <c r="C944" s="74" t="s">
        <v>28</v>
      </c>
      <c r="D944" s="27">
        <v>0</v>
      </c>
      <c r="E944" s="54">
        <v>67180753047.5</v>
      </c>
      <c r="F944" s="53">
        <v>925082653.05999994</v>
      </c>
      <c r="G944" s="53">
        <v>0</v>
      </c>
      <c r="H944" s="53">
        <v>923579803.05999994</v>
      </c>
      <c r="I944" s="53">
        <v>0</v>
      </c>
      <c r="J944" s="53">
        <v>0</v>
      </c>
      <c r="K944" s="53">
        <v>0</v>
      </c>
      <c r="L944" s="53">
        <v>0</v>
      </c>
      <c r="M944" s="53">
        <v>0</v>
      </c>
      <c r="N944" s="53">
        <v>0</v>
      </c>
      <c r="O944" s="53">
        <v>0</v>
      </c>
      <c r="P944" s="53">
        <v>0</v>
      </c>
      <c r="Q944" s="53">
        <v>0</v>
      </c>
      <c r="R944" s="53">
        <v>1502850</v>
      </c>
    </row>
    <row r="945" spans="1:18" x14ac:dyDescent="0.25">
      <c r="A945" s="25" t="s">
        <v>383</v>
      </c>
      <c r="B945" s="26">
        <v>2013</v>
      </c>
      <c r="C945" s="74" t="s">
        <v>382</v>
      </c>
      <c r="D945" s="27">
        <v>0</v>
      </c>
      <c r="E945" s="54">
        <v>6496336523.0900002</v>
      </c>
      <c r="F945" s="53">
        <v>3733544625.8299999</v>
      </c>
      <c r="G945" s="53">
        <v>0</v>
      </c>
      <c r="H945" s="53">
        <v>0</v>
      </c>
      <c r="I945" s="53">
        <v>0</v>
      </c>
      <c r="J945" s="53">
        <v>270876108.49000001</v>
      </c>
      <c r="K945" s="53">
        <v>942339279.94000006</v>
      </c>
      <c r="L945" s="53">
        <v>786800590.25999999</v>
      </c>
      <c r="M945" s="53">
        <v>636980801.82000005</v>
      </c>
      <c r="N945" s="53">
        <v>0</v>
      </c>
      <c r="O945" s="53">
        <v>963111426.90999997</v>
      </c>
      <c r="P945" s="53">
        <v>0</v>
      </c>
      <c r="Q945" s="53">
        <v>29730110.960000001</v>
      </c>
      <c r="R945" s="53">
        <v>103706307.45</v>
      </c>
    </row>
    <row r="946" spans="1:18" x14ac:dyDescent="0.25">
      <c r="A946" s="25" t="s">
        <v>381</v>
      </c>
      <c r="B946" s="26">
        <v>2013</v>
      </c>
      <c r="C946" s="74" t="s">
        <v>380</v>
      </c>
      <c r="D946" s="27">
        <v>0</v>
      </c>
      <c r="E946" s="54">
        <v>8237782636.5</v>
      </c>
      <c r="F946" s="53">
        <v>5724355199.04</v>
      </c>
      <c r="G946" s="53">
        <v>0</v>
      </c>
      <c r="H946" s="53">
        <v>0</v>
      </c>
      <c r="I946" s="53">
        <v>0</v>
      </c>
      <c r="J946" s="53">
        <v>0</v>
      </c>
      <c r="K946" s="53">
        <v>1511107000</v>
      </c>
      <c r="L946" s="53">
        <v>0</v>
      </c>
      <c r="M946" s="53">
        <v>0</v>
      </c>
      <c r="N946" s="53">
        <v>2835949213.9099998</v>
      </c>
      <c r="O946" s="53">
        <v>0</v>
      </c>
      <c r="P946" s="53">
        <v>0</v>
      </c>
      <c r="Q946" s="53">
        <v>1377298985.1300001</v>
      </c>
      <c r="R946" s="53">
        <v>0</v>
      </c>
    </row>
    <row r="947" spans="1:18" x14ac:dyDescent="0.25">
      <c r="A947" s="25" t="s">
        <v>15</v>
      </c>
      <c r="B947" s="26">
        <v>2013</v>
      </c>
      <c r="C947" s="74" t="s">
        <v>14</v>
      </c>
      <c r="D947" s="27">
        <v>0</v>
      </c>
      <c r="E947" s="54">
        <v>17485079619.900002</v>
      </c>
      <c r="F947" s="53">
        <v>0</v>
      </c>
      <c r="G947" s="53">
        <v>0</v>
      </c>
      <c r="H947" s="53">
        <v>0</v>
      </c>
      <c r="I947" s="53">
        <v>0</v>
      </c>
      <c r="J947" s="53">
        <v>0</v>
      </c>
      <c r="K947" s="53">
        <v>0</v>
      </c>
      <c r="L947" s="53">
        <v>0</v>
      </c>
      <c r="M947" s="53">
        <v>0</v>
      </c>
      <c r="N947" s="53">
        <v>0</v>
      </c>
      <c r="O947" s="53">
        <v>0</v>
      </c>
      <c r="P947" s="53">
        <v>0</v>
      </c>
      <c r="Q947" s="53">
        <v>0</v>
      </c>
      <c r="R947" s="53">
        <v>0</v>
      </c>
    </row>
    <row r="948" spans="1:18" x14ac:dyDescent="0.25">
      <c r="A948" s="25" t="s">
        <v>417</v>
      </c>
      <c r="B948" s="26">
        <v>2013</v>
      </c>
      <c r="C948" s="74" t="s">
        <v>416</v>
      </c>
      <c r="D948" s="27">
        <v>0</v>
      </c>
      <c r="E948" s="54">
        <v>40387275000</v>
      </c>
      <c r="F948" s="53">
        <v>1095635712.3800001</v>
      </c>
      <c r="G948" s="53">
        <v>0</v>
      </c>
      <c r="H948" s="53">
        <v>0</v>
      </c>
      <c r="I948" s="53">
        <v>536029220.57999998</v>
      </c>
      <c r="J948" s="53">
        <v>0</v>
      </c>
      <c r="K948" s="53">
        <v>0</v>
      </c>
      <c r="L948" s="53">
        <v>559606491.79999995</v>
      </c>
      <c r="M948" s="53">
        <v>0</v>
      </c>
      <c r="N948" s="53">
        <v>0</v>
      </c>
      <c r="O948" s="53">
        <v>0</v>
      </c>
      <c r="P948" s="53">
        <v>0</v>
      </c>
      <c r="Q948" s="53">
        <v>0</v>
      </c>
      <c r="R948" s="53">
        <v>0</v>
      </c>
    </row>
    <row r="949" spans="1:18" x14ac:dyDescent="0.25">
      <c r="A949" s="25" t="s">
        <v>13</v>
      </c>
      <c r="B949" s="26">
        <v>2013</v>
      </c>
      <c r="C949" s="74" t="s">
        <v>11</v>
      </c>
      <c r="D949" s="27">
        <v>0</v>
      </c>
      <c r="E949" s="54">
        <v>100052000000</v>
      </c>
      <c r="F949" s="53">
        <v>0</v>
      </c>
      <c r="G949" s="53">
        <v>0</v>
      </c>
      <c r="H949" s="53">
        <v>0</v>
      </c>
      <c r="I949" s="53">
        <v>0</v>
      </c>
      <c r="J949" s="53">
        <v>0</v>
      </c>
      <c r="K949" s="53">
        <v>0</v>
      </c>
      <c r="L949" s="53">
        <v>0</v>
      </c>
      <c r="M949" s="53">
        <v>0</v>
      </c>
      <c r="N949" s="53">
        <v>0</v>
      </c>
      <c r="O949" s="53">
        <v>0</v>
      </c>
      <c r="P949" s="53">
        <v>0</v>
      </c>
      <c r="Q949" s="53">
        <v>0</v>
      </c>
      <c r="R949" s="53">
        <v>0</v>
      </c>
    </row>
    <row r="950" spans="1:18" x14ac:dyDescent="0.25">
      <c r="A950" s="25" t="s">
        <v>10</v>
      </c>
      <c r="B950" s="26">
        <v>2013</v>
      </c>
      <c r="C950" s="74" t="s">
        <v>9</v>
      </c>
      <c r="D950" s="27">
        <v>0</v>
      </c>
      <c r="E950" s="54">
        <v>63500460364.190002</v>
      </c>
      <c r="F950" s="53">
        <v>3359478963.2600002</v>
      </c>
      <c r="G950" s="53">
        <v>0</v>
      </c>
      <c r="H950" s="53">
        <v>0</v>
      </c>
      <c r="I950" s="53">
        <v>0</v>
      </c>
      <c r="J950" s="53">
        <v>214832758.75999999</v>
      </c>
      <c r="K950" s="53">
        <v>0</v>
      </c>
      <c r="L950" s="53">
        <v>260734506.56999999</v>
      </c>
      <c r="M950" s="53">
        <v>0</v>
      </c>
      <c r="N950" s="53">
        <v>771421785.12</v>
      </c>
      <c r="O950" s="53">
        <v>0</v>
      </c>
      <c r="P950" s="53">
        <v>1020422302.5700001</v>
      </c>
      <c r="Q950" s="53">
        <v>1092067610.24</v>
      </c>
      <c r="R950" s="53">
        <v>0</v>
      </c>
    </row>
    <row r="951" spans="1:18" x14ac:dyDescent="0.25">
      <c r="A951" s="25" t="s">
        <v>8</v>
      </c>
      <c r="B951" s="26">
        <v>2013</v>
      </c>
      <c r="C951" s="74" t="s">
        <v>7</v>
      </c>
      <c r="D951" s="27">
        <v>0</v>
      </c>
      <c r="E951" s="54">
        <v>27066822500</v>
      </c>
      <c r="F951" s="53">
        <v>5201903373.5799999</v>
      </c>
      <c r="G951" s="53">
        <v>0</v>
      </c>
      <c r="H951" s="53">
        <v>0</v>
      </c>
      <c r="I951" s="53">
        <v>0</v>
      </c>
      <c r="J951" s="53">
        <v>0</v>
      </c>
      <c r="K951" s="53">
        <v>0</v>
      </c>
      <c r="L951" s="53">
        <v>0</v>
      </c>
      <c r="M951" s="53">
        <v>889578259.41999996</v>
      </c>
      <c r="N951" s="53">
        <v>381636245.36000001</v>
      </c>
      <c r="O951" s="53">
        <v>510577757.87</v>
      </c>
      <c r="P951" s="53">
        <v>1549059661.3</v>
      </c>
      <c r="Q951" s="53">
        <v>722013187.95000005</v>
      </c>
      <c r="R951" s="53">
        <v>1149038261.6800001</v>
      </c>
    </row>
    <row r="952" spans="1:18" x14ac:dyDescent="0.25">
      <c r="A952" s="25" t="s">
        <v>453</v>
      </c>
      <c r="B952" s="26">
        <v>2013</v>
      </c>
      <c r="C952" s="74" t="s">
        <v>452</v>
      </c>
      <c r="D952" s="27">
        <v>0</v>
      </c>
      <c r="E952" s="54">
        <v>0</v>
      </c>
      <c r="F952" s="53">
        <v>0</v>
      </c>
      <c r="G952" s="53">
        <v>0</v>
      </c>
      <c r="H952" s="53">
        <v>0</v>
      </c>
      <c r="I952" s="53">
        <v>0</v>
      </c>
      <c r="J952" s="53">
        <v>0</v>
      </c>
      <c r="K952" s="53">
        <v>0</v>
      </c>
      <c r="L952" s="53">
        <v>0</v>
      </c>
      <c r="M952" s="53">
        <v>0</v>
      </c>
      <c r="N952" s="53">
        <v>0</v>
      </c>
      <c r="O952" s="53">
        <v>0</v>
      </c>
      <c r="P952" s="53">
        <v>0</v>
      </c>
      <c r="Q952" s="53">
        <v>0</v>
      </c>
      <c r="R952" s="53">
        <v>0</v>
      </c>
    </row>
    <row r="953" spans="1:18" x14ac:dyDescent="0.25">
      <c r="A953" s="25" t="s">
        <v>3</v>
      </c>
      <c r="B953" s="26">
        <v>2013</v>
      </c>
      <c r="C953" s="74" t="s">
        <v>0</v>
      </c>
      <c r="D953" s="27">
        <v>0</v>
      </c>
      <c r="E953" s="54">
        <v>2319889860.75</v>
      </c>
      <c r="F953" s="53">
        <v>572704194.38999999</v>
      </c>
      <c r="G953" s="53">
        <v>0</v>
      </c>
      <c r="H953" s="53">
        <v>26525050.600000001</v>
      </c>
      <c r="I953" s="53">
        <v>0</v>
      </c>
      <c r="J953" s="53">
        <v>0</v>
      </c>
      <c r="K953" s="53">
        <v>504153391.64999998</v>
      </c>
      <c r="L953" s="53">
        <v>0</v>
      </c>
      <c r="M953" s="53">
        <v>0</v>
      </c>
      <c r="N953" s="53">
        <v>42025752.140000001</v>
      </c>
      <c r="O953" s="53">
        <v>0</v>
      </c>
      <c r="P953" s="53">
        <v>0</v>
      </c>
      <c r="Q953" s="53">
        <v>0</v>
      </c>
      <c r="R953" s="53">
        <v>0</v>
      </c>
    </row>
    <row r="954" spans="1:18" x14ac:dyDescent="0.25">
      <c r="A954" s="25" t="s">
        <v>415</v>
      </c>
      <c r="B954" s="26">
        <v>2013</v>
      </c>
      <c r="C954" s="74" t="s">
        <v>414</v>
      </c>
      <c r="D954" s="27">
        <v>0</v>
      </c>
      <c r="E954" s="53">
        <v>951053740000</v>
      </c>
      <c r="F954" s="53">
        <v>951053740000</v>
      </c>
      <c r="G954" s="53">
        <v>0</v>
      </c>
      <c r="H954" s="53">
        <v>341219755186.03998</v>
      </c>
      <c r="I954" s="53">
        <v>101822558345.92999</v>
      </c>
      <c r="J954" s="53">
        <v>2515777125.1500001</v>
      </c>
      <c r="K954" s="53">
        <v>1887320875.79</v>
      </c>
      <c r="L954" s="53">
        <v>1228771208.27</v>
      </c>
      <c r="M954" s="53">
        <v>207636292951.76999</v>
      </c>
      <c r="N954" s="53">
        <v>25940554757.02</v>
      </c>
      <c r="O954" s="53">
        <v>21912667963.349998</v>
      </c>
      <c r="P954" s="53">
        <v>159617628873.67001</v>
      </c>
      <c r="Q954" s="53">
        <v>27363566135.400002</v>
      </c>
      <c r="R954" s="53">
        <v>59908846577.610001</v>
      </c>
    </row>
    <row r="955" spans="1:18" x14ac:dyDescent="0.25">
      <c r="A955" s="25" t="s">
        <v>436</v>
      </c>
      <c r="B955" s="26">
        <v>2013</v>
      </c>
      <c r="C955" s="74" t="s">
        <v>435</v>
      </c>
      <c r="D955" s="27">
        <v>0</v>
      </c>
      <c r="E955" s="53">
        <v>133000000</v>
      </c>
      <c r="F955" s="53">
        <v>133000000</v>
      </c>
      <c r="G955" s="53">
        <v>0</v>
      </c>
      <c r="H955" s="53">
        <v>133000000</v>
      </c>
      <c r="I955" s="53">
        <v>0</v>
      </c>
      <c r="J955" s="53">
        <v>-110792827.09</v>
      </c>
      <c r="K955" s="53">
        <v>110792827.09</v>
      </c>
      <c r="L955" s="53">
        <v>0</v>
      </c>
      <c r="M955" s="53">
        <v>0</v>
      </c>
      <c r="N955" s="53">
        <v>0</v>
      </c>
      <c r="O955" s="53">
        <v>0</v>
      </c>
      <c r="P955" s="53">
        <v>0</v>
      </c>
      <c r="Q955" s="53">
        <v>0</v>
      </c>
      <c r="R955" s="53">
        <v>0</v>
      </c>
    </row>
    <row r="956" spans="1:18" x14ac:dyDescent="0.25">
      <c r="A956" s="25" t="s">
        <v>451</v>
      </c>
      <c r="B956" s="26">
        <v>2013</v>
      </c>
      <c r="C956" s="74" t="s">
        <v>450</v>
      </c>
      <c r="D956" s="27">
        <v>0</v>
      </c>
      <c r="E956" s="53">
        <v>700000000</v>
      </c>
      <c r="F956" s="53">
        <v>700000000</v>
      </c>
      <c r="G956" s="53">
        <v>0</v>
      </c>
      <c r="H956" s="53">
        <v>0</v>
      </c>
      <c r="I956" s="53">
        <v>0</v>
      </c>
      <c r="J956" s="53">
        <v>0</v>
      </c>
      <c r="K956" s="53">
        <v>0</v>
      </c>
      <c r="L956" s="53">
        <v>0</v>
      </c>
      <c r="M956" s="53">
        <v>0</v>
      </c>
      <c r="N956" s="53">
        <v>0</v>
      </c>
      <c r="O956" s="53">
        <v>0</v>
      </c>
      <c r="P956" s="53">
        <v>700000000</v>
      </c>
      <c r="Q956" s="53">
        <v>0</v>
      </c>
      <c r="R956" s="53">
        <v>0</v>
      </c>
    </row>
    <row r="957" spans="1:18" x14ac:dyDescent="0.25">
      <c r="A957" s="25" t="s">
        <v>360</v>
      </c>
      <c r="B957" s="26">
        <v>2014</v>
      </c>
      <c r="C957" s="74" t="s">
        <v>359</v>
      </c>
      <c r="D957" s="27">
        <v>0</v>
      </c>
      <c r="E957" s="53">
        <v>195200000000</v>
      </c>
      <c r="F957" s="53">
        <v>195200000000</v>
      </c>
      <c r="G957" s="53">
        <v>14114652617.719999</v>
      </c>
      <c r="H957" s="53">
        <v>14536169041.27</v>
      </c>
      <c r="I957" s="53">
        <v>14294375774.639999</v>
      </c>
      <c r="J957" s="53">
        <v>14363927141.17</v>
      </c>
      <c r="K957" s="53">
        <v>15425349045.76</v>
      </c>
      <c r="L957" s="53">
        <v>17048249445.24</v>
      </c>
      <c r="M957" s="53">
        <v>15913342021.82</v>
      </c>
      <c r="N957" s="53">
        <v>15512710371.07</v>
      </c>
      <c r="O957" s="53">
        <v>17393674927.060001</v>
      </c>
      <c r="P957" s="53">
        <v>16724538046.309999</v>
      </c>
      <c r="Q957" s="53">
        <v>17262431950.57</v>
      </c>
      <c r="R957" s="53">
        <v>16622231614.879999</v>
      </c>
    </row>
    <row r="958" spans="1:18" x14ac:dyDescent="0.25">
      <c r="A958" s="25" t="s">
        <v>358</v>
      </c>
      <c r="B958" s="26">
        <v>2014</v>
      </c>
      <c r="C958" s="74" t="s">
        <v>357</v>
      </c>
      <c r="D958" s="27">
        <v>0</v>
      </c>
      <c r="E958" s="53">
        <v>117300000000</v>
      </c>
      <c r="F958" s="53">
        <v>117300000000</v>
      </c>
      <c r="G958" s="53">
        <v>10500097671.690001</v>
      </c>
      <c r="H958" s="53">
        <v>9310495709.1299992</v>
      </c>
      <c r="I958" s="53">
        <v>10292774240.629999</v>
      </c>
      <c r="J958" s="53">
        <v>11746266514.209999</v>
      </c>
      <c r="K958" s="53">
        <v>10324626829.040001</v>
      </c>
      <c r="L958" s="53">
        <v>9558372647.8700008</v>
      </c>
      <c r="M958" s="53">
        <v>9723177278.6399994</v>
      </c>
      <c r="N958" s="53">
        <v>10336043210.959999</v>
      </c>
      <c r="O958" s="53">
        <v>10046419769.17</v>
      </c>
      <c r="P958" s="53">
        <v>10652012439.030001</v>
      </c>
      <c r="Q958" s="53">
        <v>9674680925.1800003</v>
      </c>
      <c r="R958" s="53">
        <v>9492713988.6100006</v>
      </c>
    </row>
    <row r="959" spans="1:18" x14ac:dyDescent="0.25">
      <c r="A959" s="25" t="s">
        <v>356</v>
      </c>
      <c r="B959" s="26">
        <v>2014</v>
      </c>
      <c r="C959" s="74" t="s">
        <v>355</v>
      </c>
      <c r="D959" s="27">
        <v>0</v>
      </c>
      <c r="E959" s="53">
        <v>36796000000</v>
      </c>
      <c r="F959" s="53">
        <v>36796000000</v>
      </c>
      <c r="G959" s="53">
        <v>1787862837.2</v>
      </c>
      <c r="H959" s="53">
        <v>432539096.07999998</v>
      </c>
      <c r="I959" s="53">
        <v>3228586649.3699999</v>
      </c>
      <c r="J959" s="53">
        <v>2290983309.3699999</v>
      </c>
      <c r="K959" s="53">
        <v>485878991.95999998</v>
      </c>
      <c r="L959" s="53">
        <v>2805125289.6199999</v>
      </c>
      <c r="M959" s="53">
        <v>3105459427.77</v>
      </c>
      <c r="N959" s="53">
        <v>900134406.76999998</v>
      </c>
      <c r="O959" s="53">
        <v>3068960419.4699998</v>
      </c>
      <c r="P959" s="53">
        <v>2766076259.3200002</v>
      </c>
      <c r="Q959" s="53">
        <v>1508640214.6099999</v>
      </c>
      <c r="R959" s="53">
        <v>15889120257.27</v>
      </c>
    </row>
    <row r="960" spans="1:18" x14ac:dyDescent="0.25">
      <c r="A960" s="25" t="s">
        <v>353</v>
      </c>
      <c r="B960" s="26">
        <v>2014</v>
      </c>
      <c r="C960" s="74" t="s">
        <v>352</v>
      </c>
      <c r="D960" s="27">
        <v>0</v>
      </c>
      <c r="E960" s="53">
        <v>71790000000</v>
      </c>
      <c r="F960" s="53">
        <v>71790000000</v>
      </c>
      <c r="G960" s="53">
        <v>6062296143.9700003</v>
      </c>
      <c r="H960" s="53">
        <v>3407713599.6700001</v>
      </c>
      <c r="I960" s="53">
        <v>4927336274.4499998</v>
      </c>
      <c r="J960" s="53">
        <v>2862594037.8699999</v>
      </c>
      <c r="K960" s="53">
        <v>4154911741.46</v>
      </c>
      <c r="L960" s="53">
        <v>11480925818.969999</v>
      </c>
      <c r="M960" s="53">
        <v>4730361569.2799997</v>
      </c>
      <c r="N960" s="53">
        <v>4742760587</v>
      </c>
      <c r="O960" s="53">
        <v>9807077774.3400002</v>
      </c>
      <c r="P960" s="53">
        <v>3931132525.6799998</v>
      </c>
      <c r="Q960" s="53">
        <v>3818831250.8099999</v>
      </c>
      <c r="R960" s="53">
        <v>9160985293.5100002</v>
      </c>
    </row>
    <row r="961" spans="1:18" x14ac:dyDescent="0.25">
      <c r="A961" s="25" t="s">
        <v>351</v>
      </c>
      <c r="B961" s="26">
        <v>2014</v>
      </c>
      <c r="C961" s="74" t="s">
        <v>350</v>
      </c>
      <c r="D961" s="27">
        <v>0</v>
      </c>
      <c r="E961" s="53">
        <v>496290000000</v>
      </c>
      <c r="F961" s="53">
        <v>496290000000</v>
      </c>
      <c r="G961" s="53">
        <v>4914273826.2200003</v>
      </c>
      <c r="H961" s="53">
        <v>7271555005.5600004</v>
      </c>
      <c r="I961" s="53">
        <v>98974127875.199997</v>
      </c>
      <c r="J961" s="53">
        <v>18383526352.349998</v>
      </c>
      <c r="K961" s="53">
        <v>4674773374.4799995</v>
      </c>
      <c r="L961" s="53">
        <v>84629118552.630005</v>
      </c>
      <c r="M961" s="53">
        <v>26172109477.209999</v>
      </c>
      <c r="N961" s="53">
        <v>8484536035.8699999</v>
      </c>
      <c r="O961" s="53">
        <v>85225736174</v>
      </c>
      <c r="P961" s="53">
        <v>15211761739.389999</v>
      </c>
      <c r="Q961" s="53">
        <v>12041010448.92</v>
      </c>
      <c r="R961" s="53">
        <v>138687599192.23001</v>
      </c>
    </row>
    <row r="962" spans="1:18" x14ac:dyDescent="0.25">
      <c r="A962" s="25" t="s">
        <v>348</v>
      </c>
      <c r="B962" s="26">
        <v>2014</v>
      </c>
      <c r="C962" s="74" t="s">
        <v>344</v>
      </c>
      <c r="D962" s="27">
        <v>0</v>
      </c>
      <c r="E962" s="53">
        <v>450000000</v>
      </c>
      <c r="F962" s="53">
        <v>450000000</v>
      </c>
      <c r="G962" s="53">
        <v>14970229</v>
      </c>
      <c r="H962" s="53">
        <v>283561060.58999997</v>
      </c>
      <c r="I962" s="53">
        <v>32014072</v>
      </c>
      <c r="J962" s="53">
        <v>17020766</v>
      </c>
      <c r="K962" s="53">
        <v>17592619</v>
      </c>
      <c r="L962" s="53">
        <v>22982440</v>
      </c>
      <c r="M962" s="53">
        <v>23826443</v>
      </c>
      <c r="N962" s="53">
        <v>13215290</v>
      </c>
      <c r="O962" s="53">
        <v>18774787</v>
      </c>
      <c r="P962" s="53">
        <v>18595559</v>
      </c>
      <c r="Q962" s="53">
        <v>20740833</v>
      </c>
      <c r="R962" s="53">
        <v>89076004</v>
      </c>
    </row>
    <row r="963" spans="1:18" x14ac:dyDescent="0.25">
      <c r="A963" s="25" t="s">
        <v>347</v>
      </c>
      <c r="B963" s="26">
        <v>2014</v>
      </c>
      <c r="C963" s="74" t="s">
        <v>342</v>
      </c>
      <c r="D963" s="27">
        <v>0</v>
      </c>
      <c r="E963" s="53">
        <v>30261000000</v>
      </c>
      <c r="F963" s="53">
        <v>30261000000</v>
      </c>
      <c r="G963" s="53">
        <v>3501814013.6599998</v>
      </c>
      <c r="H963" s="53">
        <v>2117761229.72</v>
      </c>
      <c r="I963" s="53">
        <v>2516258440.8299999</v>
      </c>
      <c r="J963" s="53">
        <v>1612088829.0999999</v>
      </c>
      <c r="K963" s="53">
        <v>1911785367.97</v>
      </c>
      <c r="L963" s="53">
        <v>2014407068.3800001</v>
      </c>
      <c r="M963" s="53">
        <v>2091394427.49</v>
      </c>
      <c r="N963" s="53">
        <v>1435998715.47</v>
      </c>
      <c r="O963" s="53">
        <v>1065105287.67</v>
      </c>
      <c r="P963" s="53">
        <v>2140376543.8699999</v>
      </c>
      <c r="Q963" s="53">
        <v>3831786880.1700001</v>
      </c>
      <c r="R963" s="53">
        <v>4098578722.3099999</v>
      </c>
    </row>
    <row r="964" spans="1:18" x14ac:dyDescent="0.25">
      <c r="A964" s="25" t="s">
        <v>345</v>
      </c>
      <c r="B964" s="26">
        <v>2014</v>
      </c>
      <c r="C964" s="74" t="s">
        <v>344</v>
      </c>
      <c r="D964" s="27">
        <v>0</v>
      </c>
      <c r="E964" s="53">
        <v>43200000000</v>
      </c>
      <c r="F964" s="53">
        <v>43200000000</v>
      </c>
      <c r="G964" s="53">
        <v>5007133900.9499998</v>
      </c>
      <c r="H964" s="53">
        <v>3359345164.8099999</v>
      </c>
      <c r="I964" s="53">
        <v>883981514.25</v>
      </c>
      <c r="J964" s="53">
        <v>7765359410.3599997</v>
      </c>
      <c r="K964" s="53">
        <v>2047288442.5999999</v>
      </c>
      <c r="L964" s="53">
        <v>2299145717.3600001</v>
      </c>
      <c r="M964" s="53">
        <v>5372952683.3699999</v>
      </c>
      <c r="N964" s="53">
        <v>2714290211.6700001</v>
      </c>
      <c r="O964" s="53">
        <v>1396976377.24</v>
      </c>
      <c r="P964" s="53">
        <v>6990939459.4200001</v>
      </c>
      <c r="Q964" s="53">
        <v>2144420794.5899999</v>
      </c>
      <c r="R964" s="53">
        <v>1865086672.9300001</v>
      </c>
    </row>
    <row r="965" spans="1:18" x14ac:dyDescent="0.25">
      <c r="A965" s="25" t="s">
        <v>343</v>
      </c>
      <c r="B965" s="26">
        <v>2014</v>
      </c>
      <c r="C965" s="74" t="s">
        <v>342</v>
      </c>
      <c r="D965" s="27">
        <v>0</v>
      </c>
      <c r="E965" s="53">
        <v>13000000000</v>
      </c>
      <c r="F965" s="53">
        <v>13000000000</v>
      </c>
      <c r="G965" s="53">
        <v>1192986978.73</v>
      </c>
      <c r="H965" s="53">
        <v>1031285416.66</v>
      </c>
      <c r="I965" s="53">
        <v>902699383.75</v>
      </c>
      <c r="J965" s="53">
        <v>990008267.13</v>
      </c>
      <c r="K965" s="53">
        <v>1047966080.96</v>
      </c>
      <c r="L965" s="53">
        <v>944759022.26999998</v>
      </c>
      <c r="M965" s="53">
        <v>1117709849.3900001</v>
      </c>
      <c r="N965" s="53">
        <v>1087628754.75</v>
      </c>
      <c r="O965" s="53">
        <v>955230076.90999997</v>
      </c>
      <c r="P965" s="53">
        <v>1090656468</v>
      </c>
      <c r="Q965" s="53">
        <v>1037795364.84</v>
      </c>
      <c r="R965" s="53">
        <v>1723744349.51</v>
      </c>
    </row>
    <row r="966" spans="1:18" x14ac:dyDescent="0.25">
      <c r="A966" s="25" t="s">
        <v>340</v>
      </c>
      <c r="B966" s="26">
        <v>2014</v>
      </c>
      <c r="C966" s="74" t="s">
        <v>339</v>
      </c>
      <c r="D966" s="27">
        <v>0</v>
      </c>
      <c r="E966" s="53">
        <v>87460000000</v>
      </c>
      <c r="F966" s="53">
        <v>87460000000</v>
      </c>
      <c r="G966" s="53">
        <v>10902346999.219999</v>
      </c>
      <c r="H966" s="53">
        <v>5476647598.8699999</v>
      </c>
      <c r="I966" s="53">
        <v>5555397342.6800003</v>
      </c>
      <c r="J966" s="53">
        <v>6530734548.9799995</v>
      </c>
      <c r="K966" s="53">
        <v>6052885009.2399998</v>
      </c>
      <c r="L966" s="53">
        <v>6709030553.8400002</v>
      </c>
      <c r="M966" s="53">
        <v>7210850065.1300001</v>
      </c>
      <c r="N966" s="53">
        <v>8313743919.4300003</v>
      </c>
      <c r="O966" s="53">
        <v>6042051446.9700003</v>
      </c>
      <c r="P966" s="53">
        <v>7870634932.5600004</v>
      </c>
      <c r="Q966" s="53">
        <v>6900536808.4499998</v>
      </c>
      <c r="R966" s="53">
        <v>6750222510.2200003</v>
      </c>
    </row>
    <row r="967" spans="1:18" x14ac:dyDescent="0.25">
      <c r="A967" s="25" t="s">
        <v>338</v>
      </c>
      <c r="B967" s="26">
        <v>2014</v>
      </c>
      <c r="C967" s="74" t="s">
        <v>337</v>
      </c>
      <c r="D967" s="27">
        <v>0</v>
      </c>
      <c r="E967" s="53">
        <v>253000000</v>
      </c>
      <c r="F967" s="53">
        <v>253000000</v>
      </c>
      <c r="G967" s="53">
        <v>253493750</v>
      </c>
      <c r="H967" s="53">
        <v>0</v>
      </c>
      <c r="I967" s="53">
        <v>0</v>
      </c>
      <c r="J967" s="53">
        <v>0</v>
      </c>
      <c r="K967" s="53">
        <v>0</v>
      </c>
      <c r="L967" s="53">
        <v>0</v>
      </c>
      <c r="M967" s="53">
        <v>0</v>
      </c>
      <c r="N967" s="53">
        <v>0</v>
      </c>
      <c r="O967" s="53">
        <v>0</v>
      </c>
      <c r="P967" s="53">
        <v>0</v>
      </c>
      <c r="Q967" s="53">
        <v>0</v>
      </c>
      <c r="R967" s="53">
        <v>126631250</v>
      </c>
    </row>
    <row r="968" spans="1:18" x14ac:dyDescent="0.25">
      <c r="A968" s="25" t="s">
        <v>335</v>
      </c>
      <c r="B968" s="26">
        <v>2014</v>
      </c>
      <c r="C968" s="74" t="s">
        <v>334</v>
      </c>
      <c r="D968" s="27">
        <v>0</v>
      </c>
      <c r="E968" s="53">
        <v>4300000000</v>
      </c>
      <c r="F968" s="53">
        <v>4300000000</v>
      </c>
      <c r="G968" s="53">
        <v>3514843098</v>
      </c>
      <c r="H968" s="53">
        <v>165752193</v>
      </c>
      <c r="I968" s="53">
        <v>43617481.899999999</v>
      </c>
      <c r="J968" s="53">
        <v>46478704</v>
      </c>
      <c r="K968" s="53">
        <v>25245065</v>
      </c>
      <c r="L968" s="53">
        <v>15667014</v>
      </c>
      <c r="M968" s="53">
        <v>20689360</v>
      </c>
      <c r="N968" s="53">
        <v>10758866</v>
      </c>
      <c r="O968" s="53">
        <v>21293147</v>
      </c>
      <c r="P968" s="53">
        <v>61873401</v>
      </c>
      <c r="Q968" s="53">
        <v>43109607</v>
      </c>
      <c r="R968" s="53">
        <v>43463553</v>
      </c>
    </row>
    <row r="969" spans="1:18" x14ac:dyDescent="0.25">
      <c r="A969" s="25" t="s">
        <v>332</v>
      </c>
      <c r="B969" s="26">
        <v>2014</v>
      </c>
      <c r="C969" s="74" t="s">
        <v>331</v>
      </c>
      <c r="D969" s="27">
        <v>0</v>
      </c>
      <c r="E969" s="53">
        <v>120000000000</v>
      </c>
      <c r="F969" s="53">
        <v>120000000000</v>
      </c>
      <c r="G969" s="53">
        <v>7089287505</v>
      </c>
      <c r="H969" s="53">
        <v>3408760399</v>
      </c>
      <c r="I969" s="53">
        <v>2011471707.6099999</v>
      </c>
      <c r="J969" s="53">
        <v>1531516939.3800001</v>
      </c>
      <c r="K969" s="53">
        <v>1658477444.46</v>
      </c>
      <c r="L969" s="53">
        <v>1398412399.9200001</v>
      </c>
      <c r="M969" s="53">
        <v>1116920129</v>
      </c>
      <c r="N969" s="53">
        <v>931186376.82000005</v>
      </c>
      <c r="O969" s="53">
        <v>784057515</v>
      </c>
      <c r="P969" s="53">
        <v>671746036</v>
      </c>
      <c r="Q969" s="53">
        <v>10396232352</v>
      </c>
      <c r="R969" s="53">
        <v>99002235619</v>
      </c>
    </row>
    <row r="970" spans="1:18" x14ac:dyDescent="0.25">
      <c r="A970" s="25" t="s">
        <v>329</v>
      </c>
      <c r="B970" s="26">
        <v>2014</v>
      </c>
      <c r="C970" s="74" t="s">
        <v>328</v>
      </c>
      <c r="D970" s="27">
        <v>0</v>
      </c>
      <c r="E970" s="53">
        <v>130000000</v>
      </c>
      <c r="F970" s="53">
        <v>130000000</v>
      </c>
      <c r="G970" s="53">
        <v>11252487</v>
      </c>
      <c r="H970" s="53">
        <v>6120545</v>
      </c>
      <c r="I970" s="53">
        <v>3205354</v>
      </c>
      <c r="J970" s="53">
        <v>2445533</v>
      </c>
      <c r="K970" s="53">
        <v>2168245</v>
      </c>
      <c r="L970" s="53">
        <v>1996301</v>
      </c>
      <c r="M970" s="53">
        <v>1680108</v>
      </c>
      <c r="N970" s="53">
        <v>1622661</v>
      </c>
      <c r="O970" s="53">
        <v>1549260</v>
      </c>
      <c r="P970" s="53">
        <v>1602215</v>
      </c>
      <c r="Q970" s="53">
        <v>9809175</v>
      </c>
      <c r="R970" s="53">
        <v>98812858</v>
      </c>
    </row>
    <row r="971" spans="1:18" x14ac:dyDescent="0.25">
      <c r="A971" s="25" t="s">
        <v>325</v>
      </c>
      <c r="B971" s="26">
        <v>2014</v>
      </c>
      <c r="C971" s="74" t="s">
        <v>324</v>
      </c>
      <c r="D971" s="27">
        <v>0</v>
      </c>
      <c r="E971" s="53">
        <v>435000000</v>
      </c>
      <c r="F971" s="53">
        <v>435000000</v>
      </c>
      <c r="G971" s="53">
        <v>91268</v>
      </c>
      <c r="H971" s="53">
        <v>6842864.5099999998</v>
      </c>
      <c r="I971" s="53">
        <v>109084428.89</v>
      </c>
      <c r="J971" s="53">
        <v>38409031.159999996</v>
      </c>
      <c r="K971" s="53">
        <v>21176884.170000002</v>
      </c>
      <c r="L971" s="53">
        <v>7126495.3499999996</v>
      </c>
      <c r="M971" s="53">
        <v>11004984.84</v>
      </c>
      <c r="N971" s="53">
        <v>6500765.4299999997</v>
      </c>
      <c r="O971" s="53">
        <v>7220278.6299999999</v>
      </c>
      <c r="P971" s="53">
        <v>8463505.4399999995</v>
      </c>
      <c r="Q971" s="53">
        <v>7100832.8499999996</v>
      </c>
      <c r="R971" s="53">
        <v>6210712.5599999996</v>
      </c>
    </row>
    <row r="972" spans="1:18" x14ac:dyDescent="0.25">
      <c r="A972" s="25" t="s">
        <v>378</v>
      </c>
      <c r="B972" s="26">
        <v>2014</v>
      </c>
      <c r="C972" s="74" t="s">
        <v>411</v>
      </c>
      <c r="D972" s="27">
        <v>0</v>
      </c>
      <c r="E972" s="53">
        <v>38500000000</v>
      </c>
      <c r="F972" s="53">
        <v>38500000000</v>
      </c>
      <c r="G972" s="53">
        <v>18221695412.110001</v>
      </c>
      <c r="H972" s="53">
        <v>8514761632.6800003</v>
      </c>
      <c r="I972" s="53">
        <v>2822737252.4200001</v>
      </c>
      <c r="J972" s="53">
        <v>1455442247.0799999</v>
      </c>
      <c r="K972" s="53">
        <v>1784979546.5</v>
      </c>
      <c r="L972" s="53">
        <v>1123230225</v>
      </c>
      <c r="M972" s="53">
        <v>1093037100.4000001</v>
      </c>
      <c r="N972" s="53">
        <v>856950272.80999994</v>
      </c>
      <c r="O972" s="53">
        <v>811087197.51999998</v>
      </c>
      <c r="P972" s="53">
        <v>985476708.84000003</v>
      </c>
      <c r="Q972" s="53">
        <v>768379525.97000003</v>
      </c>
      <c r="R972" s="53">
        <v>874916407.26999998</v>
      </c>
    </row>
    <row r="973" spans="1:18" x14ac:dyDescent="0.25">
      <c r="A973" s="25" t="s">
        <v>320</v>
      </c>
      <c r="B973" s="26">
        <v>2014</v>
      </c>
      <c r="C973" s="74" t="s">
        <v>319</v>
      </c>
      <c r="D973" s="27">
        <v>0</v>
      </c>
      <c r="E973" s="53">
        <v>33000000000</v>
      </c>
      <c r="F973" s="53">
        <v>33000000000</v>
      </c>
      <c r="G973" s="53">
        <v>2328201142</v>
      </c>
      <c r="H973" s="53">
        <v>2398089532</v>
      </c>
      <c r="I973" s="53">
        <v>2753065339</v>
      </c>
      <c r="J973" s="53">
        <v>2175834207</v>
      </c>
      <c r="K973" s="53">
        <v>2684003131</v>
      </c>
      <c r="L973" s="53">
        <v>3296210858</v>
      </c>
      <c r="M973" s="53">
        <v>3062260165</v>
      </c>
      <c r="N973" s="53">
        <v>2402677978</v>
      </c>
      <c r="O973" s="53">
        <v>2508498213</v>
      </c>
      <c r="P973" s="53">
        <v>3319214680</v>
      </c>
      <c r="Q973" s="53">
        <v>2591032812</v>
      </c>
      <c r="R973" s="53">
        <v>3180721357.3000002</v>
      </c>
    </row>
    <row r="974" spans="1:18" x14ac:dyDescent="0.25">
      <c r="A974" s="25" t="s">
        <v>317</v>
      </c>
      <c r="B974" s="26">
        <v>2014</v>
      </c>
      <c r="C974" s="74" t="s">
        <v>316</v>
      </c>
      <c r="D974" s="27">
        <v>0</v>
      </c>
      <c r="E974" s="53">
        <v>16800000000</v>
      </c>
      <c r="F974" s="53">
        <v>16800000000</v>
      </c>
      <c r="G974" s="53">
        <v>1664698166</v>
      </c>
      <c r="H974" s="53">
        <v>1673392001</v>
      </c>
      <c r="I974" s="53">
        <v>1681202496</v>
      </c>
      <c r="J974" s="53">
        <v>1359582406</v>
      </c>
      <c r="K974" s="53">
        <v>1724858714</v>
      </c>
      <c r="L974" s="53">
        <v>1556079254</v>
      </c>
      <c r="M974" s="53">
        <v>1595467812</v>
      </c>
      <c r="N974" s="53">
        <v>1490833014</v>
      </c>
      <c r="O974" s="53">
        <v>1607206275</v>
      </c>
      <c r="P974" s="53">
        <v>1750037487</v>
      </c>
      <c r="Q974" s="53">
        <v>1603235466</v>
      </c>
      <c r="R974" s="53">
        <v>1392671501</v>
      </c>
    </row>
    <row r="975" spans="1:18" x14ac:dyDescent="0.25">
      <c r="A975" s="25" t="s">
        <v>313</v>
      </c>
      <c r="B975" s="26">
        <v>2014</v>
      </c>
      <c r="C975" s="74" t="s">
        <v>312</v>
      </c>
      <c r="D975" s="27">
        <v>0</v>
      </c>
      <c r="E975" s="53">
        <v>665000000000</v>
      </c>
      <c r="F975" s="53">
        <v>665000000000</v>
      </c>
      <c r="G975" s="53">
        <v>70066648517.740005</v>
      </c>
      <c r="H975" s="53">
        <v>50822001971.870003</v>
      </c>
      <c r="I975" s="53">
        <v>51461371392.559998</v>
      </c>
      <c r="J975" s="53">
        <v>57877110367.879997</v>
      </c>
      <c r="K975" s="53">
        <v>49998494343.809998</v>
      </c>
      <c r="L975" s="53">
        <v>48557452053.879997</v>
      </c>
      <c r="M975" s="53">
        <v>53805697492.330002</v>
      </c>
      <c r="N975" s="53">
        <v>52696541443.129997</v>
      </c>
      <c r="O975" s="53">
        <v>50690754224.269997</v>
      </c>
      <c r="P975" s="53">
        <v>51048818745.190002</v>
      </c>
      <c r="Q975" s="53">
        <v>48791448147.610001</v>
      </c>
      <c r="R975" s="53">
        <v>64126708881.610001</v>
      </c>
    </row>
    <row r="976" spans="1:18" x14ac:dyDescent="0.25">
      <c r="A976" s="25" t="s">
        <v>310</v>
      </c>
      <c r="B976" s="26">
        <v>2014</v>
      </c>
      <c r="C976" s="74" t="s">
        <v>309</v>
      </c>
      <c r="D976" s="27">
        <v>0</v>
      </c>
      <c r="E976" s="53">
        <v>625000000000</v>
      </c>
      <c r="F976" s="53">
        <v>625000000000</v>
      </c>
      <c r="G976" s="53">
        <v>49175340267.830002</v>
      </c>
      <c r="H976" s="53">
        <v>44778603445.529999</v>
      </c>
      <c r="I976" s="53">
        <v>55027799146.769997</v>
      </c>
      <c r="J976" s="53">
        <v>49049801470.339996</v>
      </c>
      <c r="K976" s="53">
        <v>53583167763.709999</v>
      </c>
      <c r="L976" s="53">
        <v>48504832230.32</v>
      </c>
      <c r="M976" s="53">
        <v>52532541674.790001</v>
      </c>
      <c r="N976" s="53">
        <v>50275323426.910004</v>
      </c>
      <c r="O976" s="53">
        <v>48719276194.239998</v>
      </c>
      <c r="P976" s="53">
        <v>56721488113.089996</v>
      </c>
      <c r="Q976" s="53">
        <v>57090030908.959999</v>
      </c>
      <c r="R976" s="53">
        <v>51396322903.730003</v>
      </c>
    </row>
    <row r="977" spans="1:18" x14ac:dyDescent="0.25">
      <c r="A977" s="25" t="s">
        <v>306</v>
      </c>
      <c r="B977" s="26">
        <v>2014</v>
      </c>
      <c r="C977" s="74" t="s">
        <v>305</v>
      </c>
      <c r="D977" s="27">
        <v>0</v>
      </c>
      <c r="E977" s="53">
        <v>23000000000</v>
      </c>
      <c r="F977" s="53">
        <v>23000000000</v>
      </c>
      <c r="G977" s="53">
        <v>2480571638.1599998</v>
      </c>
      <c r="H977" s="53">
        <v>1264258878.74</v>
      </c>
      <c r="I977" s="53">
        <v>1676217839.4000001</v>
      </c>
      <c r="J977" s="53">
        <v>5102541144.3500004</v>
      </c>
      <c r="K977" s="53">
        <v>729102925.28999996</v>
      </c>
      <c r="L977" s="53">
        <v>652540628.99000001</v>
      </c>
      <c r="M977" s="53">
        <v>1098389056.26</v>
      </c>
      <c r="N977" s="53">
        <v>1764699535.0699999</v>
      </c>
      <c r="O977" s="53">
        <v>1413476703.3699999</v>
      </c>
      <c r="P977" s="53">
        <v>1523376397.6700001</v>
      </c>
      <c r="Q977" s="53">
        <v>1691960749.3699999</v>
      </c>
      <c r="R977" s="53">
        <v>2221865919.46</v>
      </c>
    </row>
    <row r="978" spans="1:18" x14ac:dyDescent="0.25">
      <c r="A978" s="25" t="s">
        <v>303</v>
      </c>
      <c r="B978" s="26">
        <v>2014</v>
      </c>
      <c r="C978" s="74" t="s">
        <v>302</v>
      </c>
      <c r="D978" s="27">
        <v>0</v>
      </c>
      <c r="E978" s="53">
        <v>172400000000</v>
      </c>
      <c r="F978" s="53">
        <v>172400000000</v>
      </c>
      <c r="G978" s="53">
        <v>12294815739.799999</v>
      </c>
      <c r="H978" s="53">
        <v>12568918263.01</v>
      </c>
      <c r="I978" s="53">
        <v>16899389922.42</v>
      </c>
      <c r="J978" s="53">
        <v>14471242963.07</v>
      </c>
      <c r="K978" s="53">
        <v>15317334170.870001</v>
      </c>
      <c r="L978" s="53">
        <v>12620606726.75</v>
      </c>
      <c r="M978" s="53">
        <v>14056181061.68</v>
      </c>
      <c r="N978" s="53">
        <v>12635314143.440001</v>
      </c>
      <c r="O978" s="53">
        <v>13687024855.209999</v>
      </c>
      <c r="P978" s="53">
        <v>16365361995.379999</v>
      </c>
      <c r="Q978" s="53">
        <v>18329889257.130001</v>
      </c>
      <c r="R978" s="53">
        <v>14972680304.700001</v>
      </c>
    </row>
    <row r="979" spans="1:18" x14ac:dyDescent="0.25">
      <c r="A979" s="25" t="s">
        <v>298</v>
      </c>
      <c r="B979" s="26">
        <v>2014</v>
      </c>
      <c r="C979" s="74" t="s">
        <v>281</v>
      </c>
      <c r="D979" s="27">
        <v>0</v>
      </c>
      <c r="E979" s="53">
        <v>230450000000</v>
      </c>
      <c r="F979" s="53">
        <v>230450000000</v>
      </c>
      <c r="G979" s="53">
        <v>0</v>
      </c>
      <c r="H979" s="53">
        <v>25339143325</v>
      </c>
      <c r="I979" s="53">
        <v>17497119073</v>
      </c>
      <c r="J979" s="53">
        <v>26062481571</v>
      </c>
      <c r="K979" s="53">
        <v>18622892349</v>
      </c>
      <c r="L979" s="53">
        <v>18865808161</v>
      </c>
      <c r="M979" s="53">
        <v>20830960137</v>
      </c>
      <c r="N979" s="53">
        <v>8173577975</v>
      </c>
      <c r="O979" s="53">
        <v>30699990765</v>
      </c>
      <c r="P979" s="53">
        <v>20319047649</v>
      </c>
      <c r="Q979" s="53">
        <v>19021650467</v>
      </c>
      <c r="R979" s="53">
        <v>19678594676</v>
      </c>
    </row>
    <row r="980" spans="1:18" x14ac:dyDescent="0.25">
      <c r="A980" s="25" t="s">
        <v>297</v>
      </c>
      <c r="B980" s="26">
        <v>2014</v>
      </c>
      <c r="C980" s="74" t="s">
        <v>287</v>
      </c>
      <c r="D980" s="27">
        <v>0</v>
      </c>
      <c r="E980" s="53">
        <v>188550000000</v>
      </c>
      <c r="F980" s="53">
        <v>188550000000</v>
      </c>
      <c r="G980" s="53">
        <v>23258691506.889999</v>
      </c>
      <c r="H980" s="53">
        <v>8209143842.0699997</v>
      </c>
      <c r="I980" s="53">
        <v>23535701635.119999</v>
      </c>
      <c r="J980" s="53">
        <v>22367304614.310001</v>
      </c>
      <c r="K980" s="53">
        <v>14492178086.08</v>
      </c>
      <c r="L980" s="53">
        <v>8893025861.8199997</v>
      </c>
      <c r="M980" s="53">
        <v>7822523837.7799997</v>
      </c>
      <c r="N980" s="53">
        <v>21284410882.59</v>
      </c>
      <c r="O980" s="53">
        <v>14870086386.93</v>
      </c>
      <c r="P980" s="53">
        <v>15741285467.700001</v>
      </c>
      <c r="Q980" s="53">
        <v>8214694044.4099998</v>
      </c>
      <c r="R980" s="53">
        <v>11101007105.98</v>
      </c>
    </row>
    <row r="981" spans="1:18" x14ac:dyDescent="0.25">
      <c r="A981" s="25" t="s">
        <v>295</v>
      </c>
      <c r="B981" s="26">
        <v>2014</v>
      </c>
      <c r="C981" s="74" t="s">
        <v>281</v>
      </c>
      <c r="D981" s="27">
        <v>0</v>
      </c>
      <c r="E981" s="53">
        <v>28320000000</v>
      </c>
      <c r="F981" s="53">
        <v>28320000000</v>
      </c>
      <c r="G981" s="53">
        <v>3314269594.29</v>
      </c>
      <c r="H981" s="53">
        <v>1858899450.99</v>
      </c>
      <c r="I981" s="53">
        <v>2076707000.21</v>
      </c>
      <c r="J981" s="53">
        <v>2804223019.4400001</v>
      </c>
      <c r="K981" s="53">
        <v>1958305309.25</v>
      </c>
      <c r="L981" s="53">
        <v>2119565282.0799999</v>
      </c>
      <c r="M981" s="53">
        <v>2130899799.1900001</v>
      </c>
      <c r="N981" s="53">
        <v>1911231672.3499999</v>
      </c>
      <c r="O981" s="53">
        <v>2297227257.9699998</v>
      </c>
      <c r="P981" s="53">
        <v>2431044675.25</v>
      </c>
      <c r="Q981" s="53">
        <v>2222888379.6199999</v>
      </c>
      <c r="R981" s="53">
        <v>3190311127.8800001</v>
      </c>
    </row>
    <row r="982" spans="1:18" x14ac:dyDescent="0.25">
      <c r="A982" s="25" t="s">
        <v>294</v>
      </c>
      <c r="B982" s="26">
        <v>2014</v>
      </c>
      <c r="C982" s="74" t="s">
        <v>287</v>
      </c>
      <c r="D982" s="27">
        <v>0</v>
      </c>
      <c r="E982" s="53">
        <v>7080000000</v>
      </c>
      <c r="F982" s="53">
        <v>7080000000</v>
      </c>
      <c r="G982" s="53">
        <v>579156164.78999996</v>
      </c>
      <c r="H982" s="53">
        <v>478092806.75</v>
      </c>
      <c r="I982" s="53">
        <v>692749149.64999998</v>
      </c>
      <c r="J982" s="53">
        <v>602752883.45000005</v>
      </c>
      <c r="K982" s="53">
        <v>519583630.74000001</v>
      </c>
      <c r="L982" s="53">
        <v>588943494.78999996</v>
      </c>
      <c r="M982" s="53">
        <v>469967696.38</v>
      </c>
      <c r="N982" s="53">
        <v>466458938.54000002</v>
      </c>
      <c r="O982" s="53">
        <v>729088520.03999996</v>
      </c>
      <c r="P982" s="53">
        <v>797619272</v>
      </c>
      <c r="Q982" s="53">
        <v>964939454.05999994</v>
      </c>
      <c r="R982" s="53">
        <v>1088274165.8299999</v>
      </c>
    </row>
    <row r="983" spans="1:18" x14ac:dyDescent="0.25">
      <c r="A983" s="25" t="s">
        <v>292</v>
      </c>
      <c r="B983" s="26">
        <v>2014</v>
      </c>
      <c r="C983" s="74" t="s">
        <v>281</v>
      </c>
      <c r="D983" s="27">
        <v>0</v>
      </c>
      <c r="E983" s="53">
        <v>34500000000</v>
      </c>
      <c r="F983" s="53">
        <v>34500000000</v>
      </c>
      <c r="G983" s="53">
        <v>3177250305.0900002</v>
      </c>
      <c r="H983" s="53">
        <v>2392043724.46</v>
      </c>
      <c r="I983" s="53">
        <v>2407689303.8200002</v>
      </c>
      <c r="J983" s="53">
        <v>2724209426.9299998</v>
      </c>
      <c r="K983" s="53">
        <v>2761912060</v>
      </c>
      <c r="L983" s="53">
        <v>2480566238</v>
      </c>
      <c r="M983" s="53">
        <v>2449267805.5999999</v>
      </c>
      <c r="N983" s="53">
        <v>2618019744.7199998</v>
      </c>
      <c r="O983" s="53">
        <v>2559946635.3000002</v>
      </c>
      <c r="P983" s="53">
        <v>2532254740.4699998</v>
      </c>
      <c r="Q983" s="53">
        <v>2513726073.8699999</v>
      </c>
      <c r="R983" s="53">
        <v>2700024266.0100002</v>
      </c>
    </row>
    <row r="984" spans="1:18" x14ac:dyDescent="0.25">
      <c r="A984" s="25" t="s">
        <v>291</v>
      </c>
      <c r="B984" s="26">
        <v>2014</v>
      </c>
      <c r="C984" s="74" t="s">
        <v>287</v>
      </c>
      <c r="D984" s="27">
        <v>0</v>
      </c>
      <c r="E984" s="53">
        <v>3000000000</v>
      </c>
      <c r="F984" s="53">
        <v>3000000000</v>
      </c>
      <c r="G984" s="53">
        <v>272123156.22000003</v>
      </c>
      <c r="H984" s="53">
        <v>231555481.38</v>
      </c>
      <c r="I984" s="53">
        <v>277827758.57999998</v>
      </c>
      <c r="J984" s="53">
        <v>311579983.88</v>
      </c>
      <c r="K984" s="53">
        <v>375926026.33999997</v>
      </c>
      <c r="L984" s="53">
        <v>308521145.47000003</v>
      </c>
      <c r="M984" s="53">
        <v>332115372.81</v>
      </c>
      <c r="N984" s="53">
        <v>266703634.19</v>
      </c>
      <c r="O984" s="53">
        <v>283996362.19</v>
      </c>
      <c r="P984" s="53">
        <v>276407958.14999998</v>
      </c>
      <c r="Q984" s="53">
        <v>277597147.49000001</v>
      </c>
      <c r="R984" s="53">
        <v>342388923.01999998</v>
      </c>
    </row>
    <row r="985" spans="1:18" x14ac:dyDescent="0.25">
      <c r="A985" s="25" t="s">
        <v>289</v>
      </c>
      <c r="B985" s="26">
        <v>2014</v>
      </c>
      <c r="C985" s="74" t="s">
        <v>287</v>
      </c>
      <c r="D985" s="27">
        <v>0</v>
      </c>
      <c r="E985" s="53">
        <v>1760000000</v>
      </c>
      <c r="F985" s="53">
        <v>1760000000</v>
      </c>
      <c r="G985" s="53">
        <v>162512582.33000001</v>
      </c>
      <c r="H985" s="53">
        <v>138394971.49000001</v>
      </c>
      <c r="I985" s="53">
        <v>218343749.27000001</v>
      </c>
      <c r="J985" s="53">
        <v>115041250.95</v>
      </c>
      <c r="K985" s="53">
        <v>93972610.590000004</v>
      </c>
      <c r="L985" s="53">
        <v>109612508.33</v>
      </c>
      <c r="M985" s="53">
        <v>119279247.70999999</v>
      </c>
      <c r="N985" s="53">
        <v>109282692.94</v>
      </c>
      <c r="O985" s="53">
        <v>136416501.83000001</v>
      </c>
      <c r="P985" s="53">
        <v>80791482.430000007</v>
      </c>
      <c r="Q985" s="53">
        <v>93598055.530000001</v>
      </c>
      <c r="R985" s="53">
        <v>115553923.65000001</v>
      </c>
    </row>
    <row r="986" spans="1:18" x14ac:dyDescent="0.25">
      <c r="A986" s="25" t="s">
        <v>286</v>
      </c>
      <c r="B986" s="26">
        <v>2014</v>
      </c>
      <c r="C986" s="74" t="s">
        <v>285</v>
      </c>
      <c r="D986" s="27">
        <v>0</v>
      </c>
      <c r="E986" s="53">
        <v>235000000</v>
      </c>
      <c r="F986" s="53">
        <v>235000000</v>
      </c>
      <c r="G986" s="53">
        <v>22738298.710000001</v>
      </c>
      <c r="H986" s="53">
        <v>28032180.670000002</v>
      </c>
      <c r="I986" s="53">
        <v>0</v>
      </c>
      <c r="J986" s="53">
        <v>25928441.620000001</v>
      </c>
      <c r="K986" s="53">
        <v>68112040.090000004</v>
      </c>
      <c r="L986" s="53">
        <v>45456022.009999998</v>
      </c>
      <c r="M986" s="53">
        <v>26790454.77</v>
      </c>
      <c r="N986" s="53">
        <v>44117425.109999999</v>
      </c>
      <c r="O986" s="53">
        <v>27024547.870000001</v>
      </c>
      <c r="P986" s="53">
        <v>25740843.620000001</v>
      </c>
      <c r="Q986" s="53">
        <v>0</v>
      </c>
      <c r="R986" s="53">
        <v>26135923.969999999</v>
      </c>
    </row>
    <row r="987" spans="1:18" x14ac:dyDescent="0.25">
      <c r="A987" s="25" t="s">
        <v>283</v>
      </c>
      <c r="B987" s="26">
        <v>2014</v>
      </c>
      <c r="C987" s="74" t="s">
        <v>282</v>
      </c>
      <c r="D987" s="27">
        <v>0</v>
      </c>
      <c r="E987" s="53">
        <v>20160000000</v>
      </c>
      <c r="F987" s="53">
        <v>20160000000</v>
      </c>
      <c r="G987" s="53">
        <v>9894</v>
      </c>
      <c r="H987" s="53">
        <v>840809114.91999996</v>
      </c>
      <c r="I987" s="53">
        <v>1495154734.5</v>
      </c>
      <c r="J987" s="53">
        <v>6559107516</v>
      </c>
      <c r="K987" s="53">
        <v>7119856</v>
      </c>
      <c r="L987" s="53">
        <v>9517577.1500000004</v>
      </c>
      <c r="M987" s="53">
        <v>923513555.70000005</v>
      </c>
      <c r="N987" s="53">
        <v>1554144714.4000001</v>
      </c>
      <c r="O987" s="53">
        <v>1205525720.2</v>
      </c>
      <c r="P987" s="53">
        <v>1363418636</v>
      </c>
      <c r="Q987" s="53">
        <v>1577652077</v>
      </c>
      <c r="R987" s="53">
        <v>2092233233</v>
      </c>
    </row>
    <row r="988" spans="1:18" x14ac:dyDescent="0.25">
      <c r="A988" s="25" t="s">
        <v>280</v>
      </c>
      <c r="B988" s="26">
        <v>2014</v>
      </c>
      <c r="C988" s="74" t="s">
        <v>279</v>
      </c>
      <c r="D988" s="27">
        <v>0</v>
      </c>
      <c r="E988" s="53">
        <v>15840000000</v>
      </c>
      <c r="F988" s="53">
        <v>15840000000</v>
      </c>
      <c r="G988" s="53">
        <v>1378396960.02</v>
      </c>
      <c r="H988" s="53">
        <v>1004378731.73</v>
      </c>
      <c r="I988" s="53">
        <v>1350479640</v>
      </c>
      <c r="J988" s="53">
        <v>1490246339</v>
      </c>
      <c r="K988" s="53">
        <v>1241695914.8900001</v>
      </c>
      <c r="L988" s="53">
        <v>1263937584</v>
      </c>
      <c r="M988" s="53">
        <v>1032648480</v>
      </c>
      <c r="N988" s="53">
        <v>1062039884</v>
      </c>
      <c r="O988" s="53">
        <v>1411191131.3699999</v>
      </c>
      <c r="P988" s="53">
        <v>772524380.39999998</v>
      </c>
      <c r="Q988" s="53">
        <v>1341900400</v>
      </c>
      <c r="R988" s="53">
        <v>1299134248.6400001</v>
      </c>
    </row>
    <row r="989" spans="1:18" x14ac:dyDescent="0.25">
      <c r="A989" s="25" t="s">
        <v>276</v>
      </c>
      <c r="B989" s="26">
        <v>2014</v>
      </c>
      <c r="C989" s="74" t="s">
        <v>275</v>
      </c>
      <c r="D989" s="27">
        <v>0</v>
      </c>
      <c r="E989" s="53">
        <v>960000000</v>
      </c>
      <c r="F989" s="53">
        <v>960000000</v>
      </c>
      <c r="G989" s="53">
        <v>64682215.509999998</v>
      </c>
      <c r="H989" s="53">
        <v>116652947.64</v>
      </c>
      <c r="I989" s="53">
        <v>95584224.079999998</v>
      </c>
      <c r="J989" s="53">
        <v>117131325.7</v>
      </c>
      <c r="K989" s="53">
        <v>57654093.450000003</v>
      </c>
      <c r="L989" s="53">
        <v>47370935.390000001</v>
      </c>
      <c r="M989" s="53">
        <v>79866907.049999997</v>
      </c>
      <c r="N989" s="53">
        <v>55060674.119999997</v>
      </c>
      <c r="O989" s="53">
        <v>42126393.68</v>
      </c>
      <c r="P989" s="53">
        <v>101145090.62</v>
      </c>
      <c r="Q989" s="53">
        <v>68090944.560000002</v>
      </c>
      <c r="R989" s="53">
        <v>51490851.850000001</v>
      </c>
    </row>
    <row r="990" spans="1:18" x14ac:dyDescent="0.25">
      <c r="A990" s="25" t="s">
        <v>274</v>
      </c>
      <c r="B990" s="26">
        <v>2014</v>
      </c>
      <c r="C990" s="74" t="s">
        <v>273</v>
      </c>
      <c r="D990" s="27">
        <v>0</v>
      </c>
      <c r="E990" s="53">
        <v>120000000</v>
      </c>
      <c r="F990" s="53">
        <v>120000000</v>
      </c>
      <c r="G990" s="53">
        <v>8062250</v>
      </c>
      <c r="H990" s="53">
        <v>0</v>
      </c>
      <c r="I990" s="53">
        <v>0</v>
      </c>
      <c r="J990" s="53">
        <v>0</v>
      </c>
      <c r="K990" s="53">
        <v>0</v>
      </c>
      <c r="L990" s="53">
        <v>0</v>
      </c>
      <c r="M990" s="53">
        <v>4270500</v>
      </c>
      <c r="N990" s="53">
        <v>0</v>
      </c>
      <c r="O990" s="53">
        <v>0</v>
      </c>
      <c r="P990" s="53">
        <v>19207575</v>
      </c>
      <c r="Q990" s="53">
        <v>5406450</v>
      </c>
      <c r="R990" s="53">
        <v>5691450</v>
      </c>
    </row>
    <row r="991" spans="1:18" x14ac:dyDescent="0.25">
      <c r="A991" s="25" t="s">
        <v>268</v>
      </c>
      <c r="B991" s="26">
        <v>2014</v>
      </c>
      <c r="C991" s="74" t="s">
        <v>267</v>
      </c>
      <c r="D991" s="27">
        <v>0</v>
      </c>
      <c r="E991" s="53">
        <v>147000000000</v>
      </c>
      <c r="F991" s="53">
        <v>147000000000</v>
      </c>
      <c r="G991" s="53">
        <v>9967659520.7099991</v>
      </c>
      <c r="H991" s="53">
        <v>10087636647.66</v>
      </c>
      <c r="I991" s="53">
        <v>12258695918.85</v>
      </c>
      <c r="J991" s="53">
        <v>10892021667.59</v>
      </c>
      <c r="K991" s="53">
        <v>12497616759.76</v>
      </c>
      <c r="L991" s="53">
        <v>10602200396.889999</v>
      </c>
      <c r="M991" s="53">
        <v>11934237922.93</v>
      </c>
      <c r="N991" s="53">
        <v>11527595841.35</v>
      </c>
      <c r="O991" s="53">
        <v>11789757386.23</v>
      </c>
      <c r="P991" s="53">
        <v>13785712657.84</v>
      </c>
      <c r="Q991" s="53">
        <v>14036188380.27</v>
      </c>
      <c r="R991" s="53">
        <v>12846200398.780001</v>
      </c>
    </row>
    <row r="992" spans="1:18" x14ac:dyDescent="0.25">
      <c r="A992" s="25" t="s">
        <v>264</v>
      </c>
      <c r="B992" s="26">
        <v>2014</v>
      </c>
      <c r="C992" s="74" t="s">
        <v>263</v>
      </c>
      <c r="D992" s="27">
        <v>0</v>
      </c>
      <c r="E992" s="53">
        <v>25600000000</v>
      </c>
      <c r="F992" s="53">
        <v>25600000000</v>
      </c>
      <c r="G992" s="53">
        <v>2224915986.1300001</v>
      </c>
      <c r="H992" s="53">
        <v>1936431282.45</v>
      </c>
      <c r="I992" s="53">
        <v>2462377176.3299999</v>
      </c>
      <c r="J992" s="53">
        <v>2133416719.8900001</v>
      </c>
      <c r="K992" s="53">
        <v>2411779207.5</v>
      </c>
      <c r="L992" s="53">
        <v>1982507081.9000001</v>
      </c>
      <c r="M992" s="53">
        <v>2408260648.3200002</v>
      </c>
      <c r="N992" s="53">
        <v>2337657191.9200001</v>
      </c>
      <c r="O992" s="53">
        <v>2105816271.54</v>
      </c>
      <c r="P992" s="53">
        <v>2369665403.8099999</v>
      </c>
      <c r="Q992" s="53">
        <v>2264258325.3699999</v>
      </c>
      <c r="R992" s="53">
        <v>2257248771.4200001</v>
      </c>
    </row>
    <row r="993" spans="1:18" x14ac:dyDescent="0.25">
      <c r="A993" s="25" t="s">
        <v>260</v>
      </c>
      <c r="B993" s="26">
        <v>2014</v>
      </c>
      <c r="C993" s="74" t="s">
        <v>259</v>
      </c>
      <c r="D993" s="27">
        <v>0</v>
      </c>
      <c r="E993" s="53">
        <v>2651000000</v>
      </c>
      <c r="F993" s="53">
        <v>2651000000</v>
      </c>
      <c r="G993" s="53">
        <v>233470784.06999999</v>
      </c>
      <c r="H993" s="53">
        <v>198430480.83000001</v>
      </c>
      <c r="I993" s="53">
        <v>263772837.96000001</v>
      </c>
      <c r="J993" s="53">
        <v>271987178.23000002</v>
      </c>
      <c r="K993" s="53">
        <v>340160151.81</v>
      </c>
      <c r="L993" s="53">
        <v>286584346.07999998</v>
      </c>
      <c r="M993" s="53">
        <v>256377767.91999999</v>
      </c>
      <c r="N993" s="53">
        <v>210989332.72999999</v>
      </c>
      <c r="O993" s="53">
        <v>248365321.91</v>
      </c>
      <c r="P993" s="53">
        <v>300310757.42000002</v>
      </c>
      <c r="Q993" s="53">
        <v>226020308.56999999</v>
      </c>
      <c r="R993" s="53">
        <v>230749255.33000001</v>
      </c>
    </row>
    <row r="994" spans="1:18" x14ac:dyDescent="0.25">
      <c r="A994" s="25" t="s">
        <v>258</v>
      </c>
      <c r="B994" s="26">
        <v>2014</v>
      </c>
      <c r="C994" s="74" t="s">
        <v>257</v>
      </c>
      <c r="D994" s="27">
        <v>0</v>
      </c>
      <c r="E994" s="53">
        <v>158000000</v>
      </c>
      <c r="F994" s="53">
        <v>158000000</v>
      </c>
      <c r="G994" s="53">
        <v>14351235</v>
      </c>
      <c r="H994" s="53">
        <v>11907880.5</v>
      </c>
      <c r="I994" s="53">
        <v>15036405</v>
      </c>
      <c r="J994" s="53">
        <v>15444733.5</v>
      </c>
      <c r="K994" s="53">
        <v>18858517.5</v>
      </c>
      <c r="L994" s="53">
        <v>16005939</v>
      </c>
      <c r="M994" s="53">
        <v>14688538.5</v>
      </c>
      <c r="N994" s="53">
        <v>12278370</v>
      </c>
      <c r="O994" s="53">
        <v>14225514</v>
      </c>
      <c r="P994" s="53">
        <v>17000373</v>
      </c>
      <c r="Q994" s="53">
        <v>12867484.5</v>
      </c>
      <c r="R994" s="53">
        <v>13213822.5</v>
      </c>
    </row>
    <row r="995" spans="1:18" x14ac:dyDescent="0.25">
      <c r="A995" s="25" t="s">
        <v>256</v>
      </c>
      <c r="B995" s="26">
        <v>2014</v>
      </c>
      <c r="C995" s="74" t="s">
        <v>255</v>
      </c>
      <c r="D995" s="27">
        <v>0</v>
      </c>
      <c r="E995" s="53">
        <v>2092000000</v>
      </c>
      <c r="F995" s="53">
        <v>2092000000</v>
      </c>
      <c r="G995" s="53">
        <v>115693359.75</v>
      </c>
      <c r="H995" s="53">
        <v>119259710.41</v>
      </c>
      <c r="I995" s="53">
        <v>136389019</v>
      </c>
      <c r="J995" s="53">
        <v>129656788.5</v>
      </c>
      <c r="K995" s="53">
        <v>158962387.75</v>
      </c>
      <c r="L995" s="53">
        <v>144413506.25</v>
      </c>
      <c r="M995" s="53">
        <v>144858487.5</v>
      </c>
      <c r="N995" s="53">
        <v>133056656</v>
      </c>
      <c r="O995" s="53">
        <v>135097406.5</v>
      </c>
      <c r="P995" s="53">
        <v>138214706.75</v>
      </c>
      <c r="Q995" s="53">
        <v>134346159</v>
      </c>
      <c r="R995" s="53">
        <v>120232831.75</v>
      </c>
    </row>
    <row r="996" spans="1:18" x14ac:dyDescent="0.25">
      <c r="A996" s="25" t="s">
        <v>253</v>
      </c>
      <c r="B996" s="26">
        <v>2014</v>
      </c>
      <c r="C996" s="74" t="s">
        <v>252</v>
      </c>
      <c r="D996" s="27">
        <v>0</v>
      </c>
      <c r="E996" s="53">
        <v>31500000000</v>
      </c>
      <c r="F996" s="53">
        <v>31500000000</v>
      </c>
      <c r="G996" s="53">
        <v>3136078421.8600001</v>
      </c>
      <c r="H996" s="53">
        <v>2819029801.9699998</v>
      </c>
      <c r="I996" s="53">
        <v>3268439484.46</v>
      </c>
      <c r="J996" s="53">
        <v>3152628650.6900001</v>
      </c>
      <c r="K996" s="53">
        <v>2290749647.8699999</v>
      </c>
      <c r="L996" s="53">
        <v>2401293283.5799999</v>
      </c>
      <c r="M996" s="53">
        <v>2949310252.0799999</v>
      </c>
      <c r="N996" s="53">
        <v>2572848226.3699999</v>
      </c>
      <c r="O996" s="53">
        <v>2034492306.8399999</v>
      </c>
      <c r="P996" s="53">
        <v>1759396598.2</v>
      </c>
      <c r="Q996" s="53">
        <v>1991319819.8399999</v>
      </c>
      <c r="R996" s="53">
        <v>3008655279.2800002</v>
      </c>
    </row>
    <row r="997" spans="1:18" x14ac:dyDescent="0.25">
      <c r="A997" s="25" t="s">
        <v>251</v>
      </c>
      <c r="B997" s="26">
        <v>2014</v>
      </c>
      <c r="C997" s="74" t="s">
        <v>250</v>
      </c>
      <c r="D997" s="27">
        <v>0</v>
      </c>
      <c r="E997" s="53">
        <v>2854000000</v>
      </c>
      <c r="F997" s="53">
        <v>2854000000</v>
      </c>
      <c r="G997" s="53">
        <v>22347783.48</v>
      </c>
      <c r="H997" s="53">
        <v>8599481</v>
      </c>
      <c r="I997" s="53">
        <v>30630918.649999999</v>
      </c>
      <c r="J997" s="53">
        <v>228922402.75</v>
      </c>
      <c r="K997" s="53">
        <v>158467771.77000001</v>
      </c>
      <c r="L997" s="53">
        <v>138510022.24000001</v>
      </c>
      <c r="M997" s="53">
        <v>194084970.69999999</v>
      </c>
      <c r="N997" s="53">
        <v>152233886.09999999</v>
      </c>
      <c r="O997" s="53">
        <v>156140123.05000001</v>
      </c>
      <c r="P997" s="53">
        <v>131450268.61</v>
      </c>
      <c r="Q997" s="53">
        <v>151546479.16999999</v>
      </c>
      <c r="R997" s="53">
        <v>383827141.31999999</v>
      </c>
    </row>
    <row r="998" spans="1:18" x14ac:dyDescent="0.25">
      <c r="A998" s="25" t="s">
        <v>249</v>
      </c>
      <c r="B998" s="26">
        <v>2014</v>
      </c>
      <c r="C998" s="74" t="s">
        <v>248</v>
      </c>
      <c r="D998" s="27">
        <v>0</v>
      </c>
      <c r="E998" s="53">
        <v>6600000000</v>
      </c>
      <c r="F998" s="53">
        <v>6600000000</v>
      </c>
      <c r="G998" s="53">
        <v>723272136.19000006</v>
      </c>
      <c r="H998" s="53">
        <v>519853548.11000001</v>
      </c>
      <c r="I998" s="53">
        <v>341019287.98000002</v>
      </c>
      <c r="J998" s="53">
        <v>87503001.090000004</v>
      </c>
      <c r="K998" s="53">
        <v>531956903.81999999</v>
      </c>
      <c r="L998" s="53">
        <v>345965786.83999997</v>
      </c>
      <c r="M998" s="53">
        <v>441312672.81999999</v>
      </c>
      <c r="N998" s="53">
        <v>221697972.66999999</v>
      </c>
      <c r="O998" s="53">
        <v>235057608.97999999</v>
      </c>
      <c r="P998" s="53">
        <v>231877676.28</v>
      </c>
      <c r="Q998" s="53">
        <v>198797772.44999999</v>
      </c>
      <c r="R998" s="53">
        <v>262571566.61000001</v>
      </c>
    </row>
    <row r="999" spans="1:18" x14ac:dyDescent="0.25">
      <c r="A999" s="25" t="s">
        <v>246</v>
      </c>
      <c r="B999" s="26">
        <v>2014</v>
      </c>
      <c r="C999" s="74" t="s">
        <v>245</v>
      </c>
      <c r="D999" s="27">
        <v>0</v>
      </c>
      <c r="E999" s="53">
        <v>950000000</v>
      </c>
      <c r="F999" s="53">
        <v>950000000</v>
      </c>
      <c r="G999" s="53">
        <v>0</v>
      </c>
      <c r="H999" s="53">
        <v>67824213.319999993</v>
      </c>
      <c r="I999" s="53">
        <v>73345343.030000001</v>
      </c>
      <c r="J999" s="53">
        <v>84270065.849999994</v>
      </c>
      <c r="K999" s="53">
        <v>69563054.900000006</v>
      </c>
      <c r="L999" s="53">
        <v>80128937.260000005</v>
      </c>
      <c r="M999" s="53">
        <v>74364773.609999999</v>
      </c>
      <c r="N999" s="53">
        <v>82881205.510000005</v>
      </c>
      <c r="O999" s="53">
        <v>75361724.819999993</v>
      </c>
      <c r="P999" s="53">
        <v>92224834.620000005</v>
      </c>
      <c r="Q999" s="53">
        <v>90183927.219999999</v>
      </c>
      <c r="R999" s="53">
        <v>131937328.02</v>
      </c>
    </row>
    <row r="1000" spans="1:18" x14ac:dyDescent="0.25">
      <c r="A1000" s="25" t="s">
        <v>244</v>
      </c>
      <c r="B1000" s="26">
        <v>2014</v>
      </c>
      <c r="C1000" s="74" t="s">
        <v>243</v>
      </c>
      <c r="D1000" s="27">
        <v>0</v>
      </c>
      <c r="E1000" s="53">
        <v>4290000000</v>
      </c>
      <c r="F1000" s="53">
        <v>4290000000</v>
      </c>
      <c r="G1000" s="53">
        <v>2852130.32</v>
      </c>
      <c r="H1000" s="53">
        <v>359274856.56</v>
      </c>
      <c r="I1000" s="53">
        <v>374551882.95999998</v>
      </c>
      <c r="J1000" s="53">
        <v>420003104.77999997</v>
      </c>
      <c r="K1000" s="53">
        <v>334111790.63</v>
      </c>
      <c r="L1000" s="53">
        <v>406997989.06</v>
      </c>
      <c r="M1000" s="53">
        <v>367559495.30000001</v>
      </c>
      <c r="N1000" s="53">
        <v>1088745315.47</v>
      </c>
      <c r="O1000" s="53">
        <v>369320353.25999999</v>
      </c>
      <c r="P1000" s="53">
        <v>425357090.66000003</v>
      </c>
      <c r="Q1000" s="53">
        <v>477070189.20999998</v>
      </c>
      <c r="R1000" s="53">
        <v>815323516</v>
      </c>
    </row>
    <row r="1001" spans="1:18" x14ac:dyDescent="0.25">
      <c r="A1001" s="25" t="s">
        <v>242</v>
      </c>
      <c r="B1001" s="26">
        <v>2014</v>
      </c>
      <c r="C1001" s="74" t="s">
        <v>241</v>
      </c>
      <c r="D1001" s="27">
        <v>0</v>
      </c>
      <c r="E1001" s="53">
        <v>9720000000</v>
      </c>
      <c r="F1001" s="53">
        <v>9720000000</v>
      </c>
      <c r="G1001" s="53">
        <v>3845121.53</v>
      </c>
      <c r="H1001" s="53">
        <v>639267021.37</v>
      </c>
      <c r="I1001" s="53">
        <v>679142716</v>
      </c>
      <c r="J1001" s="53">
        <v>738158540.26999998</v>
      </c>
      <c r="K1001" s="53">
        <v>614201195.40999997</v>
      </c>
      <c r="L1001" s="53">
        <v>714715339.82000005</v>
      </c>
      <c r="M1001" s="53">
        <v>708447699.38</v>
      </c>
      <c r="N1001" s="53">
        <v>14681308.550000001</v>
      </c>
      <c r="O1001" s="53">
        <v>697308199.40999997</v>
      </c>
      <c r="P1001" s="53">
        <v>749187837.04999995</v>
      </c>
      <c r="Q1001" s="53">
        <v>821725011.99000001</v>
      </c>
      <c r="R1001" s="53">
        <v>1418121395.54</v>
      </c>
    </row>
    <row r="1002" spans="1:18" x14ac:dyDescent="0.25">
      <c r="A1002" s="25" t="s">
        <v>240</v>
      </c>
      <c r="B1002" s="26">
        <v>2014</v>
      </c>
      <c r="C1002" s="74" t="s">
        <v>239</v>
      </c>
      <c r="D1002" s="27">
        <v>0</v>
      </c>
      <c r="E1002" s="53">
        <v>1065000000</v>
      </c>
      <c r="F1002" s="53">
        <v>1065000000</v>
      </c>
      <c r="G1002" s="53">
        <v>83521692.290000007</v>
      </c>
      <c r="H1002" s="53">
        <v>54534826.149999999</v>
      </c>
      <c r="I1002" s="53">
        <v>98057535.579999998</v>
      </c>
      <c r="J1002" s="53">
        <v>107299569.33</v>
      </c>
      <c r="K1002" s="53">
        <v>130567008.66</v>
      </c>
      <c r="L1002" s="53">
        <v>91498619.569999993</v>
      </c>
      <c r="M1002" s="53">
        <v>101174246.43000001</v>
      </c>
      <c r="N1002" s="53">
        <v>131115987.14</v>
      </c>
      <c r="O1002" s="53">
        <v>81888802.609999999</v>
      </c>
      <c r="P1002" s="53">
        <v>105725491.8</v>
      </c>
      <c r="Q1002" s="53">
        <v>63165783.729999997</v>
      </c>
      <c r="R1002" s="53">
        <v>67918592.420000002</v>
      </c>
    </row>
    <row r="1003" spans="1:18" x14ac:dyDescent="0.25">
      <c r="A1003" s="25" t="s">
        <v>236</v>
      </c>
      <c r="B1003" s="26">
        <v>2014</v>
      </c>
      <c r="C1003" s="74" t="s">
        <v>235</v>
      </c>
      <c r="D1003" s="27">
        <v>0</v>
      </c>
      <c r="E1003" s="53">
        <v>5400000000</v>
      </c>
      <c r="F1003" s="53">
        <v>5400000000</v>
      </c>
      <c r="G1003" s="53">
        <v>289855953.36000001</v>
      </c>
      <c r="H1003" s="53">
        <v>366254688.37</v>
      </c>
      <c r="I1003" s="53">
        <v>480268877.49000001</v>
      </c>
      <c r="J1003" s="53">
        <v>537738323.16999996</v>
      </c>
      <c r="K1003" s="53">
        <v>418079610.12</v>
      </c>
      <c r="L1003" s="53">
        <v>302928790.20999998</v>
      </c>
      <c r="M1003" s="53">
        <v>548200828.38999999</v>
      </c>
      <c r="N1003" s="53">
        <v>267349519.24000001</v>
      </c>
      <c r="O1003" s="53">
        <v>548493389.22000003</v>
      </c>
      <c r="P1003" s="53">
        <v>400891905.19999999</v>
      </c>
      <c r="Q1003" s="53">
        <v>493143732.13</v>
      </c>
      <c r="R1003" s="53">
        <v>351737744.00999999</v>
      </c>
    </row>
    <row r="1004" spans="1:18" x14ac:dyDescent="0.25">
      <c r="A1004" s="25" t="s">
        <v>234</v>
      </c>
      <c r="B1004" s="26">
        <v>2014</v>
      </c>
      <c r="C1004" s="74" t="s">
        <v>233</v>
      </c>
      <c r="D1004" s="27">
        <v>0</v>
      </c>
      <c r="E1004" s="53">
        <v>135000000</v>
      </c>
      <c r="F1004" s="53">
        <v>135000000</v>
      </c>
      <c r="G1004" s="53">
        <v>4269.25</v>
      </c>
      <c r="H1004" s="53">
        <v>7572.8</v>
      </c>
      <c r="I1004" s="53">
        <v>17545</v>
      </c>
      <c r="J1004" s="53">
        <v>53608954.979999997</v>
      </c>
      <c r="K1004" s="53">
        <v>15679.75</v>
      </c>
      <c r="L1004" s="53">
        <v>32666226.620000001</v>
      </c>
      <c r="M1004" s="53">
        <v>17206990.699999999</v>
      </c>
      <c r="N1004" s="53">
        <v>11898.5</v>
      </c>
      <c r="O1004" s="53">
        <v>15246.75</v>
      </c>
      <c r="P1004" s="53">
        <v>49899593.729999997</v>
      </c>
      <c r="Q1004" s="53">
        <v>22519.13</v>
      </c>
      <c r="R1004" s="53">
        <v>31427876.23</v>
      </c>
    </row>
    <row r="1005" spans="1:18" x14ac:dyDescent="0.25">
      <c r="A1005" s="25" t="s">
        <v>230</v>
      </c>
      <c r="B1005" s="26">
        <v>2014</v>
      </c>
      <c r="C1005" s="74" t="s">
        <v>229</v>
      </c>
      <c r="D1005" s="27">
        <v>0</v>
      </c>
      <c r="E1005" s="53">
        <v>26000000000</v>
      </c>
      <c r="F1005" s="53">
        <v>26000000000</v>
      </c>
      <c r="G1005" s="53">
        <v>1961685466.52</v>
      </c>
      <c r="H1005" s="53">
        <v>2978360840.5900002</v>
      </c>
      <c r="I1005" s="53">
        <v>2210469610.6300001</v>
      </c>
      <c r="J1005" s="53">
        <v>457164715.97000003</v>
      </c>
      <c r="K1005" s="53">
        <v>495714269.06</v>
      </c>
      <c r="L1005" s="53">
        <v>543691962.54999995</v>
      </c>
      <c r="M1005" s="53">
        <v>515292474.43000001</v>
      </c>
      <c r="N1005" s="53">
        <v>467032646.77999997</v>
      </c>
      <c r="O1005" s="53">
        <v>458437567.10000002</v>
      </c>
      <c r="P1005" s="53">
        <v>501678462.00999999</v>
      </c>
      <c r="Q1005" s="53">
        <v>2294669436.6100001</v>
      </c>
      <c r="R1005" s="53">
        <v>2467638715.9899998</v>
      </c>
    </row>
    <row r="1006" spans="1:18" x14ac:dyDescent="0.25">
      <c r="A1006" s="25" t="s">
        <v>228</v>
      </c>
      <c r="B1006" s="26">
        <v>2014</v>
      </c>
      <c r="C1006" s="74" t="s">
        <v>227</v>
      </c>
      <c r="D1006" s="27">
        <v>0</v>
      </c>
      <c r="E1006" s="53">
        <v>23850000000</v>
      </c>
      <c r="F1006" s="53">
        <v>23850000000</v>
      </c>
      <c r="G1006" s="53">
        <v>1829045808.9000001</v>
      </c>
      <c r="H1006" s="53">
        <v>1846702910.6300001</v>
      </c>
      <c r="I1006" s="53">
        <v>1863692671.8699999</v>
      </c>
      <c r="J1006" s="53">
        <v>1952448638.6800001</v>
      </c>
      <c r="K1006" s="53">
        <v>1876518720.8699999</v>
      </c>
      <c r="L1006" s="53">
        <v>1870014406.8800001</v>
      </c>
      <c r="M1006" s="53">
        <v>1924266610.45</v>
      </c>
      <c r="N1006" s="53">
        <v>1923454076.4100001</v>
      </c>
      <c r="O1006" s="53">
        <v>1956748886.05</v>
      </c>
      <c r="P1006" s="53">
        <v>1943251507.6600001</v>
      </c>
      <c r="Q1006" s="53">
        <v>1707187495.74</v>
      </c>
      <c r="R1006" s="53">
        <v>1710180294.78</v>
      </c>
    </row>
    <row r="1007" spans="1:18" x14ac:dyDescent="0.25">
      <c r="A1007" s="25" t="s">
        <v>226</v>
      </c>
      <c r="B1007" s="26">
        <v>2014</v>
      </c>
      <c r="C1007" s="74" t="s">
        <v>225</v>
      </c>
      <c r="D1007" s="27">
        <v>0</v>
      </c>
      <c r="E1007" s="53">
        <v>14200000000</v>
      </c>
      <c r="F1007" s="53">
        <v>14200000000</v>
      </c>
      <c r="G1007" s="53">
        <v>1168396710.72</v>
      </c>
      <c r="H1007" s="53">
        <v>1055775182.64</v>
      </c>
      <c r="I1007" s="53">
        <v>1065347732.34</v>
      </c>
      <c r="J1007" s="53">
        <v>2340701369.9299998</v>
      </c>
      <c r="K1007" s="53">
        <v>2546046295.0599999</v>
      </c>
      <c r="L1007" s="53">
        <v>2445932015.6500001</v>
      </c>
      <c r="M1007" s="53">
        <v>2354328959.2600002</v>
      </c>
      <c r="N1007" s="53">
        <v>2503332767.1999998</v>
      </c>
      <c r="O1007" s="53">
        <v>2374054807.0999999</v>
      </c>
      <c r="P1007" s="53">
        <v>2546778009.1500001</v>
      </c>
      <c r="Q1007" s="53">
        <v>903965759.60000002</v>
      </c>
      <c r="R1007" s="53">
        <v>846784062.66999996</v>
      </c>
    </row>
    <row r="1008" spans="1:18" x14ac:dyDescent="0.25">
      <c r="A1008" s="25" t="s">
        <v>449</v>
      </c>
      <c r="B1008" s="26">
        <v>2014</v>
      </c>
      <c r="C1008" s="74" t="s">
        <v>448</v>
      </c>
      <c r="D1008" s="27">
        <v>0</v>
      </c>
      <c r="E1008" s="53">
        <v>0</v>
      </c>
      <c r="F1008" s="53">
        <v>0</v>
      </c>
      <c r="G1008" s="53">
        <v>0</v>
      </c>
      <c r="H1008" s="53">
        <v>0</v>
      </c>
      <c r="I1008" s="53">
        <v>0</v>
      </c>
      <c r="J1008" s="53">
        <v>0</v>
      </c>
      <c r="K1008" s="53">
        <v>0</v>
      </c>
      <c r="L1008" s="53">
        <v>0</v>
      </c>
      <c r="M1008" s="53">
        <v>0</v>
      </c>
      <c r="N1008" s="53">
        <v>0</v>
      </c>
      <c r="O1008" s="53">
        <v>0</v>
      </c>
      <c r="P1008" s="53">
        <v>0</v>
      </c>
      <c r="Q1008" s="53">
        <v>0</v>
      </c>
      <c r="R1008" s="53">
        <v>0</v>
      </c>
    </row>
    <row r="1009" spans="1:18" x14ac:dyDescent="0.25">
      <c r="A1009" s="25" t="s">
        <v>222</v>
      </c>
      <c r="B1009" s="26">
        <v>2014</v>
      </c>
      <c r="C1009" s="74" t="s">
        <v>221</v>
      </c>
      <c r="D1009" s="27">
        <v>0</v>
      </c>
      <c r="E1009" s="53">
        <v>1000000</v>
      </c>
      <c r="F1009" s="53">
        <v>1000000</v>
      </c>
      <c r="G1009" s="53">
        <v>54848.67</v>
      </c>
      <c r="H1009" s="53">
        <v>59650.05</v>
      </c>
      <c r="I1009" s="53">
        <v>33081.25</v>
      </c>
      <c r="J1009" s="53">
        <v>105690.2</v>
      </c>
      <c r="K1009" s="53">
        <v>259661.76</v>
      </c>
      <c r="L1009" s="53">
        <v>113414.88</v>
      </c>
      <c r="M1009" s="53">
        <v>83843.45</v>
      </c>
      <c r="N1009" s="53">
        <v>263537.51</v>
      </c>
      <c r="O1009" s="53">
        <v>259836.02</v>
      </c>
      <c r="P1009" s="53">
        <v>179938.44</v>
      </c>
      <c r="Q1009" s="53">
        <v>141128.82</v>
      </c>
      <c r="R1009" s="53">
        <v>136939.69</v>
      </c>
    </row>
    <row r="1010" spans="1:18" x14ac:dyDescent="0.25">
      <c r="A1010" s="25" t="s">
        <v>409</v>
      </c>
      <c r="B1010" s="26">
        <v>2014</v>
      </c>
      <c r="C1010" s="74" t="s">
        <v>408</v>
      </c>
      <c r="D1010" s="27">
        <v>0</v>
      </c>
      <c r="E1010" s="53">
        <v>19000000</v>
      </c>
      <c r="F1010" s="53">
        <v>19000000</v>
      </c>
      <c r="G1010" s="53">
        <v>1761172.66</v>
      </c>
      <c r="H1010" s="53">
        <v>2578930.98</v>
      </c>
      <c r="I1010" s="53">
        <v>3117696.75</v>
      </c>
      <c r="J1010" s="53">
        <v>3937611.45</v>
      </c>
      <c r="K1010" s="53">
        <v>2726515.56</v>
      </c>
      <c r="L1010" s="53">
        <v>2396449.6</v>
      </c>
      <c r="M1010" s="53">
        <v>2582089</v>
      </c>
      <c r="N1010" s="53">
        <v>1931599.24</v>
      </c>
      <c r="O1010" s="53">
        <v>2398058.6</v>
      </c>
      <c r="P1010" s="53">
        <v>4086901.77</v>
      </c>
      <c r="Q1010" s="53">
        <v>1363665.74</v>
      </c>
      <c r="R1010" s="53">
        <v>4023102.52</v>
      </c>
    </row>
    <row r="1011" spans="1:18" x14ac:dyDescent="0.25">
      <c r="A1011" s="25" t="s">
        <v>215</v>
      </c>
      <c r="B1011" s="26">
        <v>2014</v>
      </c>
      <c r="C1011" s="74" t="s">
        <v>214</v>
      </c>
      <c r="D1011" s="27">
        <v>0</v>
      </c>
      <c r="E1011" s="53">
        <v>26000000</v>
      </c>
      <c r="F1011" s="53">
        <v>26000000</v>
      </c>
      <c r="G1011" s="53">
        <v>1153757.78</v>
      </c>
      <c r="H1011" s="53">
        <v>1778000</v>
      </c>
      <c r="I1011" s="53">
        <v>11035474.25</v>
      </c>
      <c r="J1011" s="53">
        <v>1603100</v>
      </c>
      <c r="K1011" s="53">
        <v>1108200</v>
      </c>
      <c r="L1011" s="53">
        <v>440000</v>
      </c>
      <c r="M1011" s="53">
        <v>641135</v>
      </c>
      <c r="N1011" s="53">
        <v>588665</v>
      </c>
      <c r="O1011" s="53">
        <v>623331</v>
      </c>
      <c r="P1011" s="53">
        <v>805794.75</v>
      </c>
      <c r="Q1011" s="53">
        <v>445784</v>
      </c>
      <c r="R1011" s="53">
        <v>1578500</v>
      </c>
    </row>
    <row r="1012" spans="1:18" x14ac:dyDescent="0.25">
      <c r="A1012" s="25" t="s">
        <v>447</v>
      </c>
      <c r="B1012" s="26">
        <v>2014</v>
      </c>
      <c r="C1012" s="74" t="s">
        <v>446</v>
      </c>
      <c r="D1012" s="27">
        <v>0</v>
      </c>
      <c r="E1012" s="53">
        <v>9000000</v>
      </c>
      <c r="F1012" s="53">
        <v>9000000</v>
      </c>
      <c r="G1012" s="53">
        <v>0</v>
      </c>
      <c r="H1012" s="53">
        <v>0</v>
      </c>
      <c r="I1012" s="53">
        <v>9612599.9900000002</v>
      </c>
      <c r="J1012" s="53">
        <v>0</v>
      </c>
      <c r="K1012" s="53">
        <v>0</v>
      </c>
      <c r="L1012" s="53">
        <v>0</v>
      </c>
      <c r="M1012" s="53">
        <v>0</v>
      </c>
      <c r="N1012" s="53">
        <v>0</v>
      </c>
      <c r="O1012" s="53">
        <v>0</v>
      </c>
      <c r="P1012" s="53">
        <v>0</v>
      </c>
      <c r="Q1012" s="53">
        <v>0</v>
      </c>
      <c r="R1012" s="53">
        <v>0</v>
      </c>
    </row>
    <row r="1013" spans="1:18" x14ac:dyDescent="0.25">
      <c r="A1013" s="25" t="s">
        <v>213</v>
      </c>
      <c r="B1013" s="26">
        <v>2014</v>
      </c>
      <c r="C1013" s="74" t="s">
        <v>212</v>
      </c>
      <c r="D1013" s="27">
        <v>0</v>
      </c>
      <c r="E1013" s="53">
        <v>158000000</v>
      </c>
      <c r="F1013" s="53">
        <v>158000000</v>
      </c>
      <c r="G1013" s="53">
        <v>3173041.97</v>
      </c>
      <c r="H1013" s="53">
        <v>16419191.98</v>
      </c>
      <c r="I1013" s="53">
        <v>3840940.2</v>
      </c>
      <c r="J1013" s="53">
        <v>38605842.82</v>
      </c>
      <c r="K1013" s="53">
        <v>-30478052.170000002</v>
      </c>
      <c r="L1013" s="53">
        <v>27694384.399999999</v>
      </c>
      <c r="M1013" s="53">
        <v>-38846276.57</v>
      </c>
      <c r="N1013" s="53">
        <v>4470491.3899999997</v>
      </c>
      <c r="O1013" s="53">
        <v>658281.31999999995</v>
      </c>
      <c r="P1013" s="53">
        <v>1075211.46</v>
      </c>
      <c r="Q1013" s="53">
        <v>1911110.66</v>
      </c>
      <c r="R1013" s="53">
        <v>2650774.89</v>
      </c>
    </row>
    <row r="1014" spans="1:18" x14ac:dyDescent="0.25">
      <c r="A1014" s="25" t="s">
        <v>211</v>
      </c>
      <c r="B1014" s="26">
        <v>2014</v>
      </c>
      <c r="C1014" s="74" t="s">
        <v>210</v>
      </c>
      <c r="D1014" s="27">
        <v>0</v>
      </c>
      <c r="E1014" s="53">
        <v>180000000</v>
      </c>
      <c r="F1014" s="53">
        <v>180000000</v>
      </c>
      <c r="G1014" s="53">
        <v>24662570.960000001</v>
      </c>
      <c r="H1014" s="53">
        <v>1458194</v>
      </c>
      <c r="I1014" s="53">
        <v>18242329.850000001</v>
      </c>
      <c r="J1014" s="53">
        <v>16241166.960000001</v>
      </c>
      <c r="K1014" s="53">
        <v>16916153.300000001</v>
      </c>
      <c r="L1014" s="53">
        <v>15368687.68</v>
      </c>
      <c r="M1014" s="53">
        <v>13322748</v>
      </c>
      <c r="N1014" s="53">
        <v>15318064.289999999</v>
      </c>
      <c r="O1014" s="53">
        <v>4644538.5999999996</v>
      </c>
      <c r="P1014" s="53">
        <v>5382813.7300000004</v>
      </c>
      <c r="Q1014" s="53">
        <v>1830250.12</v>
      </c>
      <c r="R1014" s="53">
        <v>3043979.2</v>
      </c>
    </row>
    <row r="1015" spans="1:18" x14ac:dyDescent="0.25">
      <c r="A1015" s="25" t="s">
        <v>209</v>
      </c>
      <c r="B1015" s="26">
        <v>2014</v>
      </c>
      <c r="C1015" s="74" t="s">
        <v>208</v>
      </c>
      <c r="D1015" s="27">
        <v>0</v>
      </c>
      <c r="E1015" s="53">
        <v>12000000</v>
      </c>
      <c r="F1015" s="53">
        <v>12000000</v>
      </c>
      <c r="G1015" s="53">
        <v>0</v>
      </c>
      <c r="H1015" s="53">
        <v>0</v>
      </c>
      <c r="I1015" s="53">
        <v>11956785</v>
      </c>
      <c r="J1015" s="53">
        <v>104890.67</v>
      </c>
      <c r="K1015" s="53">
        <v>126720.43</v>
      </c>
      <c r="L1015" s="53">
        <v>104186.93</v>
      </c>
      <c r="M1015" s="53">
        <v>196005.08</v>
      </c>
      <c r="N1015" s="53">
        <v>206807.97</v>
      </c>
      <c r="O1015" s="53">
        <v>40239.35</v>
      </c>
      <c r="P1015" s="53">
        <v>254392.25</v>
      </c>
      <c r="Q1015" s="53">
        <v>179112.9</v>
      </c>
      <c r="R1015" s="53">
        <v>2722665.18</v>
      </c>
    </row>
    <row r="1016" spans="1:18" x14ac:dyDescent="0.25">
      <c r="A1016" s="25" t="s">
        <v>433</v>
      </c>
      <c r="B1016" s="26">
        <v>2014</v>
      </c>
      <c r="C1016" s="74" t="s">
        <v>432</v>
      </c>
      <c r="D1016" s="27">
        <v>0</v>
      </c>
      <c r="E1016" s="53">
        <v>0</v>
      </c>
      <c r="F1016" s="53">
        <v>0</v>
      </c>
      <c r="G1016" s="53">
        <v>0</v>
      </c>
      <c r="H1016" s="53">
        <v>70400</v>
      </c>
      <c r="I1016" s="53">
        <v>-70400</v>
      </c>
      <c r="J1016" s="53">
        <v>0</v>
      </c>
      <c r="K1016" s="53">
        <v>0</v>
      </c>
      <c r="L1016" s="53">
        <v>0</v>
      </c>
      <c r="M1016" s="53">
        <v>0</v>
      </c>
      <c r="N1016" s="53">
        <v>0</v>
      </c>
      <c r="O1016" s="53">
        <v>0</v>
      </c>
      <c r="P1016" s="53">
        <v>600</v>
      </c>
      <c r="Q1016" s="53">
        <v>625</v>
      </c>
      <c r="R1016" s="53">
        <v>0</v>
      </c>
    </row>
    <row r="1017" spans="1:18" x14ac:dyDescent="0.25">
      <c r="A1017" s="25" t="s">
        <v>407</v>
      </c>
      <c r="B1017" s="26">
        <v>2014</v>
      </c>
      <c r="C1017" s="74" t="s">
        <v>406</v>
      </c>
      <c r="D1017" s="27">
        <v>0</v>
      </c>
      <c r="E1017" s="53">
        <v>0</v>
      </c>
      <c r="F1017" s="53">
        <v>0</v>
      </c>
      <c r="G1017" s="53">
        <v>0</v>
      </c>
      <c r="H1017" s="53">
        <v>0</v>
      </c>
      <c r="I1017" s="53">
        <v>0</v>
      </c>
      <c r="J1017" s="53">
        <v>0</v>
      </c>
      <c r="K1017" s="53">
        <v>649217.68000000005</v>
      </c>
      <c r="L1017" s="53">
        <v>0</v>
      </c>
      <c r="M1017" s="53">
        <v>0</v>
      </c>
      <c r="N1017" s="53">
        <v>97138.31</v>
      </c>
      <c r="O1017" s="53">
        <v>0</v>
      </c>
      <c r="P1017" s="53">
        <v>0</v>
      </c>
      <c r="Q1017" s="53">
        <v>0</v>
      </c>
      <c r="R1017" s="53">
        <v>0</v>
      </c>
    </row>
    <row r="1018" spans="1:18" x14ac:dyDescent="0.25">
      <c r="A1018" s="25" t="s">
        <v>207</v>
      </c>
      <c r="B1018" s="26">
        <v>2014</v>
      </c>
      <c r="C1018" s="74" t="s">
        <v>206</v>
      </c>
      <c r="D1018" s="27">
        <v>0</v>
      </c>
      <c r="E1018" s="53">
        <v>293000000</v>
      </c>
      <c r="F1018" s="53">
        <v>293000000</v>
      </c>
      <c r="G1018" s="53">
        <v>0</v>
      </c>
      <c r="H1018" s="53">
        <v>0</v>
      </c>
      <c r="I1018" s="53">
        <v>292788054.30000001</v>
      </c>
      <c r="J1018" s="53">
        <v>0</v>
      </c>
      <c r="K1018" s="53">
        <v>0</v>
      </c>
      <c r="L1018" s="53">
        <v>0</v>
      </c>
      <c r="M1018" s="53">
        <v>0</v>
      </c>
      <c r="N1018" s="53">
        <v>0</v>
      </c>
      <c r="O1018" s="53">
        <v>0</v>
      </c>
      <c r="P1018" s="53">
        <v>0</v>
      </c>
      <c r="Q1018" s="53">
        <v>0</v>
      </c>
      <c r="R1018" s="53">
        <v>0</v>
      </c>
    </row>
    <row r="1019" spans="1:18" x14ac:dyDescent="0.25">
      <c r="A1019" s="25" t="s">
        <v>374</v>
      </c>
      <c r="B1019" s="26">
        <v>2014</v>
      </c>
      <c r="C1019" s="74" t="s">
        <v>405</v>
      </c>
      <c r="D1019" s="27">
        <v>0</v>
      </c>
      <c r="E1019" s="53">
        <v>0</v>
      </c>
      <c r="F1019" s="53">
        <v>0</v>
      </c>
      <c r="G1019" s="53">
        <v>67499.759999999995</v>
      </c>
      <c r="H1019" s="53">
        <v>2650</v>
      </c>
      <c r="I1019" s="53">
        <v>1500</v>
      </c>
      <c r="J1019" s="53">
        <v>2200</v>
      </c>
      <c r="K1019" s="53">
        <v>1200</v>
      </c>
      <c r="L1019" s="53">
        <v>800</v>
      </c>
      <c r="M1019" s="53">
        <v>2255</v>
      </c>
      <c r="N1019" s="53">
        <v>600</v>
      </c>
      <c r="O1019" s="53">
        <v>5600</v>
      </c>
      <c r="P1019" s="53">
        <v>450</v>
      </c>
      <c r="Q1019" s="53">
        <v>475</v>
      </c>
      <c r="R1019" s="53">
        <v>400</v>
      </c>
    </row>
    <row r="1020" spans="1:18" x14ac:dyDescent="0.25">
      <c r="A1020" s="25" t="s">
        <v>203</v>
      </c>
      <c r="B1020" s="26">
        <v>2014</v>
      </c>
      <c r="C1020" s="74" t="s">
        <v>202</v>
      </c>
      <c r="D1020" s="27">
        <v>0</v>
      </c>
      <c r="E1020" s="53">
        <v>3505000000</v>
      </c>
      <c r="F1020" s="53">
        <v>3505000000</v>
      </c>
      <c r="G1020" s="53">
        <v>185270369.88</v>
      </c>
      <c r="H1020" s="53">
        <v>88300531.840000004</v>
      </c>
      <c r="I1020" s="53">
        <v>48812887.450000003</v>
      </c>
      <c r="J1020" s="53">
        <v>106651808.15000001</v>
      </c>
      <c r="K1020" s="53">
        <v>114240734.13</v>
      </c>
      <c r="L1020" s="53">
        <v>22238128.34</v>
      </c>
      <c r="M1020" s="53">
        <v>13545369</v>
      </c>
      <c r="N1020" s="53">
        <v>17849677</v>
      </c>
      <c r="O1020" s="53">
        <v>10106039.300000001</v>
      </c>
      <c r="P1020" s="53">
        <v>10069587.02</v>
      </c>
      <c r="Q1020" s="53">
        <v>256253875.97</v>
      </c>
      <c r="R1020" s="53">
        <v>2820085607.71</v>
      </c>
    </row>
    <row r="1021" spans="1:18" x14ac:dyDescent="0.25">
      <c r="A1021" s="25" t="s">
        <v>200</v>
      </c>
      <c r="B1021" s="26">
        <v>2014</v>
      </c>
      <c r="C1021" s="74" t="s">
        <v>199</v>
      </c>
      <c r="D1021" s="27">
        <v>0</v>
      </c>
      <c r="E1021" s="53">
        <v>48000000</v>
      </c>
      <c r="F1021" s="53">
        <v>48000000</v>
      </c>
      <c r="G1021" s="53">
        <v>4159087.42</v>
      </c>
      <c r="H1021" s="53">
        <v>4481059.04</v>
      </c>
      <c r="I1021" s="53">
        <v>5293750.92</v>
      </c>
      <c r="J1021" s="53">
        <v>3509046.22</v>
      </c>
      <c r="K1021" s="53">
        <v>3763290.28</v>
      </c>
      <c r="L1021" s="53">
        <v>2572810.56</v>
      </c>
      <c r="M1021" s="53">
        <v>3256187.44</v>
      </c>
      <c r="N1021" s="53">
        <v>3384829.34</v>
      </c>
      <c r="O1021" s="53">
        <v>3125874.2</v>
      </c>
      <c r="P1021" s="53">
        <v>3925672.09</v>
      </c>
      <c r="Q1021" s="53">
        <v>1791042</v>
      </c>
      <c r="R1021" s="53">
        <v>4690419.09</v>
      </c>
    </row>
    <row r="1022" spans="1:18" x14ac:dyDescent="0.25">
      <c r="A1022" s="25" t="s">
        <v>198</v>
      </c>
      <c r="B1022" s="26">
        <v>2014</v>
      </c>
      <c r="C1022" s="74" t="s">
        <v>197</v>
      </c>
      <c r="D1022" s="27">
        <v>0</v>
      </c>
      <c r="E1022" s="53">
        <v>4000000</v>
      </c>
      <c r="F1022" s="53">
        <v>4000000</v>
      </c>
      <c r="G1022" s="53">
        <v>230733.3</v>
      </c>
      <c r="H1022" s="53">
        <v>457510</v>
      </c>
      <c r="I1022" s="53">
        <v>141595</v>
      </c>
      <c r="J1022" s="53">
        <v>245456</v>
      </c>
      <c r="K1022" s="53">
        <v>270586</v>
      </c>
      <c r="L1022" s="53">
        <v>214176</v>
      </c>
      <c r="M1022" s="53">
        <v>206576</v>
      </c>
      <c r="N1022" s="53">
        <v>277360</v>
      </c>
      <c r="O1022" s="53">
        <v>292394</v>
      </c>
      <c r="P1022" s="53">
        <v>247454</v>
      </c>
      <c r="Q1022" s="53">
        <v>159820</v>
      </c>
      <c r="R1022" s="53">
        <v>271541</v>
      </c>
    </row>
    <row r="1023" spans="1:18" x14ac:dyDescent="0.25">
      <c r="A1023" s="25" t="s">
        <v>196</v>
      </c>
      <c r="B1023" s="26">
        <v>2014</v>
      </c>
      <c r="C1023" s="74" t="s">
        <v>195</v>
      </c>
      <c r="D1023" s="27">
        <v>0</v>
      </c>
      <c r="E1023" s="53">
        <v>105000000</v>
      </c>
      <c r="F1023" s="53">
        <v>105000000</v>
      </c>
      <c r="G1023" s="53">
        <v>9636729</v>
      </c>
      <c r="H1023" s="53">
        <v>7548853.5</v>
      </c>
      <c r="I1023" s="53">
        <v>9564159.6500000004</v>
      </c>
      <c r="J1023" s="53">
        <v>8697065.0999999996</v>
      </c>
      <c r="K1023" s="53">
        <v>8357595</v>
      </c>
      <c r="L1023" s="53">
        <v>7353093.5</v>
      </c>
      <c r="M1023" s="53">
        <v>8648611.5</v>
      </c>
      <c r="N1023" s="53">
        <v>8012758.6799999997</v>
      </c>
      <c r="O1023" s="53">
        <v>7225599.9199999999</v>
      </c>
      <c r="P1023" s="53">
        <v>8524366.5999999996</v>
      </c>
      <c r="Q1023" s="53">
        <v>7988600.9500000002</v>
      </c>
      <c r="R1023" s="53">
        <v>9722544.0700000003</v>
      </c>
    </row>
    <row r="1024" spans="1:18" x14ac:dyDescent="0.25">
      <c r="A1024" s="25" t="s">
        <v>194</v>
      </c>
      <c r="B1024" s="26">
        <v>2014</v>
      </c>
      <c r="C1024" s="74" t="s">
        <v>193</v>
      </c>
      <c r="D1024" s="27">
        <v>0</v>
      </c>
      <c r="E1024" s="53">
        <v>53000000</v>
      </c>
      <c r="F1024" s="53">
        <v>53000000</v>
      </c>
      <c r="G1024" s="53">
        <v>2453675</v>
      </c>
      <c r="H1024" s="53">
        <v>4103308</v>
      </c>
      <c r="I1024" s="53">
        <v>4864805</v>
      </c>
      <c r="J1024" s="53">
        <v>3140655</v>
      </c>
      <c r="K1024" s="53">
        <v>3488290</v>
      </c>
      <c r="L1024" s="53">
        <v>4656078</v>
      </c>
      <c r="M1024" s="53">
        <v>6429410</v>
      </c>
      <c r="N1024" s="53">
        <v>3751662</v>
      </c>
      <c r="O1024" s="53">
        <v>4584551</v>
      </c>
      <c r="P1024" s="53">
        <v>5914747.5999999996</v>
      </c>
      <c r="Q1024" s="53">
        <v>5622442</v>
      </c>
      <c r="R1024" s="53">
        <v>5664122</v>
      </c>
    </row>
    <row r="1025" spans="1:18" x14ac:dyDescent="0.25">
      <c r="A1025" s="25" t="s">
        <v>187</v>
      </c>
      <c r="B1025" s="26">
        <v>2014</v>
      </c>
      <c r="C1025" s="74" t="s">
        <v>186</v>
      </c>
      <c r="D1025" s="27">
        <v>0</v>
      </c>
      <c r="E1025" s="53">
        <v>25000000</v>
      </c>
      <c r="F1025" s="53">
        <v>25000000</v>
      </c>
      <c r="G1025" s="53">
        <v>2859000</v>
      </c>
      <c r="H1025" s="53">
        <v>1736640</v>
      </c>
      <c r="I1025" s="53">
        <v>1830452.41</v>
      </c>
      <c r="J1025" s="53">
        <v>1429000</v>
      </c>
      <c r="K1025" s="53">
        <v>1940000</v>
      </c>
      <c r="L1025" s="53">
        <v>2007969.22</v>
      </c>
      <c r="M1025" s="53">
        <v>2333000</v>
      </c>
      <c r="N1025" s="53">
        <v>1479000</v>
      </c>
      <c r="O1025" s="53">
        <v>1750568.93</v>
      </c>
      <c r="P1025" s="53">
        <v>1698821</v>
      </c>
      <c r="Q1025" s="53">
        <v>2083171.94</v>
      </c>
      <c r="R1025" s="53">
        <v>980901</v>
      </c>
    </row>
    <row r="1026" spans="1:18" x14ac:dyDescent="0.25">
      <c r="A1026" s="25" t="s">
        <v>185</v>
      </c>
      <c r="B1026" s="26">
        <v>2014</v>
      </c>
      <c r="C1026" s="74" t="s">
        <v>184</v>
      </c>
      <c r="D1026" s="27">
        <v>0</v>
      </c>
      <c r="E1026" s="53">
        <v>42000000</v>
      </c>
      <c r="F1026" s="53">
        <v>42000000</v>
      </c>
      <c r="G1026" s="53">
        <v>7748000</v>
      </c>
      <c r="H1026" s="53">
        <v>4620000</v>
      </c>
      <c r="I1026" s="53">
        <v>30000</v>
      </c>
      <c r="J1026" s="53">
        <v>8545250</v>
      </c>
      <c r="K1026" s="53">
        <v>1866000</v>
      </c>
      <c r="L1026" s="53">
        <v>135000</v>
      </c>
      <c r="M1026" s="53">
        <v>2880000</v>
      </c>
      <c r="N1026" s="53">
        <v>3646000</v>
      </c>
      <c r="O1026" s="53">
        <v>1500000</v>
      </c>
      <c r="P1026" s="53">
        <v>240000</v>
      </c>
      <c r="Q1026" s="53">
        <v>366000</v>
      </c>
      <c r="R1026" s="53">
        <v>1756000</v>
      </c>
    </row>
    <row r="1027" spans="1:18" x14ac:dyDescent="0.25">
      <c r="A1027" s="25" t="s">
        <v>183</v>
      </c>
      <c r="B1027" s="26">
        <v>2014</v>
      </c>
      <c r="C1027" s="74" t="s">
        <v>182</v>
      </c>
      <c r="D1027" s="27">
        <v>0</v>
      </c>
      <c r="E1027" s="53">
        <v>0</v>
      </c>
      <c r="F1027" s="53">
        <v>0</v>
      </c>
      <c r="G1027" s="53">
        <v>0</v>
      </c>
      <c r="H1027" s="53">
        <v>0</v>
      </c>
      <c r="I1027" s="53">
        <v>0</v>
      </c>
      <c r="J1027" s="53">
        <v>0</v>
      </c>
      <c r="K1027" s="53">
        <v>0</v>
      </c>
      <c r="L1027" s="53">
        <v>0</v>
      </c>
      <c r="M1027" s="53">
        <v>0</v>
      </c>
      <c r="N1027" s="53">
        <v>0</v>
      </c>
      <c r="O1027" s="53">
        <v>0</v>
      </c>
      <c r="P1027" s="53">
        <v>0</v>
      </c>
      <c r="Q1027" s="53">
        <v>0</v>
      </c>
      <c r="R1027" s="53">
        <v>259782837.11000001</v>
      </c>
    </row>
    <row r="1028" spans="1:18" x14ac:dyDescent="0.25">
      <c r="A1028" s="25" t="s">
        <v>176</v>
      </c>
      <c r="B1028" s="26">
        <v>2014</v>
      </c>
      <c r="C1028" s="74" t="s">
        <v>175</v>
      </c>
      <c r="D1028" s="27">
        <v>0</v>
      </c>
      <c r="E1028" s="53">
        <v>248000000</v>
      </c>
      <c r="F1028" s="53">
        <v>248000000</v>
      </c>
      <c r="G1028" s="53">
        <v>9046824.6199999992</v>
      </c>
      <c r="H1028" s="53">
        <v>37890903.810000002</v>
      </c>
      <c r="I1028" s="53">
        <v>42802371.530000001</v>
      </c>
      <c r="J1028" s="53">
        <v>10005333.029999999</v>
      </c>
      <c r="K1028" s="53">
        <v>45590711.850000001</v>
      </c>
      <c r="L1028" s="53">
        <v>554016826.03999996</v>
      </c>
      <c r="M1028" s="53">
        <v>67817451.379999995</v>
      </c>
      <c r="N1028" s="53">
        <v>10760035.74</v>
      </c>
      <c r="O1028" s="53">
        <v>26113178.879999999</v>
      </c>
      <c r="P1028" s="53">
        <v>54601517.479999997</v>
      </c>
      <c r="Q1028" s="53">
        <v>12401925.92</v>
      </c>
      <c r="R1028" s="53">
        <v>35426685.299999997</v>
      </c>
    </row>
    <row r="1029" spans="1:18" x14ac:dyDescent="0.25">
      <c r="A1029" s="25" t="s">
        <v>174</v>
      </c>
      <c r="B1029" s="26">
        <v>2014</v>
      </c>
      <c r="C1029" s="74" t="s">
        <v>173</v>
      </c>
      <c r="D1029" s="27">
        <v>0</v>
      </c>
      <c r="E1029" s="53">
        <v>148000000</v>
      </c>
      <c r="F1029" s="53">
        <v>148000000</v>
      </c>
      <c r="G1029" s="53">
        <v>0</v>
      </c>
      <c r="H1029" s="53">
        <v>0</v>
      </c>
      <c r="I1029" s="53">
        <v>600</v>
      </c>
      <c r="J1029" s="53">
        <v>0</v>
      </c>
      <c r="K1029" s="53">
        <v>0</v>
      </c>
      <c r="L1029" s="53">
        <v>0</v>
      </c>
      <c r="M1029" s="53">
        <v>91681151.920000002</v>
      </c>
      <c r="N1029" s="53">
        <v>0</v>
      </c>
      <c r="O1029" s="53">
        <v>0</v>
      </c>
      <c r="P1029" s="53">
        <v>0</v>
      </c>
      <c r="Q1029" s="53">
        <v>0</v>
      </c>
      <c r="R1029" s="53">
        <v>0</v>
      </c>
    </row>
    <row r="1030" spans="1:18" x14ac:dyDescent="0.25">
      <c r="A1030" s="25" t="s">
        <v>172</v>
      </c>
      <c r="B1030" s="26">
        <v>2014</v>
      </c>
      <c r="C1030" s="74" t="s">
        <v>171</v>
      </c>
      <c r="D1030" s="27">
        <v>0</v>
      </c>
      <c r="E1030" s="53">
        <v>1000000</v>
      </c>
      <c r="F1030" s="53">
        <v>1000000</v>
      </c>
      <c r="G1030" s="53">
        <v>0</v>
      </c>
      <c r="H1030" s="53">
        <v>328607674</v>
      </c>
      <c r="I1030" s="53">
        <v>253694667.09</v>
      </c>
      <c r="J1030" s="53">
        <v>224008817.88</v>
      </c>
      <c r="K1030" s="53">
        <v>214287263.12</v>
      </c>
      <c r="L1030" s="53">
        <v>-95676588.939999998</v>
      </c>
      <c r="M1030" s="53">
        <v>355023550.70999998</v>
      </c>
      <c r="N1030" s="53">
        <v>179625186</v>
      </c>
      <c r="O1030" s="53">
        <v>155865553</v>
      </c>
      <c r="P1030" s="53">
        <v>198152513.28999999</v>
      </c>
      <c r="Q1030" s="53">
        <v>184342312</v>
      </c>
      <c r="R1030" s="53">
        <v>265374704.34999999</v>
      </c>
    </row>
    <row r="1031" spans="1:18" x14ac:dyDescent="0.25">
      <c r="A1031" s="25" t="s">
        <v>170</v>
      </c>
      <c r="B1031" s="26">
        <v>2014</v>
      </c>
      <c r="C1031" s="74" t="s">
        <v>168</v>
      </c>
      <c r="D1031" s="27">
        <v>0</v>
      </c>
      <c r="E1031" s="53">
        <v>999000000</v>
      </c>
      <c r="F1031" s="53">
        <v>999000000</v>
      </c>
      <c r="G1031" s="53">
        <v>13407357.74</v>
      </c>
      <c r="H1031" s="53">
        <v>99470087.950000003</v>
      </c>
      <c r="I1031" s="53">
        <v>55654229.659999996</v>
      </c>
      <c r="J1031" s="53">
        <v>59798529.530000001</v>
      </c>
      <c r="K1031" s="53">
        <v>58913076.600000001</v>
      </c>
      <c r="L1031" s="53">
        <v>79962289.650000006</v>
      </c>
      <c r="M1031" s="53">
        <v>41339959.75</v>
      </c>
      <c r="N1031" s="53">
        <v>126425889.89</v>
      </c>
      <c r="O1031" s="53">
        <v>77732180.680000007</v>
      </c>
      <c r="P1031" s="53">
        <v>101929787.58</v>
      </c>
      <c r="Q1031" s="53">
        <v>96927521.930000007</v>
      </c>
      <c r="R1031" s="53">
        <v>166185824.22999999</v>
      </c>
    </row>
    <row r="1032" spans="1:18" x14ac:dyDescent="0.25">
      <c r="A1032" s="25" t="s">
        <v>167</v>
      </c>
      <c r="B1032" s="26">
        <v>2014</v>
      </c>
      <c r="C1032" s="74" t="s">
        <v>166</v>
      </c>
      <c r="D1032" s="27">
        <v>0</v>
      </c>
      <c r="E1032" s="53">
        <v>5730000000</v>
      </c>
      <c r="F1032" s="53">
        <v>5730000000</v>
      </c>
      <c r="G1032" s="53">
        <v>564375602</v>
      </c>
      <c r="H1032" s="53">
        <v>1207193486.27</v>
      </c>
      <c r="I1032" s="53">
        <v>636803247.73000002</v>
      </c>
      <c r="J1032" s="53">
        <v>442114679.51999998</v>
      </c>
      <c r="K1032" s="53">
        <v>385300170</v>
      </c>
      <c r="L1032" s="53">
        <v>461347043</v>
      </c>
      <c r="M1032" s="53">
        <v>800934870</v>
      </c>
      <c r="N1032" s="53">
        <v>542461586</v>
      </c>
      <c r="O1032" s="53">
        <v>650511596.25</v>
      </c>
      <c r="P1032" s="53">
        <v>395356318</v>
      </c>
      <c r="Q1032" s="53">
        <v>481828428</v>
      </c>
      <c r="R1032" s="53">
        <v>2903017407</v>
      </c>
    </row>
    <row r="1033" spans="1:18" x14ac:dyDescent="0.25">
      <c r="A1033" s="25" t="s">
        <v>165</v>
      </c>
      <c r="B1033" s="26">
        <v>2014</v>
      </c>
      <c r="C1033" s="74" t="s">
        <v>164</v>
      </c>
      <c r="D1033" s="27">
        <v>0</v>
      </c>
      <c r="E1033" s="53">
        <v>70000000</v>
      </c>
      <c r="F1033" s="53">
        <v>70000000</v>
      </c>
      <c r="G1033" s="53">
        <v>2555054.4300000002</v>
      </c>
      <c r="H1033" s="53">
        <v>2734634.58</v>
      </c>
      <c r="I1033" s="53">
        <v>0</v>
      </c>
      <c r="J1033" s="53">
        <v>0</v>
      </c>
      <c r="K1033" s="53">
        <v>6795310.5199999996</v>
      </c>
      <c r="L1033" s="53">
        <v>13988661.5</v>
      </c>
      <c r="M1033" s="53">
        <v>9435000</v>
      </c>
      <c r="N1033" s="53">
        <v>16925000</v>
      </c>
      <c r="O1033" s="53">
        <v>3317676.4</v>
      </c>
      <c r="P1033" s="53">
        <v>3000000</v>
      </c>
      <c r="Q1033" s="53">
        <v>37535</v>
      </c>
      <c r="R1033" s="53">
        <v>0</v>
      </c>
    </row>
    <row r="1034" spans="1:18" x14ac:dyDescent="0.25">
      <c r="A1034" s="25" t="s">
        <v>445</v>
      </c>
      <c r="B1034" s="26">
        <v>2014</v>
      </c>
      <c r="C1034" s="74" t="s">
        <v>444</v>
      </c>
      <c r="D1034" s="27">
        <v>0</v>
      </c>
      <c r="E1034" s="53">
        <v>26000000</v>
      </c>
      <c r="F1034" s="53">
        <v>26000000</v>
      </c>
      <c r="G1034" s="53">
        <v>0</v>
      </c>
      <c r="H1034" s="53">
        <v>0</v>
      </c>
      <c r="I1034" s="53">
        <v>0</v>
      </c>
      <c r="J1034" s="53">
        <v>0</v>
      </c>
      <c r="K1034" s="53">
        <v>0</v>
      </c>
      <c r="L1034" s="53">
        <v>0</v>
      </c>
      <c r="M1034" s="53">
        <v>0</v>
      </c>
      <c r="N1034" s="53">
        <v>0</v>
      </c>
      <c r="O1034" s="53">
        <v>0</v>
      </c>
      <c r="P1034" s="53">
        <v>0</v>
      </c>
      <c r="Q1034" s="53">
        <v>0</v>
      </c>
      <c r="R1034" s="53">
        <v>0</v>
      </c>
    </row>
    <row r="1035" spans="1:18" x14ac:dyDescent="0.25">
      <c r="A1035" s="25" t="s">
        <v>163</v>
      </c>
      <c r="B1035" s="26">
        <v>2014</v>
      </c>
      <c r="C1035" s="74" t="s">
        <v>162</v>
      </c>
      <c r="D1035" s="27">
        <v>0</v>
      </c>
      <c r="E1035" s="53">
        <v>191000000</v>
      </c>
      <c r="F1035" s="53">
        <v>191000000</v>
      </c>
      <c r="G1035" s="53">
        <v>12037825</v>
      </c>
      <c r="H1035" s="53">
        <v>18053779</v>
      </c>
      <c r="I1035" s="53">
        <v>14210500</v>
      </c>
      <c r="J1035" s="53">
        <v>124016859</v>
      </c>
      <c r="K1035" s="53">
        <v>3910910</v>
      </c>
      <c r="L1035" s="53">
        <v>22882000</v>
      </c>
      <c r="M1035" s="53">
        <v>43860500</v>
      </c>
      <c r="N1035" s="53">
        <v>37244600</v>
      </c>
      <c r="O1035" s="53">
        <v>15118550</v>
      </c>
      <c r="P1035" s="53">
        <v>28921500</v>
      </c>
      <c r="Q1035" s="53">
        <v>453357246</v>
      </c>
      <c r="R1035" s="53">
        <v>4367000</v>
      </c>
    </row>
    <row r="1036" spans="1:18" x14ac:dyDescent="0.25">
      <c r="A1036" s="25" t="s">
        <v>161</v>
      </c>
      <c r="B1036" s="26">
        <v>2014</v>
      </c>
      <c r="C1036" s="74" t="s">
        <v>160</v>
      </c>
      <c r="D1036" s="27">
        <v>0</v>
      </c>
      <c r="E1036" s="53">
        <v>248000000</v>
      </c>
      <c r="F1036" s="53">
        <v>248000000</v>
      </c>
      <c r="G1036" s="53">
        <v>3751526.3</v>
      </c>
      <c r="H1036" s="53">
        <v>-2091575.47</v>
      </c>
      <c r="I1036" s="53">
        <v>34705620.329999998</v>
      </c>
      <c r="J1036" s="53">
        <v>12607199.130000001</v>
      </c>
      <c r="K1036" s="53">
        <v>10610133.17</v>
      </c>
      <c r="L1036" s="53">
        <v>18753088.300000001</v>
      </c>
      <c r="M1036" s="53">
        <v>16622362.970000001</v>
      </c>
      <c r="N1036" s="53">
        <v>101039407.17</v>
      </c>
      <c r="O1036" s="53">
        <v>1997468.75</v>
      </c>
      <c r="P1036" s="53">
        <v>135156456.75</v>
      </c>
      <c r="Q1036" s="53">
        <v>26972671.469999999</v>
      </c>
      <c r="R1036" s="53">
        <v>77095924.099999994</v>
      </c>
    </row>
    <row r="1037" spans="1:18" x14ac:dyDescent="0.25">
      <c r="A1037" s="25" t="s">
        <v>159</v>
      </c>
      <c r="B1037" s="26">
        <v>2014</v>
      </c>
      <c r="C1037" s="74" t="s">
        <v>158</v>
      </c>
      <c r="D1037" s="27">
        <v>0</v>
      </c>
      <c r="E1037" s="53">
        <v>0</v>
      </c>
      <c r="F1037" s="53">
        <v>0</v>
      </c>
      <c r="G1037" s="53">
        <v>0</v>
      </c>
      <c r="H1037" s="53">
        <v>0</v>
      </c>
      <c r="I1037" s="53">
        <v>0</v>
      </c>
      <c r="J1037" s="53">
        <v>0</v>
      </c>
      <c r="K1037" s="53">
        <v>0</v>
      </c>
      <c r="L1037" s="53">
        <v>0</v>
      </c>
      <c r="M1037" s="53">
        <v>0</v>
      </c>
      <c r="N1037" s="53">
        <v>0</v>
      </c>
      <c r="O1037" s="53">
        <v>0</v>
      </c>
      <c r="P1037" s="53">
        <v>0</v>
      </c>
      <c r="Q1037" s="53">
        <v>133616181.2</v>
      </c>
      <c r="R1037" s="53">
        <v>0</v>
      </c>
    </row>
    <row r="1038" spans="1:18" x14ac:dyDescent="0.25">
      <c r="A1038" s="25" t="s">
        <v>153</v>
      </c>
      <c r="B1038" s="26">
        <v>2014</v>
      </c>
      <c r="C1038" s="74" t="s">
        <v>151</v>
      </c>
      <c r="D1038" s="27">
        <v>0</v>
      </c>
      <c r="E1038" s="53">
        <v>215000000</v>
      </c>
      <c r="F1038" s="53">
        <v>215000000</v>
      </c>
      <c r="G1038" s="53">
        <v>478128.82</v>
      </c>
      <c r="H1038" s="53">
        <v>15904870.67</v>
      </c>
      <c r="I1038" s="53">
        <v>2078763.17</v>
      </c>
      <c r="J1038" s="53">
        <v>5420770.1699999999</v>
      </c>
      <c r="K1038" s="53">
        <v>11605382.880000001</v>
      </c>
      <c r="L1038" s="53">
        <v>0</v>
      </c>
      <c r="M1038" s="53">
        <v>120237052.23</v>
      </c>
      <c r="N1038" s="53">
        <v>3501819.98</v>
      </c>
      <c r="O1038" s="53">
        <v>373815</v>
      </c>
      <c r="P1038" s="53">
        <v>5571822.2800000003</v>
      </c>
      <c r="Q1038" s="53">
        <v>4098296.76</v>
      </c>
      <c r="R1038" s="53">
        <v>4583768.2</v>
      </c>
    </row>
    <row r="1039" spans="1:18" x14ac:dyDescent="0.25">
      <c r="A1039" s="25" t="s">
        <v>150</v>
      </c>
      <c r="B1039" s="26">
        <v>2014</v>
      </c>
      <c r="C1039" s="74" t="s">
        <v>149</v>
      </c>
      <c r="D1039" s="27">
        <v>0</v>
      </c>
      <c r="E1039" s="53">
        <v>68000000</v>
      </c>
      <c r="F1039" s="53">
        <v>68000000</v>
      </c>
      <c r="G1039" s="53">
        <v>447906</v>
      </c>
      <c r="H1039" s="53">
        <v>0</v>
      </c>
      <c r="I1039" s="53">
        <v>0</v>
      </c>
      <c r="J1039" s="53">
        <v>16342565.68</v>
      </c>
      <c r="K1039" s="53">
        <v>5804990.3600000003</v>
      </c>
      <c r="L1039" s="53">
        <v>23021926.890000001</v>
      </c>
      <c r="M1039" s="53">
        <v>6249893.3200000003</v>
      </c>
      <c r="N1039" s="53">
        <v>7919906.1699999999</v>
      </c>
      <c r="O1039" s="53">
        <v>8358675.54</v>
      </c>
      <c r="P1039" s="53">
        <v>6678738.25</v>
      </c>
      <c r="Q1039" s="53">
        <v>10036886.24</v>
      </c>
      <c r="R1039" s="53">
        <v>55840</v>
      </c>
    </row>
    <row r="1040" spans="1:18" x14ac:dyDescent="0.25">
      <c r="A1040" s="25" t="s">
        <v>147</v>
      </c>
      <c r="B1040" s="26">
        <v>2014</v>
      </c>
      <c r="C1040" s="74" t="s">
        <v>146</v>
      </c>
      <c r="D1040" s="27">
        <v>0</v>
      </c>
      <c r="E1040" s="53">
        <v>0</v>
      </c>
      <c r="F1040" s="53">
        <v>0</v>
      </c>
      <c r="G1040" s="53">
        <v>0</v>
      </c>
      <c r="H1040" s="53">
        <v>0</v>
      </c>
      <c r="I1040" s="53">
        <v>0</v>
      </c>
      <c r="J1040" s="53">
        <v>0</v>
      </c>
      <c r="K1040" s="53">
        <v>0</v>
      </c>
      <c r="L1040" s="53">
        <v>338172228.51999998</v>
      </c>
      <c r="M1040" s="53">
        <v>-147659392.71000001</v>
      </c>
      <c r="N1040" s="53">
        <v>28601665</v>
      </c>
      <c r="O1040" s="53">
        <v>24915358</v>
      </c>
      <c r="P1040" s="53">
        <v>32290155</v>
      </c>
      <c r="Q1040" s="53">
        <v>30364940</v>
      </c>
      <c r="R1040" s="53">
        <v>50675671</v>
      </c>
    </row>
    <row r="1041" spans="1:18" x14ac:dyDescent="0.25">
      <c r="A1041" s="25" t="s">
        <v>144</v>
      </c>
      <c r="B1041" s="26">
        <v>2014</v>
      </c>
      <c r="C1041" s="74" t="s">
        <v>143</v>
      </c>
      <c r="D1041" s="27">
        <v>0</v>
      </c>
      <c r="E1041" s="53">
        <v>3700000000</v>
      </c>
      <c r="F1041" s="53">
        <v>3700000000</v>
      </c>
      <c r="G1041" s="53">
        <v>194298461.59999999</v>
      </c>
      <c r="H1041" s="53">
        <v>301699128.11000001</v>
      </c>
      <c r="I1041" s="53">
        <v>367823479</v>
      </c>
      <c r="J1041" s="53">
        <v>182582275.02000001</v>
      </c>
      <c r="K1041" s="53">
        <v>185375963.25999999</v>
      </c>
      <c r="L1041" s="53">
        <v>897947714.66999996</v>
      </c>
      <c r="M1041" s="53">
        <v>191294785.25999999</v>
      </c>
      <c r="N1041" s="53">
        <v>708178703.34000003</v>
      </c>
      <c r="O1041" s="53">
        <v>512002651.27999997</v>
      </c>
      <c r="P1041" s="53">
        <v>-471575977.06</v>
      </c>
      <c r="Q1041" s="53">
        <v>333784191.64999998</v>
      </c>
      <c r="R1041" s="53">
        <v>176787260.63999999</v>
      </c>
    </row>
    <row r="1042" spans="1:18" x14ac:dyDescent="0.25">
      <c r="A1042" s="25" t="s">
        <v>142</v>
      </c>
      <c r="B1042" s="26">
        <v>2014</v>
      </c>
      <c r="C1042" s="74" t="s">
        <v>141</v>
      </c>
      <c r="D1042" s="27">
        <v>0</v>
      </c>
      <c r="E1042" s="53">
        <v>705000000</v>
      </c>
      <c r="F1042" s="53">
        <v>705000000</v>
      </c>
      <c r="G1042" s="53">
        <v>90333938.430000007</v>
      </c>
      <c r="H1042" s="53">
        <v>66420874.060000002</v>
      </c>
      <c r="I1042" s="53">
        <v>145521711.34</v>
      </c>
      <c r="J1042" s="53">
        <v>201347994.84999999</v>
      </c>
      <c r="K1042" s="53">
        <v>94561380.530000001</v>
      </c>
      <c r="L1042" s="53">
        <v>102369785.39</v>
      </c>
      <c r="M1042" s="53">
        <v>129120932.75</v>
      </c>
      <c r="N1042" s="53">
        <v>164363350.53</v>
      </c>
      <c r="O1042" s="53">
        <v>141174541.33000001</v>
      </c>
      <c r="P1042" s="53">
        <v>86056288.920000002</v>
      </c>
      <c r="Q1042" s="53">
        <v>322425536.39999998</v>
      </c>
      <c r="R1042" s="53">
        <v>1535602349.0799999</v>
      </c>
    </row>
    <row r="1043" spans="1:18" x14ac:dyDescent="0.25">
      <c r="A1043" s="25" t="s">
        <v>140</v>
      </c>
      <c r="B1043" s="26">
        <v>2014</v>
      </c>
      <c r="C1043" s="74" t="s">
        <v>139</v>
      </c>
      <c r="D1043" s="27">
        <v>0</v>
      </c>
      <c r="E1043" s="53">
        <v>26639798500.52</v>
      </c>
      <c r="F1043" s="53">
        <v>26639798500.52</v>
      </c>
      <c r="G1043" s="53">
        <v>0</v>
      </c>
      <c r="H1043" s="53">
        <v>0</v>
      </c>
      <c r="I1043" s="53">
        <v>0</v>
      </c>
      <c r="J1043" s="53">
        <v>798455529</v>
      </c>
      <c r="K1043" s="53">
        <v>713560050</v>
      </c>
      <c r="L1043" s="53">
        <v>1596930825</v>
      </c>
      <c r="M1043" s="53">
        <v>4860521108.9499998</v>
      </c>
      <c r="N1043" s="53">
        <v>4169006788.71</v>
      </c>
      <c r="O1043" s="53">
        <v>6011900875.1400003</v>
      </c>
      <c r="P1043" s="53">
        <v>6297344715.1999998</v>
      </c>
      <c r="Q1043" s="53">
        <v>0</v>
      </c>
      <c r="R1043" s="53">
        <v>2234501489</v>
      </c>
    </row>
    <row r="1044" spans="1:18" x14ac:dyDescent="0.25">
      <c r="A1044" s="25" t="s">
        <v>372</v>
      </c>
      <c r="B1044" s="26">
        <v>2014</v>
      </c>
      <c r="C1044" s="74" t="s">
        <v>398</v>
      </c>
      <c r="D1044" s="27">
        <v>0</v>
      </c>
      <c r="E1044" s="53">
        <v>1518000000</v>
      </c>
      <c r="F1044" s="53">
        <v>1518000000</v>
      </c>
      <c r="G1044" s="53">
        <v>0</v>
      </c>
      <c r="H1044" s="53">
        <v>0</v>
      </c>
      <c r="I1044" s="53">
        <v>0</v>
      </c>
      <c r="J1044" s="53">
        <v>1517554180.04</v>
      </c>
      <c r="K1044" s="53">
        <v>0</v>
      </c>
      <c r="L1044" s="53">
        <v>0</v>
      </c>
      <c r="M1044" s="53">
        <v>0</v>
      </c>
      <c r="N1044" s="53">
        <v>0</v>
      </c>
      <c r="O1044" s="53">
        <v>0</v>
      </c>
      <c r="P1044" s="53">
        <v>0</v>
      </c>
      <c r="Q1044" s="53">
        <v>0</v>
      </c>
      <c r="R1044" s="53">
        <v>0</v>
      </c>
    </row>
    <row r="1045" spans="1:18" x14ac:dyDescent="0.25">
      <c r="A1045" s="25" t="s">
        <v>138</v>
      </c>
      <c r="B1045" s="26">
        <v>2014</v>
      </c>
      <c r="C1045" s="74" t="s">
        <v>137</v>
      </c>
      <c r="D1045" s="27">
        <v>0</v>
      </c>
      <c r="E1045" s="53">
        <v>8136000000</v>
      </c>
      <c r="F1045" s="53">
        <v>8136000000</v>
      </c>
      <c r="G1045" s="53">
        <v>0</v>
      </c>
      <c r="H1045" s="53">
        <v>0</v>
      </c>
      <c r="I1045" s="53">
        <v>0</v>
      </c>
      <c r="J1045" s="53">
        <v>1490143750</v>
      </c>
      <c r="K1045" s="53">
        <v>921480000</v>
      </c>
      <c r="L1045" s="53">
        <v>554370000</v>
      </c>
      <c r="M1045" s="53">
        <v>0</v>
      </c>
      <c r="N1045" s="53">
        <v>1283065000</v>
      </c>
      <c r="O1045" s="53">
        <v>0</v>
      </c>
      <c r="P1045" s="53">
        <v>1522075000</v>
      </c>
      <c r="Q1045" s="53">
        <v>859290000</v>
      </c>
      <c r="R1045" s="53">
        <v>987090000</v>
      </c>
    </row>
    <row r="1046" spans="1:18" x14ac:dyDescent="0.25">
      <c r="A1046" s="25" t="s">
        <v>136</v>
      </c>
      <c r="B1046" s="26">
        <v>2014</v>
      </c>
      <c r="C1046" s="74" t="s">
        <v>135</v>
      </c>
      <c r="D1046" s="27">
        <v>0</v>
      </c>
      <c r="E1046" s="53">
        <v>1000000000</v>
      </c>
      <c r="F1046" s="53">
        <v>1000000000</v>
      </c>
      <c r="G1046" s="53">
        <v>0</v>
      </c>
      <c r="H1046" s="53">
        <v>0</v>
      </c>
      <c r="I1046" s="53">
        <v>375000000</v>
      </c>
      <c r="J1046" s="53">
        <v>0</v>
      </c>
      <c r="K1046" s="53">
        <v>125000000</v>
      </c>
      <c r="L1046" s="53">
        <v>0</v>
      </c>
      <c r="M1046" s="53">
        <v>0</v>
      </c>
      <c r="N1046" s="53">
        <v>400000000</v>
      </c>
      <c r="O1046" s="53">
        <v>0</v>
      </c>
      <c r="P1046" s="53">
        <v>0</v>
      </c>
      <c r="Q1046" s="53">
        <v>0</v>
      </c>
      <c r="R1046" s="53">
        <v>0</v>
      </c>
    </row>
    <row r="1047" spans="1:18" x14ac:dyDescent="0.25">
      <c r="A1047" s="25" t="s">
        <v>134</v>
      </c>
      <c r="B1047" s="26">
        <v>2014</v>
      </c>
      <c r="C1047" s="74" t="s">
        <v>133</v>
      </c>
      <c r="D1047" s="27">
        <v>0</v>
      </c>
      <c r="E1047" s="53">
        <v>59850000000</v>
      </c>
      <c r="F1047" s="53">
        <v>59850000000</v>
      </c>
      <c r="G1047" s="53">
        <v>0</v>
      </c>
      <c r="H1047" s="53">
        <v>5999999500</v>
      </c>
      <c r="I1047" s="53">
        <v>6000000000</v>
      </c>
      <c r="J1047" s="53">
        <v>6000000000</v>
      </c>
      <c r="K1047" s="53">
        <v>6000000000</v>
      </c>
      <c r="L1047" s="53">
        <v>5925000000</v>
      </c>
      <c r="M1047" s="53">
        <v>0</v>
      </c>
      <c r="N1047" s="53">
        <v>5999999500</v>
      </c>
      <c r="O1047" s="53">
        <v>6000000000</v>
      </c>
      <c r="P1047" s="53">
        <v>6000000000</v>
      </c>
      <c r="Q1047" s="53">
        <v>6000000000</v>
      </c>
      <c r="R1047" s="53">
        <v>5925000000</v>
      </c>
    </row>
    <row r="1048" spans="1:18" x14ac:dyDescent="0.25">
      <c r="A1048" s="25" t="s">
        <v>132</v>
      </c>
      <c r="B1048" s="26">
        <v>2014</v>
      </c>
      <c r="C1048" s="74" t="s">
        <v>131</v>
      </c>
      <c r="D1048" s="27">
        <v>0</v>
      </c>
      <c r="E1048" s="53">
        <v>20395000000</v>
      </c>
      <c r="F1048" s="53">
        <v>20395000000</v>
      </c>
      <c r="G1048" s="53">
        <v>0</v>
      </c>
      <c r="H1048" s="53">
        <v>0</v>
      </c>
      <c r="I1048" s="53">
        <v>0</v>
      </c>
      <c r="J1048" s="53">
        <v>5008476686.0900002</v>
      </c>
      <c r="K1048" s="53">
        <v>5467488226.54</v>
      </c>
      <c r="L1048" s="53">
        <v>9638085115.7000008</v>
      </c>
      <c r="M1048" s="53">
        <v>1132484423.6700001</v>
      </c>
      <c r="N1048" s="53">
        <v>1929312</v>
      </c>
      <c r="O1048" s="53">
        <v>0</v>
      </c>
      <c r="P1048" s="53">
        <v>0</v>
      </c>
      <c r="Q1048" s="53">
        <v>0</v>
      </c>
      <c r="R1048" s="53">
        <v>0</v>
      </c>
    </row>
    <row r="1049" spans="1:18" x14ac:dyDescent="0.25">
      <c r="A1049" s="25" t="s">
        <v>130</v>
      </c>
      <c r="B1049" s="26">
        <v>2014</v>
      </c>
      <c r="C1049" s="74" t="s">
        <v>129</v>
      </c>
      <c r="D1049" s="27">
        <v>0</v>
      </c>
      <c r="E1049" s="53">
        <v>48500000000</v>
      </c>
      <c r="F1049" s="53">
        <v>48500000000</v>
      </c>
      <c r="G1049" s="53">
        <v>0</v>
      </c>
      <c r="H1049" s="53">
        <v>0</v>
      </c>
      <c r="I1049" s="53">
        <v>0</v>
      </c>
      <c r="J1049" s="53">
        <v>7350000000</v>
      </c>
      <c r="K1049" s="53">
        <v>3750000000</v>
      </c>
      <c r="L1049" s="53">
        <v>7800000000</v>
      </c>
      <c r="M1049" s="53">
        <v>3900000000</v>
      </c>
      <c r="N1049" s="53">
        <v>6500000000</v>
      </c>
      <c r="O1049" s="53">
        <v>5200000000</v>
      </c>
      <c r="P1049" s="53">
        <v>5200000000</v>
      </c>
      <c r="Q1049" s="53">
        <v>0</v>
      </c>
      <c r="R1049" s="53">
        <v>8800000000</v>
      </c>
    </row>
    <row r="1050" spans="1:18" x14ac:dyDescent="0.25">
      <c r="A1050" s="25" t="s">
        <v>128</v>
      </c>
      <c r="B1050" s="26">
        <v>2014</v>
      </c>
      <c r="C1050" s="74" t="s">
        <v>127</v>
      </c>
      <c r="D1050" s="27">
        <v>0</v>
      </c>
      <c r="E1050" s="53">
        <v>7036000000</v>
      </c>
      <c r="F1050" s="53">
        <v>7036000000</v>
      </c>
      <c r="G1050" s="53">
        <v>0</v>
      </c>
      <c r="H1050" s="53">
        <v>500000000</v>
      </c>
      <c r="I1050" s="53">
        <v>500000000</v>
      </c>
      <c r="J1050" s="53">
        <v>600000000</v>
      </c>
      <c r="K1050" s="53">
        <v>600000000</v>
      </c>
      <c r="L1050" s="53">
        <v>2044000000</v>
      </c>
      <c r="M1050" s="53">
        <v>903000000</v>
      </c>
      <c r="N1050" s="53">
        <v>200000000</v>
      </c>
      <c r="O1050" s="53">
        <v>400000000</v>
      </c>
      <c r="P1050" s="53">
        <v>200000000</v>
      </c>
      <c r="Q1050" s="53">
        <v>1289512000</v>
      </c>
      <c r="R1050" s="53">
        <v>0</v>
      </c>
    </row>
    <row r="1051" spans="1:18" x14ac:dyDescent="0.25">
      <c r="A1051" s="25" t="s">
        <v>126</v>
      </c>
      <c r="B1051" s="26">
        <v>2014</v>
      </c>
      <c r="C1051" s="74" t="s">
        <v>125</v>
      </c>
      <c r="D1051" s="27">
        <v>0</v>
      </c>
      <c r="E1051" s="53">
        <v>2470000000</v>
      </c>
      <c r="F1051" s="53">
        <v>2470000000</v>
      </c>
      <c r="G1051" s="53">
        <v>0</v>
      </c>
      <c r="H1051" s="53">
        <v>138294648</v>
      </c>
      <c r="I1051" s="53">
        <v>102110313</v>
      </c>
      <c r="J1051" s="53">
        <v>315784330</v>
      </c>
      <c r="K1051" s="53">
        <v>90500881</v>
      </c>
      <c r="L1051" s="53">
        <v>0</v>
      </c>
      <c r="M1051" s="53">
        <v>87243467</v>
      </c>
      <c r="N1051" s="53">
        <v>0</v>
      </c>
      <c r="O1051" s="53">
        <v>0</v>
      </c>
      <c r="P1051" s="53">
        <v>318258941</v>
      </c>
      <c r="Q1051" s="53">
        <v>184406379</v>
      </c>
      <c r="R1051" s="53">
        <v>0</v>
      </c>
    </row>
    <row r="1052" spans="1:18" x14ac:dyDescent="0.25">
      <c r="A1052" s="25" t="s">
        <v>122</v>
      </c>
      <c r="B1052" s="26">
        <v>2014</v>
      </c>
      <c r="C1052" s="74" t="s">
        <v>121</v>
      </c>
      <c r="D1052" s="27">
        <v>0</v>
      </c>
      <c r="E1052" s="53">
        <v>2276000000</v>
      </c>
      <c r="F1052" s="53">
        <v>2276000000</v>
      </c>
      <c r="G1052" s="53">
        <v>0</v>
      </c>
      <c r="H1052" s="53">
        <v>0</v>
      </c>
      <c r="I1052" s="53">
        <v>561598459.77999997</v>
      </c>
      <c r="J1052" s="53">
        <v>0</v>
      </c>
      <c r="K1052" s="53">
        <v>198850814.56</v>
      </c>
      <c r="L1052" s="53">
        <v>197399756.34</v>
      </c>
      <c r="M1052" s="53">
        <v>201576738.66</v>
      </c>
      <c r="N1052" s="53">
        <v>396001604.92000002</v>
      </c>
      <c r="O1052" s="53">
        <v>0</v>
      </c>
      <c r="P1052" s="53">
        <v>214187358.15000001</v>
      </c>
      <c r="Q1052" s="53">
        <v>0</v>
      </c>
      <c r="R1052" s="53">
        <v>598716433.29999995</v>
      </c>
    </row>
    <row r="1053" spans="1:18" x14ac:dyDescent="0.25">
      <c r="A1053" s="25" t="s">
        <v>443</v>
      </c>
      <c r="B1053" s="26">
        <v>2014</v>
      </c>
      <c r="C1053" s="74" t="s">
        <v>442</v>
      </c>
      <c r="D1053" s="27">
        <v>0</v>
      </c>
      <c r="E1053" s="53">
        <v>602000000</v>
      </c>
      <c r="F1053" s="53">
        <v>602000000</v>
      </c>
      <c r="G1053" s="53">
        <v>0</v>
      </c>
      <c r="H1053" s="53">
        <v>0</v>
      </c>
      <c r="I1053" s="53">
        <v>0</v>
      </c>
      <c r="J1053" s="53">
        <v>0</v>
      </c>
      <c r="K1053" s="53">
        <v>602207295.47000003</v>
      </c>
      <c r="L1053" s="53">
        <v>0</v>
      </c>
      <c r="M1053" s="53">
        <v>0</v>
      </c>
      <c r="N1053" s="53">
        <v>0</v>
      </c>
      <c r="O1053" s="53">
        <v>0</v>
      </c>
      <c r="P1053" s="53">
        <v>0</v>
      </c>
      <c r="Q1053" s="53">
        <v>0</v>
      </c>
      <c r="R1053" s="53">
        <v>0</v>
      </c>
    </row>
    <row r="1054" spans="1:18" x14ac:dyDescent="0.25">
      <c r="A1054" s="25" t="s">
        <v>115</v>
      </c>
      <c r="B1054" s="26">
        <v>2014</v>
      </c>
      <c r="C1054" s="74" t="s">
        <v>114</v>
      </c>
      <c r="D1054" s="27">
        <v>0</v>
      </c>
      <c r="E1054" s="53">
        <v>3000000</v>
      </c>
      <c r="F1054" s="53">
        <v>3000000</v>
      </c>
      <c r="G1054" s="53">
        <v>0</v>
      </c>
      <c r="H1054" s="53">
        <v>3000000</v>
      </c>
      <c r="I1054" s="53">
        <v>0</v>
      </c>
      <c r="J1054" s="53">
        <v>0</v>
      </c>
      <c r="K1054" s="53">
        <v>0</v>
      </c>
      <c r="L1054" s="53">
        <v>0</v>
      </c>
      <c r="M1054" s="53">
        <v>0</v>
      </c>
      <c r="N1054" s="53">
        <v>0</v>
      </c>
      <c r="O1054" s="53">
        <v>0</v>
      </c>
      <c r="P1054" s="53">
        <v>0</v>
      </c>
      <c r="Q1054" s="53">
        <v>0</v>
      </c>
      <c r="R1054" s="53">
        <v>0</v>
      </c>
    </row>
    <row r="1055" spans="1:18" x14ac:dyDescent="0.25">
      <c r="A1055" s="25" t="s">
        <v>113</v>
      </c>
      <c r="B1055" s="26">
        <v>2014</v>
      </c>
      <c r="C1055" s="74" t="s">
        <v>112</v>
      </c>
      <c r="D1055" s="27">
        <v>0</v>
      </c>
      <c r="E1055" s="53">
        <v>100000</v>
      </c>
      <c r="F1055" s="53">
        <v>100000</v>
      </c>
      <c r="G1055" s="53">
        <v>0</v>
      </c>
      <c r="H1055" s="53">
        <v>0</v>
      </c>
      <c r="I1055" s="53">
        <v>300000</v>
      </c>
      <c r="J1055" s="53">
        <v>0</v>
      </c>
      <c r="K1055" s="53">
        <v>0</v>
      </c>
      <c r="L1055" s="53">
        <v>0</v>
      </c>
      <c r="M1055" s="53">
        <v>0</v>
      </c>
      <c r="N1055" s="53">
        <v>0</v>
      </c>
      <c r="O1055" s="53">
        <v>0</v>
      </c>
      <c r="P1055" s="53">
        <v>0</v>
      </c>
      <c r="Q1055" s="53">
        <v>0</v>
      </c>
      <c r="R1055" s="53">
        <v>0</v>
      </c>
    </row>
    <row r="1056" spans="1:18" x14ac:dyDescent="0.25">
      <c r="A1056" s="25" t="s">
        <v>111</v>
      </c>
      <c r="B1056" s="26">
        <v>2014</v>
      </c>
      <c r="C1056" s="74" t="s">
        <v>110</v>
      </c>
      <c r="D1056" s="27">
        <v>0</v>
      </c>
      <c r="E1056" s="53">
        <v>35600000</v>
      </c>
      <c r="F1056" s="53">
        <v>35600000</v>
      </c>
      <c r="G1056" s="53">
        <v>0</v>
      </c>
      <c r="H1056" s="53">
        <v>0</v>
      </c>
      <c r="I1056" s="53">
        <v>0</v>
      </c>
      <c r="J1056" s="53">
        <v>0</v>
      </c>
      <c r="K1056" s="53">
        <v>0</v>
      </c>
      <c r="L1056" s="53">
        <v>0</v>
      </c>
      <c r="M1056" s="53">
        <v>0</v>
      </c>
      <c r="N1056" s="53">
        <v>11700000</v>
      </c>
      <c r="O1056" s="53">
        <v>0</v>
      </c>
      <c r="P1056" s="53">
        <v>0</v>
      </c>
      <c r="Q1056" s="53">
        <v>0</v>
      </c>
      <c r="R1056" s="53">
        <v>0</v>
      </c>
    </row>
    <row r="1057" spans="1:18" x14ac:dyDescent="0.25">
      <c r="A1057" s="25" t="s">
        <v>109</v>
      </c>
      <c r="B1057" s="26">
        <v>2014</v>
      </c>
      <c r="C1057" s="74" t="s">
        <v>108</v>
      </c>
      <c r="D1057" s="27">
        <v>0</v>
      </c>
      <c r="E1057" s="53">
        <v>2700000</v>
      </c>
      <c r="F1057" s="53">
        <v>2700000</v>
      </c>
      <c r="G1057" s="53">
        <v>2700000</v>
      </c>
      <c r="H1057" s="53">
        <v>0</v>
      </c>
      <c r="I1057" s="53">
        <v>0</v>
      </c>
      <c r="J1057" s="53">
        <v>0</v>
      </c>
      <c r="K1057" s="53">
        <v>0</v>
      </c>
      <c r="L1057" s="53">
        <v>0</v>
      </c>
      <c r="M1057" s="53">
        <v>0</v>
      </c>
      <c r="N1057" s="53">
        <v>0</v>
      </c>
      <c r="O1057" s="53">
        <v>0</v>
      </c>
      <c r="P1057" s="53">
        <v>0</v>
      </c>
      <c r="Q1057" s="53">
        <v>0</v>
      </c>
      <c r="R1057" s="53">
        <v>0</v>
      </c>
    </row>
    <row r="1058" spans="1:18" x14ac:dyDescent="0.25">
      <c r="A1058" s="25" t="s">
        <v>107</v>
      </c>
      <c r="B1058" s="26">
        <v>2014</v>
      </c>
      <c r="C1058" s="74" t="s">
        <v>106</v>
      </c>
      <c r="D1058" s="27">
        <v>0</v>
      </c>
      <c r="E1058" s="53">
        <v>9300000</v>
      </c>
      <c r="F1058" s="53">
        <v>9300000</v>
      </c>
      <c r="G1058" s="53">
        <v>0</v>
      </c>
      <c r="H1058" s="53">
        <v>9300000</v>
      </c>
      <c r="I1058" s="53">
        <v>0</v>
      </c>
      <c r="J1058" s="53">
        <v>0</v>
      </c>
      <c r="K1058" s="53">
        <v>0</v>
      </c>
      <c r="L1058" s="53">
        <v>0</v>
      </c>
      <c r="M1058" s="53">
        <v>0</v>
      </c>
      <c r="N1058" s="53">
        <v>0</v>
      </c>
      <c r="O1058" s="53">
        <v>0</v>
      </c>
      <c r="P1058" s="53">
        <v>0</v>
      </c>
      <c r="Q1058" s="53">
        <v>0</v>
      </c>
      <c r="R1058" s="53">
        <v>0</v>
      </c>
    </row>
    <row r="1059" spans="1:18" x14ac:dyDescent="0.25">
      <c r="A1059" s="25" t="s">
        <v>105</v>
      </c>
      <c r="B1059" s="26">
        <v>2014</v>
      </c>
      <c r="C1059" s="74" t="s">
        <v>104</v>
      </c>
      <c r="D1059" s="27">
        <v>0</v>
      </c>
      <c r="E1059" s="53">
        <v>10300000</v>
      </c>
      <c r="F1059" s="53">
        <v>10300000</v>
      </c>
      <c r="G1059" s="53">
        <v>10300000</v>
      </c>
      <c r="H1059" s="53">
        <v>0</v>
      </c>
      <c r="I1059" s="53">
        <v>0</v>
      </c>
      <c r="J1059" s="53">
        <v>0</v>
      </c>
      <c r="K1059" s="53">
        <v>0</v>
      </c>
      <c r="L1059" s="53">
        <v>0</v>
      </c>
      <c r="M1059" s="53">
        <v>0</v>
      </c>
      <c r="N1059" s="53">
        <v>0</v>
      </c>
      <c r="O1059" s="53">
        <v>0</v>
      </c>
      <c r="P1059" s="53">
        <v>0</v>
      </c>
      <c r="Q1059" s="53">
        <v>0</v>
      </c>
      <c r="R1059" s="53">
        <v>0</v>
      </c>
    </row>
    <row r="1060" spans="1:18" x14ac:dyDescent="0.25">
      <c r="A1060" s="25" t="s">
        <v>103</v>
      </c>
      <c r="B1060" s="26">
        <v>2014</v>
      </c>
      <c r="C1060" s="74" t="s">
        <v>102</v>
      </c>
      <c r="D1060" s="27">
        <v>0</v>
      </c>
      <c r="E1060" s="53">
        <v>18400000</v>
      </c>
      <c r="F1060" s="53">
        <v>18400000</v>
      </c>
      <c r="G1060" s="53">
        <v>0</v>
      </c>
      <c r="H1060" s="53">
        <v>0</v>
      </c>
      <c r="I1060" s="53">
        <v>0</v>
      </c>
      <c r="J1060" s="53">
        <v>0</v>
      </c>
      <c r="K1060" s="53">
        <v>0</v>
      </c>
      <c r="L1060" s="53">
        <v>0</v>
      </c>
      <c r="M1060" s="53">
        <v>0</v>
      </c>
      <c r="N1060" s="53">
        <v>0</v>
      </c>
      <c r="O1060" s="53">
        <v>0</v>
      </c>
      <c r="P1060" s="53">
        <v>0</v>
      </c>
      <c r="Q1060" s="53">
        <v>18400000</v>
      </c>
      <c r="R1060" s="53">
        <v>0</v>
      </c>
    </row>
    <row r="1061" spans="1:18" x14ac:dyDescent="0.25">
      <c r="A1061" s="25" t="s">
        <v>101</v>
      </c>
      <c r="B1061" s="26">
        <v>2014</v>
      </c>
      <c r="C1061" s="74" t="s">
        <v>100</v>
      </c>
      <c r="D1061" s="27">
        <v>0</v>
      </c>
      <c r="E1061" s="53">
        <v>3000000</v>
      </c>
      <c r="F1061" s="53">
        <v>3000000</v>
      </c>
      <c r="G1061" s="53">
        <v>0</v>
      </c>
      <c r="H1061" s="53">
        <v>0</v>
      </c>
      <c r="I1061" s="53">
        <v>3000000</v>
      </c>
      <c r="J1061" s="53">
        <v>0</v>
      </c>
      <c r="K1061" s="53">
        <v>0</v>
      </c>
      <c r="L1061" s="53">
        <v>0</v>
      </c>
      <c r="M1061" s="53">
        <v>0</v>
      </c>
      <c r="N1061" s="53">
        <v>0</v>
      </c>
      <c r="O1061" s="53">
        <v>0</v>
      </c>
      <c r="P1061" s="53">
        <v>0</v>
      </c>
      <c r="Q1061" s="53">
        <v>0</v>
      </c>
      <c r="R1061" s="53">
        <v>0</v>
      </c>
    </row>
    <row r="1062" spans="1:18" x14ac:dyDescent="0.25">
      <c r="A1062" s="25" t="s">
        <v>99</v>
      </c>
      <c r="B1062" s="26">
        <v>2014</v>
      </c>
      <c r="C1062" s="74" t="s">
        <v>98</v>
      </c>
      <c r="D1062" s="27">
        <v>0</v>
      </c>
      <c r="E1062" s="53">
        <v>15400000</v>
      </c>
      <c r="F1062" s="53">
        <v>15400000</v>
      </c>
      <c r="G1062" s="53">
        <v>0</v>
      </c>
      <c r="H1062" s="53">
        <v>0</v>
      </c>
      <c r="I1062" s="53">
        <v>0</v>
      </c>
      <c r="J1062" s="53">
        <v>15400000</v>
      </c>
      <c r="K1062" s="53">
        <v>0</v>
      </c>
      <c r="L1062" s="53">
        <v>0</v>
      </c>
      <c r="M1062" s="53">
        <v>0</v>
      </c>
      <c r="N1062" s="53">
        <v>0</v>
      </c>
      <c r="O1062" s="53">
        <v>0</v>
      </c>
      <c r="P1062" s="53">
        <v>0</v>
      </c>
      <c r="Q1062" s="53">
        <v>0</v>
      </c>
      <c r="R1062" s="53">
        <v>0</v>
      </c>
    </row>
    <row r="1063" spans="1:18" x14ac:dyDescent="0.25">
      <c r="A1063" s="25" t="s">
        <v>97</v>
      </c>
      <c r="B1063" s="26">
        <v>2014</v>
      </c>
      <c r="C1063" s="74" t="s">
        <v>96</v>
      </c>
      <c r="D1063" s="27">
        <v>0</v>
      </c>
      <c r="E1063" s="53">
        <v>3700000</v>
      </c>
      <c r="F1063" s="53">
        <v>3700000</v>
      </c>
      <c r="G1063" s="53">
        <v>0</v>
      </c>
      <c r="H1063" s="53">
        <v>15400000</v>
      </c>
      <c r="I1063" s="53">
        <v>0</v>
      </c>
      <c r="J1063" s="53">
        <v>-15400000</v>
      </c>
      <c r="K1063" s="53">
        <v>0</v>
      </c>
      <c r="L1063" s="53">
        <v>0</v>
      </c>
      <c r="M1063" s="53">
        <v>3700000</v>
      </c>
      <c r="N1063" s="53">
        <v>0</v>
      </c>
      <c r="O1063" s="53">
        <v>0</v>
      </c>
      <c r="P1063" s="53">
        <v>0</v>
      </c>
      <c r="Q1063" s="53">
        <v>0</v>
      </c>
      <c r="R1063" s="53">
        <v>0</v>
      </c>
    </row>
    <row r="1064" spans="1:18" x14ac:dyDescent="0.25">
      <c r="A1064" s="25" t="s">
        <v>95</v>
      </c>
      <c r="B1064" s="26">
        <v>2014</v>
      </c>
      <c r="C1064" s="74" t="s">
        <v>94</v>
      </c>
      <c r="D1064" s="27">
        <v>0</v>
      </c>
      <c r="E1064" s="53">
        <v>50300000</v>
      </c>
      <c r="F1064" s="53">
        <v>50300000</v>
      </c>
      <c r="G1064" s="53">
        <v>0</v>
      </c>
      <c r="H1064" s="53">
        <v>0</v>
      </c>
      <c r="I1064" s="53">
        <v>50300000</v>
      </c>
      <c r="J1064" s="53">
        <v>0</v>
      </c>
      <c r="K1064" s="53">
        <v>0</v>
      </c>
      <c r="L1064" s="53">
        <v>0</v>
      </c>
      <c r="M1064" s="53">
        <v>0</v>
      </c>
      <c r="N1064" s="53">
        <v>0</v>
      </c>
      <c r="O1064" s="53">
        <v>0</v>
      </c>
      <c r="P1064" s="53">
        <v>0</v>
      </c>
      <c r="Q1064" s="53">
        <v>0</v>
      </c>
      <c r="R1064" s="53">
        <v>0</v>
      </c>
    </row>
    <row r="1065" spans="1:18" x14ac:dyDescent="0.25">
      <c r="A1065" s="25" t="s">
        <v>93</v>
      </c>
      <c r="B1065" s="26">
        <v>2014</v>
      </c>
      <c r="C1065" s="74" t="s">
        <v>92</v>
      </c>
      <c r="D1065" s="27">
        <v>0</v>
      </c>
      <c r="E1065" s="53">
        <v>12200000</v>
      </c>
      <c r="F1065" s="53">
        <v>12200000</v>
      </c>
      <c r="G1065" s="53">
        <v>0</v>
      </c>
      <c r="H1065" s="53">
        <v>0</v>
      </c>
      <c r="I1065" s="53">
        <v>0</v>
      </c>
      <c r="J1065" s="53">
        <v>0</v>
      </c>
      <c r="K1065" s="53">
        <v>0</v>
      </c>
      <c r="L1065" s="53">
        <v>0</v>
      </c>
      <c r="M1065" s="53">
        <v>0</v>
      </c>
      <c r="N1065" s="53">
        <v>0</v>
      </c>
      <c r="O1065" s="53">
        <v>0</v>
      </c>
      <c r="P1065" s="53">
        <v>0</v>
      </c>
      <c r="Q1065" s="53">
        <v>0</v>
      </c>
      <c r="R1065" s="53">
        <v>12850000</v>
      </c>
    </row>
    <row r="1066" spans="1:18" x14ac:dyDescent="0.25">
      <c r="A1066" s="25" t="s">
        <v>91</v>
      </c>
      <c r="B1066" s="26">
        <v>2014</v>
      </c>
      <c r="C1066" s="74" t="s">
        <v>90</v>
      </c>
      <c r="D1066" s="27">
        <v>0</v>
      </c>
      <c r="E1066" s="53">
        <v>4648000000</v>
      </c>
      <c r="F1066" s="53">
        <v>4648000000</v>
      </c>
      <c r="G1066" s="53">
        <v>0</v>
      </c>
      <c r="H1066" s="53">
        <v>0</v>
      </c>
      <c r="I1066" s="53">
        <v>0</v>
      </c>
      <c r="J1066" s="53">
        <v>0</v>
      </c>
      <c r="K1066" s="53">
        <v>4647601956</v>
      </c>
      <c r="L1066" s="53">
        <v>0</v>
      </c>
      <c r="M1066" s="53">
        <v>0</v>
      </c>
      <c r="N1066" s="53">
        <v>0</v>
      </c>
      <c r="O1066" s="53">
        <v>0</v>
      </c>
      <c r="P1066" s="53">
        <v>0</v>
      </c>
      <c r="Q1066" s="53">
        <v>0</v>
      </c>
      <c r="R1066" s="53">
        <v>0</v>
      </c>
    </row>
    <row r="1067" spans="1:18" x14ac:dyDescent="0.25">
      <c r="A1067" s="25" t="s">
        <v>89</v>
      </c>
      <c r="B1067" s="26">
        <v>2014</v>
      </c>
      <c r="C1067" s="74" t="s">
        <v>88</v>
      </c>
      <c r="D1067" s="27">
        <v>0</v>
      </c>
      <c r="E1067" s="53">
        <v>617000000</v>
      </c>
      <c r="F1067" s="53">
        <v>617000000</v>
      </c>
      <c r="G1067" s="53">
        <v>0</v>
      </c>
      <c r="H1067" s="53">
        <v>0</v>
      </c>
      <c r="I1067" s="53">
        <v>51398716.329999998</v>
      </c>
      <c r="J1067" s="53">
        <v>51398342.630000003</v>
      </c>
      <c r="K1067" s="53">
        <v>102797432.66</v>
      </c>
      <c r="L1067" s="53">
        <v>51398716.329999998</v>
      </c>
      <c r="M1067" s="53">
        <v>51398716.329999998</v>
      </c>
      <c r="N1067" s="53">
        <v>51398716.329999998</v>
      </c>
      <c r="O1067" s="53">
        <v>51398716.329999998</v>
      </c>
      <c r="P1067" s="53">
        <v>51398716.329999998</v>
      </c>
      <c r="Q1067" s="53">
        <v>51398716.329999998</v>
      </c>
      <c r="R1067" s="53">
        <v>102797432.66</v>
      </c>
    </row>
    <row r="1068" spans="1:18" x14ac:dyDescent="0.25">
      <c r="A1068" s="25" t="s">
        <v>87</v>
      </c>
      <c r="B1068" s="26">
        <v>2014</v>
      </c>
      <c r="C1068" s="74" t="s">
        <v>86</v>
      </c>
      <c r="D1068" s="27">
        <v>0</v>
      </c>
      <c r="E1068" s="53">
        <v>560000000</v>
      </c>
      <c r="F1068" s="53">
        <v>560000000</v>
      </c>
      <c r="G1068" s="53">
        <v>0</v>
      </c>
      <c r="H1068" s="53">
        <v>0</v>
      </c>
      <c r="I1068" s="53">
        <v>0</v>
      </c>
      <c r="J1068" s="53">
        <v>0</v>
      </c>
      <c r="K1068" s="53">
        <v>386339422.5</v>
      </c>
      <c r="L1068" s="53">
        <v>0</v>
      </c>
      <c r="M1068" s="53">
        <v>0</v>
      </c>
      <c r="N1068" s="53">
        <v>0</v>
      </c>
      <c r="O1068" s="53">
        <v>0</v>
      </c>
      <c r="P1068" s="53">
        <v>173660577.5</v>
      </c>
      <c r="Q1068" s="53">
        <v>0</v>
      </c>
      <c r="R1068" s="53">
        <v>0</v>
      </c>
    </row>
    <row r="1069" spans="1:18" x14ac:dyDescent="0.25">
      <c r="A1069" s="25" t="s">
        <v>83</v>
      </c>
      <c r="B1069" s="26">
        <v>2014</v>
      </c>
      <c r="C1069" s="74" t="s">
        <v>82</v>
      </c>
      <c r="D1069" s="27">
        <v>0</v>
      </c>
      <c r="E1069" s="53">
        <v>231000000</v>
      </c>
      <c r="F1069" s="53">
        <v>231000000</v>
      </c>
      <c r="G1069" s="53">
        <v>15324115.210000001</v>
      </c>
      <c r="H1069" s="53">
        <v>9293479.9000000004</v>
      </c>
      <c r="I1069" s="53">
        <v>10516050.57</v>
      </c>
      <c r="J1069" s="53">
        <v>12372637.48</v>
      </c>
      <c r="K1069" s="53">
        <v>75213142.25</v>
      </c>
      <c r="L1069" s="53">
        <v>62330506.659999996</v>
      </c>
      <c r="M1069" s="53">
        <v>85468854.209999993</v>
      </c>
      <c r="N1069" s="53">
        <v>96758473.400000006</v>
      </c>
      <c r="O1069" s="53">
        <v>97976684.609999999</v>
      </c>
      <c r="P1069" s="53">
        <v>8963836.2300000004</v>
      </c>
      <c r="Q1069" s="53">
        <v>87615779.760000005</v>
      </c>
      <c r="R1069" s="53">
        <v>88023389.959999993</v>
      </c>
    </row>
    <row r="1070" spans="1:18" x14ac:dyDescent="0.25">
      <c r="A1070" s="25" t="s">
        <v>80</v>
      </c>
      <c r="B1070" s="26">
        <v>2014</v>
      </c>
      <c r="C1070" s="74" t="s">
        <v>79</v>
      </c>
      <c r="D1070" s="27">
        <v>0</v>
      </c>
      <c r="E1070" s="53">
        <v>44600000</v>
      </c>
      <c r="F1070" s="53">
        <v>44600000</v>
      </c>
      <c r="G1070" s="53">
        <v>0</v>
      </c>
      <c r="H1070" s="53">
        <v>44600000</v>
      </c>
      <c r="I1070" s="53">
        <v>0</v>
      </c>
      <c r="J1070" s="53">
        <v>0</v>
      </c>
      <c r="K1070" s="53">
        <v>0</v>
      </c>
      <c r="L1070" s="53">
        <v>0</v>
      </c>
      <c r="M1070" s="53">
        <v>0</v>
      </c>
      <c r="N1070" s="53">
        <v>0</v>
      </c>
      <c r="O1070" s="53">
        <v>0</v>
      </c>
      <c r="P1070" s="53">
        <v>0</v>
      </c>
      <c r="Q1070" s="53">
        <v>0</v>
      </c>
      <c r="R1070" s="53">
        <v>0</v>
      </c>
    </row>
    <row r="1071" spans="1:18" x14ac:dyDescent="0.25">
      <c r="A1071" s="25" t="s">
        <v>78</v>
      </c>
      <c r="B1071" s="26">
        <v>2014</v>
      </c>
      <c r="C1071" s="74" t="s">
        <v>77</v>
      </c>
      <c r="D1071" s="27">
        <v>0</v>
      </c>
      <c r="E1071" s="53">
        <v>91400000</v>
      </c>
      <c r="F1071" s="53">
        <v>91400000</v>
      </c>
      <c r="G1071" s="53">
        <v>0</v>
      </c>
      <c r="H1071" s="53">
        <v>0</v>
      </c>
      <c r="I1071" s="53">
        <v>0</v>
      </c>
      <c r="J1071" s="53">
        <v>91400000</v>
      </c>
      <c r="K1071" s="53">
        <v>0</v>
      </c>
      <c r="L1071" s="53">
        <v>0</v>
      </c>
      <c r="M1071" s="53">
        <v>0</v>
      </c>
      <c r="N1071" s="53">
        <v>0</v>
      </c>
      <c r="O1071" s="53">
        <v>0</v>
      </c>
      <c r="P1071" s="53">
        <v>0</v>
      </c>
      <c r="Q1071" s="53">
        <v>0</v>
      </c>
      <c r="R1071" s="53">
        <v>0</v>
      </c>
    </row>
    <row r="1072" spans="1:18" x14ac:dyDescent="0.25">
      <c r="A1072" s="25" t="s">
        <v>76</v>
      </c>
      <c r="B1072" s="26">
        <v>2014</v>
      </c>
      <c r="C1072" s="74" t="s">
        <v>75</v>
      </c>
      <c r="D1072" s="27">
        <v>0</v>
      </c>
      <c r="E1072" s="53">
        <v>9600000</v>
      </c>
      <c r="F1072" s="53">
        <v>9600000</v>
      </c>
      <c r="G1072" s="53">
        <v>0</v>
      </c>
      <c r="H1072" s="53">
        <v>0</v>
      </c>
      <c r="I1072" s="53">
        <v>0</v>
      </c>
      <c r="J1072" s="53">
        <v>9600000</v>
      </c>
      <c r="K1072" s="53">
        <v>0</v>
      </c>
      <c r="L1072" s="53">
        <v>0</v>
      </c>
      <c r="M1072" s="53">
        <v>0</v>
      </c>
      <c r="N1072" s="53">
        <v>0</v>
      </c>
      <c r="O1072" s="53">
        <v>0</v>
      </c>
      <c r="P1072" s="53">
        <v>0</v>
      </c>
      <c r="Q1072" s="53">
        <v>0</v>
      </c>
      <c r="R1072" s="53">
        <v>0</v>
      </c>
    </row>
    <row r="1073" spans="1:18" x14ac:dyDescent="0.25">
      <c r="A1073" s="25" t="s">
        <v>74</v>
      </c>
      <c r="B1073" s="26">
        <v>2014</v>
      </c>
      <c r="C1073" s="74" t="s">
        <v>73</v>
      </c>
      <c r="D1073" s="27">
        <v>0</v>
      </c>
      <c r="E1073" s="53">
        <v>12300000</v>
      </c>
      <c r="F1073" s="53">
        <v>12300000</v>
      </c>
      <c r="G1073" s="53">
        <v>0</v>
      </c>
      <c r="H1073" s="53">
        <v>0</v>
      </c>
      <c r="I1073" s="53">
        <v>12300000</v>
      </c>
      <c r="J1073" s="53">
        <v>0</v>
      </c>
      <c r="K1073" s="53">
        <v>0</v>
      </c>
      <c r="L1073" s="53">
        <v>0</v>
      </c>
      <c r="M1073" s="53">
        <v>0</v>
      </c>
      <c r="N1073" s="53">
        <v>0</v>
      </c>
      <c r="O1073" s="53">
        <v>0</v>
      </c>
      <c r="P1073" s="53">
        <v>0</v>
      </c>
      <c r="Q1073" s="53">
        <v>0</v>
      </c>
      <c r="R1073" s="53">
        <v>0</v>
      </c>
    </row>
    <row r="1074" spans="1:18" x14ac:dyDescent="0.25">
      <c r="A1074" s="25" t="s">
        <v>72</v>
      </c>
      <c r="B1074" s="26">
        <v>2014</v>
      </c>
      <c r="C1074" s="74" t="s">
        <v>71</v>
      </c>
      <c r="D1074" s="27">
        <v>0</v>
      </c>
      <c r="E1074" s="53">
        <v>15700000</v>
      </c>
      <c r="F1074" s="53">
        <v>15700000</v>
      </c>
      <c r="G1074" s="53">
        <v>0</v>
      </c>
      <c r="H1074" s="53">
        <v>0</v>
      </c>
      <c r="I1074" s="53">
        <v>0</v>
      </c>
      <c r="J1074" s="53">
        <v>0</v>
      </c>
      <c r="K1074" s="53">
        <v>0</v>
      </c>
      <c r="L1074" s="53">
        <v>0</v>
      </c>
      <c r="M1074" s="53">
        <v>0</v>
      </c>
      <c r="N1074" s="53">
        <v>0</v>
      </c>
      <c r="O1074" s="53">
        <v>0</v>
      </c>
      <c r="P1074" s="53">
        <v>0</v>
      </c>
      <c r="Q1074" s="53">
        <v>0</v>
      </c>
      <c r="R1074" s="53">
        <v>0</v>
      </c>
    </row>
    <row r="1075" spans="1:18" x14ac:dyDescent="0.25">
      <c r="A1075" s="25" t="s">
        <v>70</v>
      </c>
      <c r="B1075" s="26">
        <v>2014</v>
      </c>
      <c r="C1075" s="74" t="s">
        <v>69</v>
      </c>
      <c r="D1075" s="27">
        <v>0</v>
      </c>
      <c r="E1075" s="53">
        <v>2400000</v>
      </c>
      <c r="F1075" s="53">
        <v>2400000</v>
      </c>
      <c r="G1075" s="53">
        <v>0</v>
      </c>
      <c r="H1075" s="53">
        <v>0</v>
      </c>
      <c r="I1075" s="53">
        <v>0</v>
      </c>
      <c r="J1075" s="53">
        <v>0</v>
      </c>
      <c r="K1075" s="53">
        <v>0</v>
      </c>
      <c r="L1075" s="53">
        <v>0</v>
      </c>
      <c r="M1075" s="53">
        <v>0</v>
      </c>
      <c r="N1075" s="53">
        <v>0</v>
      </c>
      <c r="O1075" s="53">
        <v>0</v>
      </c>
      <c r="P1075" s="53">
        <v>0</v>
      </c>
      <c r="Q1075" s="53">
        <v>0</v>
      </c>
      <c r="R1075" s="53">
        <v>0</v>
      </c>
    </row>
    <row r="1076" spans="1:18" x14ac:dyDescent="0.25">
      <c r="A1076" s="25" t="s">
        <v>68</v>
      </c>
      <c r="B1076" s="26">
        <v>2014</v>
      </c>
      <c r="C1076" s="74" t="s">
        <v>67</v>
      </c>
      <c r="D1076" s="27">
        <v>0</v>
      </c>
      <c r="E1076" s="53">
        <v>269600000</v>
      </c>
      <c r="F1076" s="53">
        <v>269600000</v>
      </c>
      <c r="G1076" s="53">
        <v>0</v>
      </c>
      <c r="H1076" s="53">
        <v>0</v>
      </c>
      <c r="I1076" s="53">
        <v>0</v>
      </c>
      <c r="J1076" s="53">
        <v>0</v>
      </c>
      <c r="K1076" s="53">
        <v>0</v>
      </c>
      <c r="L1076" s="53">
        <v>0</v>
      </c>
      <c r="M1076" s="53">
        <v>0</v>
      </c>
      <c r="N1076" s="53">
        <v>0</v>
      </c>
      <c r="O1076" s="53">
        <v>0</v>
      </c>
      <c r="P1076" s="53">
        <v>0</v>
      </c>
      <c r="Q1076" s="53">
        <v>0</v>
      </c>
      <c r="R1076" s="53">
        <v>0</v>
      </c>
    </row>
    <row r="1077" spans="1:18" x14ac:dyDescent="0.25">
      <c r="A1077" s="25" t="s">
        <v>66</v>
      </c>
      <c r="B1077" s="26">
        <v>2014</v>
      </c>
      <c r="C1077" s="74" t="s">
        <v>65</v>
      </c>
      <c r="D1077" s="27">
        <v>0</v>
      </c>
      <c r="E1077" s="53">
        <v>47300000</v>
      </c>
      <c r="F1077" s="53">
        <v>47300000</v>
      </c>
      <c r="G1077" s="53">
        <v>3941666.66</v>
      </c>
      <c r="H1077" s="53">
        <v>3941666.66</v>
      </c>
      <c r="I1077" s="53">
        <v>3941666.66</v>
      </c>
      <c r="J1077" s="53">
        <v>0</v>
      </c>
      <c r="K1077" s="53">
        <v>7883333.3200000003</v>
      </c>
      <c r="L1077" s="53">
        <v>3941666.66</v>
      </c>
      <c r="M1077" s="53">
        <v>3941666.66</v>
      </c>
      <c r="N1077" s="53">
        <v>3941666.66</v>
      </c>
      <c r="O1077" s="53">
        <v>3941666.66</v>
      </c>
      <c r="P1077" s="53">
        <v>3941666.66</v>
      </c>
      <c r="Q1077" s="53">
        <v>3941666.66</v>
      </c>
      <c r="R1077" s="53">
        <v>3941666.74</v>
      </c>
    </row>
    <row r="1078" spans="1:18" x14ac:dyDescent="0.25">
      <c r="A1078" s="25" t="s">
        <v>64</v>
      </c>
      <c r="B1078" s="26">
        <v>2014</v>
      </c>
      <c r="C1078" s="74" t="s">
        <v>63</v>
      </c>
      <c r="D1078" s="27">
        <v>0</v>
      </c>
      <c r="E1078" s="53">
        <v>401300000</v>
      </c>
      <c r="F1078" s="53">
        <v>401300000</v>
      </c>
      <c r="G1078" s="53">
        <v>0</v>
      </c>
      <c r="H1078" s="53">
        <v>0</v>
      </c>
      <c r="I1078" s="53">
        <v>0</v>
      </c>
      <c r="J1078" s="53">
        <v>0</v>
      </c>
      <c r="K1078" s="53">
        <v>0</v>
      </c>
      <c r="L1078" s="53">
        <v>0</v>
      </c>
      <c r="M1078" s="53">
        <v>0</v>
      </c>
      <c r="N1078" s="53">
        <v>0</v>
      </c>
      <c r="O1078" s="53">
        <v>0</v>
      </c>
      <c r="P1078" s="53">
        <v>0</v>
      </c>
      <c r="Q1078" s="53">
        <v>0</v>
      </c>
      <c r="R1078" s="53">
        <v>401300000</v>
      </c>
    </row>
    <row r="1079" spans="1:18" x14ac:dyDescent="0.25">
      <c r="A1079" s="25" t="s">
        <v>62</v>
      </c>
      <c r="B1079" s="26">
        <v>2014</v>
      </c>
      <c r="C1079" s="74" t="s">
        <v>61</v>
      </c>
      <c r="D1079" s="27">
        <v>0</v>
      </c>
      <c r="E1079" s="53">
        <v>16000000</v>
      </c>
      <c r="F1079" s="53">
        <v>16000000</v>
      </c>
      <c r="G1079" s="53">
        <v>0</v>
      </c>
      <c r="H1079" s="53">
        <v>0</v>
      </c>
      <c r="I1079" s="53">
        <v>0</v>
      </c>
      <c r="J1079" s="53">
        <v>0</v>
      </c>
      <c r="K1079" s="53">
        <v>0</v>
      </c>
      <c r="L1079" s="53">
        <v>0</v>
      </c>
      <c r="M1079" s="53">
        <v>0</v>
      </c>
      <c r="N1079" s="53">
        <v>0</v>
      </c>
      <c r="O1079" s="53">
        <v>0</v>
      </c>
      <c r="P1079" s="53">
        <v>0</v>
      </c>
      <c r="Q1079" s="53">
        <v>0</v>
      </c>
      <c r="R1079" s="53">
        <v>0</v>
      </c>
    </row>
    <row r="1080" spans="1:18" x14ac:dyDescent="0.25">
      <c r="A1080" s="25" t="s">
        <v>60</v>
      </c>
      <c r="B1080" s="26">
        <v>2014</v>
      </c>
      <c r="C1080" s="74" t="s">
        <v>59</v>
      </c>
      <c r="D1080" s="27">
        <v>0</v>
      </c>
      <c r="E1080" s="53">
        <v>6800000</v>
      </c>
      <c r="F1080" s="53">
        <v>6800000</v>
      </c>
      <c r="G1080" s="53">
        <v>0</v>
      </c>
      <c r="H1080" s="53">
        <v>0</v>
      </c>
      <c r="I1080" s="53">
        <v>0</v>
      </c>
      <c r="J1080" s="53">
        <v>6800000</v>
      </c>
      <c r="K1080" s="53">
        <v>0</v>
      </c>
      <c r="L1080" s="53">
        <v>0</v>
      </c>
      <c r="M1080" s="53">
        <v>0</v>
      </c>
      <c r="N1080" s="53">
        <v>0</v>
      </c>
      <c r="O1080" s="53">
        <v>0</v>
      </c>
      <c r="P1080" s="53">
        <v>0</v>
      </c>
      <c r="Q1080" s="53">
        <v>0</v>
      </c>
      <c r="R1080" s="53">
        <v>0</v>
      </c>
    </row>
    <row r="1081" spans="1:18" x14ac:dyDescent="0.25">
      <c r="A1081" s="25" t="s">
        <v>441</v>
      </c>
      <c r="B1081" s="26">
        <v>2014</v>
      </c>
      <c r="C1081" s="74" t="s">
        <v>440</v>
      </c>
      <c r="D1081" s="27">
        <v>0</v>
      </c>
      <c r="E1081" s="53">
        <v>0</v>
      </c>
      <c r="F1081" s="53">
        <v>0</v>
      </c>
      <c r="G1081" s="53">
        <v>0</v>
      </c>
      <c r="H1081" s="53">
        <v>0</v>
      </c>
      <c r="I1081" s="53">
        <v>0</v>
      </c>
      <c r="J1081" s="53">
        <v>0</v>
      </c>
      <c r="K1081" s="53">
        <v>0</v>
      </c>
      <c r="L1081" s="53">
        <v>0</v>
      </c>
      <c r="M1081" s="53">
        <v>0</v>
      </c>
      <c r="N1081" s="53">
        <v>0</v>
      </c>
      <c r="O1081" s="53">
        <v>0</v>
      </c>
      <c r="P1081" s="53">
        <v>0</v>
      </c>
      <c r="Q1081" s="53">
        <v>1268218.2</v>
      </c>
      <c r="R1081" s="53">
        <v>0</v>
      </c>
    </row>
    <row r="1082" spans="1:18" x14ac:dyDescent="0.25">
      <c r="A1082" s="25" t="s">
        <v>439</v>
      </c>
      <c r="B1082" s="26">
        <v>2014</v>
      </c>
      <c r="C1082" s="74" t="s">
        <v>438</v>
      </c>
      <c r="D1082" s="27">
        <v>0</v>
      </c>
      <c r="E1082" s="53">
        <v>0</v>
      </c>
      <c r="F1082" s="53">
        <v>0</v>
      </c>
      <c r="G1082" s="53">
        <v>0</v>
      </c>
      <c r="H1082" s="53">
        <v>0</v>
      </c>
      <c r="I1082" s="53">
        <v>0</v>
      </c>
      <c r="J1082" s="53">
        <v>0</v>
      </c>
      <c r="K1082" s="53">
        <v>0</v>
      </c>
      <c r="L1082" s="53">
        <v>0</v>
      </c>
      <c r="M1082" s="53">
        <v>0</v>
      </c>
      <c r="N1082" s="53">
        <v>0</v>
      </c>
      <c r="O1082" s="53">
        <v>0</v>
      </c>
      <c r="P1082" s="53">
        <v>0</v>
      </c>
      <c r="Q1082" s="53">
        <v>2037132.69</v>
      </c>
      <c r="R1082" s="53">
        <v>0</v>
      </c>
    </row>
    <row r="1083" spans="1:18" x14ac:dyDescent="0.25">
      <c r="A1083" s="25" t="s">
        <v>370</v>
      </c>
      <c r="B1083" s="26">
        <v>2014</v>
      </c>
      <c r="C1083" s="74" t="s">
        <v>424</v>
      </c>
      <c r="D1083" s="27">
        <v>0</v>
      </c>
      <c r="E1083" s="53">
        <v>2842000000</v>
      </c>
      <c r="F1083" s="53">
        <v>2842000000</v>
      </c>
      <c r="G1083" s="53">
        <v>0</v>
      </c>
      <c r="H1083" s="53">
        <v>0</v>
      </c>
      <c r="I1083" s="53">
        <v>0</v>
      </c>
      <c r="J1083" s="53">
        <v>0</v>
      </c>
      <c r="K1083" s="53">
        <v>0</v>
      </c>
      <c r="L1083" s="53">
        <v>3030687360</v>
      </c>
      <c r="M1083" s="53">
        <v>0</v>
      </c>
      <c r="N1083" s="53">
        <v>0</v>
      </c>
      <c r="O1083" s="53">
        <v>0</v>
      </c>
      <c r="P1083" s="53">
        <v>0</v>
      </c>
      <c r="Q1083" s="53">
        <v>0</v>
      </c>
      <c r="R1083" s="53">
        <v>0</v>
      </c>
    </row>
    <row r="1084" spans="1:18" x14ac:dyDescent="0.25">
      <c r="A1084" s="25" t="s">
        <v>368</v>
      </c>
      <c r="B1084" s="26">
        <v>2014</v>
      </c>
      <c r="C1084" s="74" t="s">
        <v>437</v>
      </c>
      <c r="D1084" s="27">
        <v>0</v>
      </c>
      <c r="E1084" s="53">
        <v>780500000</v>
      </c>
      <c r="F1084" s="53">
        <v>780500000</v>
      </c>
      <c r="G1084" s="53">
        <v>0</v>
      </c>
      <c r="H1084" s="53">
        <v>0</v>
      </c>
      <c r="I1084" s="53">
        <v>0</v>
      </c>
      <c r="J1084" s="53">
        <v>0</v>
      </c>
      <c r="K1084" s="53">
        <v>0</v>
      </c>
      <c r="L1084" s="53">
        <v>0</v>
      </c>
      <c r="M1084" s="53">
        <v>780500000</v>
      </c>
      <c r="N1084" s="53">
        <v>0</v>
      </c>
      <c r="O1084" s="53">
        <v>0</v>
      </c>
      <c r="P1084" s="53">
        <v>0</v>
      </c>
      <c r="Q1084" s="53">
        <v>0</v>
      </c>
      <c r="R1084" s="53">
        <v>0</v>
      </c>
    </row>
    <row r="1085" spans="1:18" x14ac:dyDescent="0.25">
      <c r="A1085" s="25" t="s">
        <v>423</v>
      </c>
      <c r="B1085" s="26">
        <v>2014</v>
      </c>
      <c r="C1085" s="74" t="s">
        <v>422</v>
      </c>
      <c r="D1085" s="27">
        <v>0</v>
      </c>
      <c r="E1085" s="53">
        <v>0</v>
      </c>
      <c r="F1085" s="53">
        <v>0</v>
      </c>
      <c r="G1085" s="53">
        <v>0</v>
      </c>
      <c r="H1085" s="53">
        <v>0</v>
      </c>
      <c r="I1085" s="53">
        <v>0</v>
      </c>
      <c r="J1085" s="53">
        <v>0</v>
      </c>
      <c r="K1085" s="53">
        <v>0</v>
      </c>
      <c r="L1085" s="53">
        <v>0</v>
      </c>
      <c r="M1085" s="53">
        <v>0</v>
      </c>
      <c r="N1085" s="53">
        <v>0</v>
      </c>
      <c r="O1085" s="53">
        <v>0</v>
      </c>
      <c r="P1085" s="53">
        <v>0</v>
      </c>
      <c r="Q1085" s="53">
        <v>0</v>
      </c>
      <c r="R1085" s="53">
        <v>816016014.49000001</v>
      </c>
    </row>
    <row r="1086" spans="1:18" x14ac:dyDescent="0.25">
      <c r="A1086" s="25" t="s">
        <v>421</v>
      </c>
      <c r="B1086" s="26">
        <v>2014</v>
      </c>
      <c r="C1086" s="74" t="s">
        <v>420</v>
      </c>
      <c r="D1086" s="27">
        <v>0</v>
      </c>
      <c r="E1086" s="53">
        <v>864367358.14999998</v>
      </c>
      <c r="F1086" s="53">
        <v>864367358.14999998</v>
      </c>
      <c r="G1086" s="53">
        <v>0</v>
      </c>
      <c r="H1086" s="53">
        <v>0</v>
      </c>
      <c r="I1086" s="53">
        <v>0</v>
      </c>
      <c r="J1086" s="53">
        <v>0</v>
      </c>
      <c r="K1086" s="53">
        <v>0</v>
      </c>
      <c r="L1086" s="53">
        <v>0</v>
      </c>
      <c r="M1086" s="53">
        <v>0</v>
      </c>
      <c r="N1086" s="53">
        <v>0</v>
      </c>
      <c r="O1086" s="53">
        <v>620732858.13999999</v>
      </c>
      <c r="P1086" s="53">
        <v>0</v>
      </c>
      <c r="Q1086" s="53">
        <v>0</v>
      </c>
      <c r="R1086" s="53">
        <v>242797500</v>
      </c>
    </row>
    <row r="1087" spans="1:18" x14ac:dyDescent="0.25">
      <c r="A1087" s="25" t="s">
        <v>49</v>
      </c>
      <c r="B1087" s="26">
        <v>2014</v>
      </c>
      <c r="C1087" s="74" t="s">
        <v>48</v>
      </c>
      <c r="D1087" s="27">
        <v>0</v>
      </c>
      <c r="E1087" s="53">
        <v>608194000000</v>
      </c>
      <c r="F1087" s="53">
        <v>608194000000</v>
      </c>
      <c r="G1087" s="53">
        <v>59792025.079999998</v>
      </c>
      <c r="H1087" s="53">
        <v>17377986299.700001</v>
      </c>
      <c r="I1087" s="53">
        <v>17580396549.209999</v>
      </c>
      <c r="J1087" s="53">
        <v>16648589492.469999</v>
      </c>
      <c r="K1087" s="53">
        <v>4637661035.75</v>
      </c>
      <c r="L1087" s="53">
        <v>23819738911.080002</v>
      </c>
      <c r="M1087" s="53">
        <v>15357180480.93</v>
      </c>
      <c r="N1087" s="53">
        <v>27484181331.599998</v>
      </c>
      <c r="O1087" s="53">
        <v>22414689152.560001</v>
      </c>
      <c r="P1087" s="53">
        <v>48463658278.279999</v>
      </c>
      <c r="Q1087" s="53">
        <v>45419306333.019997</v>
      </c>
      <c r="R1087" s="53">
        <v>195492963546.79999</v>
      </c>
    </row>
    <row r="1088" spans="1:18" x14ac:dyDescent="0.25">
      <c r="A1088" s="25" t="s">
        <v>43</v>
      </c>
      <c r="B1088" s="26">
        <v>2014</v>
      </c>
      <c r="C1088" s="74" t="s">
        <v>42</v>
      </c>
      <c r="D1088" s="27">
        <v>0</v>
      </c>
      <c r="E1088" s="53">
        <v>1691604532054.52</v>
      </c>
      <c r="F1088" s="53">
        <v>1691604532054.52</v>
      </c>
      <c r="G1088" s="53">
        <v>108474214330.7</v>
      </c>
      <c r="H1088" s="53">
        <v>75445876165.369995</v>
      </c>
      <c r="I1088" s="53">
        <v>208222228491.59</v>
      </c>
      <c r="J1088" s="53">
        <v>81067998280</v>
      </c>
      <c r="K1088" s="53">
        <v>108299217526</v>
      </c>
      <c r="L1088" s="53">
        <v>83110248520</v>
      </c>
      <c r="M1088" s="53">
        <v>102355706696.64999</v>
      </c>
      <c r="N1088" s="53">
        <v>92451994909.210007</v>
      </c>
      <c r="O1088" s="53">
        <v>95536858150.960007</v>
      </c>
      <c r="P1088" s="53">
        <v>136713328949.78999</v>
      </c>
      <c r="Q1088" s="53">
        <v>111820482071.49001</v>
      </c>
      <c r="R1088" s="53">
        <v>128947038720.12</v>
      </c>
    </row>
    <row r="1089" spans="1:18" x14ac:dyDescent="0.25">
      <c r="A1089" s="25" t="s">
        <v>45</v>
      </c>
      <c r="B1089" s="26">
        <v>2014</v>
      </c>
      <c r="C1089" s="74" t="s">
        <v>44</v>
      </c>
      <c r="D1089" s="27">
        <v>0</v>
      </c>
      <c r="E1089" s="53">
        <v>10000000000</v>
      </c>
      <c r="F1089" s="53">
        <v>10000000000</v>
      </c>
      <c r="G1089" s="53">
        <v>0</v>
      </c>
      <c r="H1089" s="53">
        <v>0</v>
      </c>
      <c r="I1089" s="53">
        <v>0</v>
      </c>
      <c r="J1089" s="53">
        <v>0</v>
      </c>
      <c r="K1089" s="53">
        <v>0</v>
      </c>
      <c r="L1089" s="53">
        <v>0</v>
      </c>
      <c r="M1089" s="53">
        <v>0</v>
      </c>
      <c r="N1089" s="53">
        <v>0</v>
      </c>
      <c r="O1089" s="53">
        <v>0</v>
      </c>
      <c r="P1089" s="53">
        <v>0</v>
      </c>
      <c r="Q1089" s="53">
        <v>0</v>
      </c>
      <c r="R1089" s="53">
        <v>0</v>
      </c>
    </row>
    <row r="1090" spans="1:18" x14ac:dyDescent="0.25">
      <c r="A1090" s="25" t="s">
        <v>41</v>
      </c>
      <c r="B1090" s="26">
        <v>2014</v>
      </c>
      <c r="C1090" s="74" t="s">
        <v>40</v>
      </c>
      <c r="D1090" s="27">
        <v>0</v>
      </c>
      <c r="E1090" s="54">
        <v>17944056039.5</v>
      </c>
      <c r="F1090" s="53">
        <v>5800431919.9499998</v>
      </c>
      <c r="G1090" s="53">
        <v>0</v>
      </c>
      <c r="H1090" s="53">
        <v>423512000</v>
      </c>
      <c r="I1090" s="53">
        <v>0</v>
      </c>
      <c r="J1090" s="53">
        <v>0</v>
      </c>
      <c r="K1090" s="53">
        <v>1216106939.8</v>
      </c>
      <c r="L1090" s="53">
        <v>1353897244.2</v>
      </c>
      <c r="M1090" s="53">
        <v>0</v>
      </c>
      <c r="N1090" s="53">
        <v>0</v>
      </c>
      <c r="O1090" s="53">
        <v>1186092750</v>
      </c>
      <c r="P1090" s="53">
        <v>0</v>
      </c>
      <c r="Q1090" s="53">
        <v>0</v>
      </c>
      <c r="R1090" s="53">
        <v>1620822985.95</v>
      </c>
    </row>
    <row r="1091" spans="1:18" x14ac:dyDescent="0.25">
      <c r="A1091" s="25" t="s">
        <v>419</v>
      </c>
      <c r="B1091" s="26">
        <v>2014</v>
      </c>
      <c r="C1091" s="74" t="s">
        <v>418</v>
      </c>
      <c r="D1091" s="27">
        <v>0</v>
      </c>
      <c r="E1091" s="54">
        <v>2391192415.1399999</v>
      </c>
      <c r="F1091" s="53">
        <v>425353675.57999998</v>
      </c>
      <c r="G1091" s="53">
        <v>0</v>
      </c>
      <c r="H1091" s="53">
        <v>0</v>
      </c>
      <c r="I1091" s="53">
        <v>425353675.57999998</v>
      </c>
      <c r="J1091" s="53">
        <v>0</v>
      </c>
      <c r="K1091" s="53">
        <v>0</v>
      </c>
      <c r="L1091" s="53">
        <v>0</v>
      </c>
      <c r="M1091" s="53">
        <v>0</v>
      </c>
      <c r="N1091" s="53">
        <v>0</v>
      </c>
      <c r="O1091" s="53">
        <v>0</v>
      </c>
      <c r="P1091" s="53">
        <v>0</v>
      </c>
      <c r="Q1091" s="53">
        <v>0</v>
      </c>
      <c r="R1091" s="53">
        <v>0</v>
      </c>
    </row>
    <row r="1092" spans="1:18" x14ac:dyDescent="0.25">
      <c r="A1092" s="25" t="s">
        <v>37</v>
      </c>
      <c r="B1092" s="26">
        <v>2014</v>
      </c>
      <c r="C1092" s="74" t="s">
        <v>36</v>
      </c>
      <c r="D1092" s="27">
        <v>0</v>
      </c>
      <c r="E1092" s="54">
        <v>3487236156.7999997</v>
      </c>
      <c r="F1092" s="53">
        <v>1701985092.74</v>
      </c>
      <c r="G1092" s="53">
        <v>0</v>
      </c>
      <c r="H1092" s="53">
        <v>277673080.24000001</v>
      </c>
      <c r="I1092" s="53">
        <v>162538335.11000001</v>
      </c>
      <c r="J1092" s="53">
        <v>52507245.469999999</v>
      </c>
      <c r="K1092" s="53">
        <v>218624759.36000001</v>
      </c>
      <c r="L1092" s="53">
        <v>55785343.280000001</v>
      </c>
      <c r="M1092" s="53">
        <v>91714181.530000001</v>
      </c>
      <c r="N1092" s="53">
        <v>108091841.73</v>
      </c>
      <c r="O1092" s="53">
        <v>70952417.420000002</v>
      </c>
      <c r="P1092" s="53">
        <v>160738330.94</v>
      </c>
      <c r="Q1092" s="53">
        <v>230590986.12</v>
      </c>
      <c r="R1092" s="53">
        <v>272768571.54000002</v>
      </c>
    </row>
    <row r="1093" spans="1:18" x14ac:dyDescent="0.25">
      <c r="A1093" s="25" t="s">
        <v>35</v>
      </c>
      <c r="B1093" s="26">
        <v>2014</v>
      </c>
      <c r="C1093" s="74" t="s">
        <v>34</v>
      </c>
      <c r="D1093" s="27">
        <v>0</v>
      </c>
      <c r="E1093" s="54">
        <v>121214080000</v>
      </c>
      <c r="F1093" s="53">
        <v>45294410000</v>
      </c>
      <c r="G1093" s="53">
        <v>0</v>
      </c>
      <c r="H1093" s="53">
        <v>16817410000</v>
      </c>
      <c r="I1093" s="53">
        <v>0</v>
      </c>
      <c r="J1093" s="53">
        <v>0</v>
      </c>
      <c r="K1093" s="53">
        <v>8398200000</v>
      </c>
      <c r="L1093" s="53">
        <v>0</v>
      </c>
      <c r="M1093" s="53">
        <v>6526800000</v>
      </c>
      <c r="N1093" s="53">
        <v>0</v>
      </c>
      <c r="O1093" s="53">
        <v>0</v>
      </c>
      <c r="P1093" s="53">
        <v>0</v>
      </c>
      <c r="Q1093" s="53">
        <v>8153400000</v>
      </c>
      <c r="R1093" s="53">
        <v>5398600000</v>
      </c>
    </row>
    <row r="1094" spans="1:18" x14ac:dyDescent="0.25">
      <c r="A1094" s="25" t="s">
        <v>33</v>
      </c>
      <c r="B1094" s="26">
        <v>2014</v>
      </c>
      <c r="C1094" s="74" t="s">
        <v>32</v>
      </c>
      <c r="D1094" s="27">
        <v>0</v>
      </c>
      <c r="E1094" s="54">
        <v>30303437660.799999</v>
      </c>
      <c r="F1094" s="53">
        <v>2449331312.0100002</v>
      </c>
      <c r="G1094" s="53">
        <v>0</v>
      </c>
      <c r="H1094" s="53">
        <v>19733234.079999998</v>
      </c>
      <c r="I1094" s="53">
        <v>42825382.43</v>
      </c>
      <c r="J1094" s="53">
        <v>123066796.45</v>
      </c>
      <c r="K1094" s="53">
        <v>135947253.11000001</v>
      </c>
      <c r="L1094" s="53">
        <v>58200908.030000001</v>
      </c>
      <c r="M1094" s="53">
        <v>147372590.62</v>
      </c>
      <c r="N1094" s="53">
        <v>172721965.75</v>
      </c>
      <c r="O1094" s="53">
        <v>427344615.75999999</v>
      </c>
      <c r="P1094" s="53">
        <v>189536763.75</v>
      </c>
      <c r="Q1094" s="53">
        <v>355256833.60000002</v>
      </c>
      <c r="R1094" s="53">
        <v>777324968.42999995</v>
      </c>
    </row>
    <row r="1095" spans="1:18" x14ac:dyDescent="0.25">
      <c r="A1095" s="25" t="s">
        <v>31</v>
      </c>
      <c r="B1095" s="26">
        <v>2014</v>
      </c>
      <c r="C1095" s="74" t="s">
        <v>30</v>
      </c>
      <c r="D1095" s="27">
        <v>0</v>
      </c>
      <c r="E1095" s="54">
        <v>9385595000</v>
      </c>
      <c r="F1095" s="53">
        <v>1069994460</v>
      </c>
      <c r="G1095" s="53">
        <v>0</v>
      </c>
      <c r="H1095" s="53">
        <v>0</v>
      </c>
      <c r="I1095" s="53">
        <v>0</v>
      </c>
      <c r="J1095" s="53">
        <v>0</v>
      </c>
      <c r="K1095" s="53">
        <v>0</v>
      </c>
      <c r="L1095" s="53">
        <v>250000000</v>
      </c>
      <c r="M1095" s="53">
        <v>275000000</v>
      </c>
      <c r="N1095" s="53">
        <v>0</v>
      </c>
      <c r="O1095" s="53">
        <v>544994460</v>
      </c>
      <c r="P1095" s="53">
        <v>0</v>
      </c>
      <c r="Q1095" s="53">
        <v>0</v>
      </c>
      <c r="R1095" s="53">
        <v>0</v>
      </c>
    </row>
    <row r="1096" spans="1:18" x14ac:dyDescent="0.25">
      <c r="A1096" s="25" t="s">
        <v>29</v>
      </c>
      <c r="B1096" s="26">
        <v>2014</v>
      </c>
      <c r="C1096" s="74" t="s">
        <v>28</v>
      </c>
      <c r="D1096" s="27">
        <v>0</v>
      </c>
      <c r="E1096" s="54">
        <v>66255670394.439995</v>
      </c>
      <c r="F1096" s="53">
        <v>5284800000</v>
      </c>
      <c r="G1096" s="53">
        <v>0</v>
      </c>
      <c r="H1096" s="53">
        <v>5284800000</v>
      </c>
      <c r="I1096" s="53">
        <v>0</v>
      </c>
      <c r="J1096" s="53">
        <v>0</v>
      </c>
      <c r="K1096" s="53">
        <v>0</v>
      </c>
      <c r="L1096" s="53">
        <v>0</v>
      </c>
      <c r="M1096" s="53">
        <v>0</v>
      </c>
      <c r="N1096" s="53">
        <v>0</v>
      </c>
      <c r="O1096" s="53">
        <v>0</v>
      </c>
      <c r="P1096" s="53">
        <v>0</v>
      </c>
      <c r="Q1096" s="53">
        <v>0</v>
      </c>
      <c r="R1096" s="53">
        <v>0</v>
      </c>
    </row>
    <row r="1097" spans="1:18" x14ac:dyDescent="0.25">
      <c r="A1097" s="25" t="s">
        <v>27</v>
      </c>
      <c r="B1097" s="26">
        <v>2014</v>
      </c>
      <c r="C1097" s="74" t="s">
        <v>26</v>
      </c>
      <c r="D1097" s="27">
        <v>0</v>
      </c>
      <c r="E1097" s="54">
        <v>19412400000</v>
      </c>
      <c r="F1097" s="53">
        <v>13059301.51</v>
      </c>
      <c r="G1097" s="53">
        <v>0</v>
      </c>
      <c r="H1097" s="53">
        <v>0</v>
      </c>
      <c r="I1097" s="53">
        <v>0</v>
      </c>
      <c r="J1097" s="53">
        <v>0</v>
      </c>
      <c r="K1097" s="53">
        <v>0</v>
      </c>
      <c r="L1097" s="53">
        <v>0</v>
      </c>
      <c r="M1097" s="53">
        <v>0</v>
      </c>
      <c r="N1097" s="53">
        <v>0</v>
      </c>
      <c r="O1097" s="53">
        <v>0</v>
      </c>
      <c r="P1097" s="53">
        <v>3633731.25</v>
      </c>
      <c r="Q1097" s="53">
        <v>3771942.5</v>
      </c>
      <c r="R1097" s="53">
        <v>5653627.7599999998</v>
      </c>
    </row>
    <row r="1098" spans="1:18" x14ac:dyDescent="0.25">
      <c r="A1098" s="25" t="s">
        <v>383</v>
      </c>
      <c r="B1098" s="26">
        <v>2014</v>
      </c>
      <c r="C1098" s="74" t="s">
        <v>382</v>
      </c>
      <c r="D1098" s="27">
        <v>0</v>
      </c>
      <c r="E1098" s="54">
        <v>2762791897.2600002</v>
      </c>
      <c r="F1098" s="53">
        <v>86286859.739999995</v>
      </c>
      <c r="G1098" s="53">
        <v>0</v>
      </c>
      <c r="H1098" s="53">
        <v>0</v>
      </c>
      <c r="I1098" s="53">
        <v>86286859.739999995</v>
      </c>
      <c r="J1098" s="53">
        <v>0</v>
      </c>
      <c r="K1098" s="53">
        <v>0</v>
      </c>
      <c r="L1098" s="53">
        <v>0</v>
      </c>
      <c r="M1098" s="53">
        <v>0</v>
      </c>
      <c r="N1098" s="53">
        <v>0</v>
      </c>
      <c r="O1098" s="53">
        <v>0</v>
      </c>
      <c r="P1098" s="53">
        <v>0</v>
      </c>
      <c r="Q1098" s="53">
        <v>0</v>
      </c>
      <c r="R1098" s="53">
        <v>0</v>
      </c>
    </row>
    <row r="1099" spans="1:18" x14ac:dyDescent="0.25">
      <c r="A1099" s="25" t="s">
        <v>381</v>
      </c>
      <c r="B1099" s="26">
        <v>2014</v>
      </c>
      <c r="C1099" s="74" t="s">
        <v>380</v>
      </c>
      <c r="D1099" s="27">
        <v>0</v>
      </c>
      <c r="E1099" s="54">
        <v>2513427437.46</v>
      </c>
      <c r="F1099" s="53">
        <v>1257503530</v>
      </c>
      <c r="G1099" s="53">
        <v>0</v>
      </c>
      <c r="H1099" s="53">
        <v>0</v>
      </c>
      <c r="I1099" s="53">
        <v>0</v>
      </c>
      <c r="J1099" s="53">
        <v>0</v>
      </c>
      <c r="K1099" s="53">
        <v>0</v>
      </c>
      <c r="L1099" s="53">
        <v>1257503530</v>
      </c>
      <c r="M1099" s="53">
        <v>0</v>
      </c>
      <c r="N1099" s="53">
        <v>0</v>
      </c>
      <c r="O1099" s="53">
        <v>0</v>
      </c>
      <c r="P1099" s="53">
        <v>0</v>
      </c>
      <c r="Q1099" s="53">
        <v>0</v>
      </c>
      <c r="R1099" s="53">
        <v>0</v>
      </c>
    </row>
    <row r="1100" spans="1:18" x14ac:dyDescent="0.25">
      <c r="A1100" s="25" t="s">
        <v>15</v>
      </c>
      <c r="B1100" s="26">
        <v>2014</v>
      </c>
      <c r="C1100" s="74" t="s">
        <v>14</v>
      </c>
      <c r="D1100" s="27">
        <v>0</v>
      </c>
      <c r="E1100" s="54">
        <v>17485079619.900002</v>
      </c>
      <c r="F1100" s="53">
        <v>0</v>
      </c>
      <c r="G1100" s="53">
        <v>0</v>
      </c>
      <c r="H1100" s="53">
        <v>0</v>
      </c>
      <c r="I1100" s="53">
        <v>0</v>
      </c>
      <c r="J1100" s="53">
        <v>0</v>
      </c>
      <c r="K1100" s="53">
        <v>0</v>
      </c>
      <c r="L1100" s="53">
        <v>0</v>
      </c>
      <c r="M1100" s="53">
        <v>0</v>
      </c>
      <c r="N1100" s="53">
        <v>0</v>
      </c>
      <c r="O1100" s="53">
        <v>0</v>
      </c>
      <c r="P1100" s="53">
        <v>0</v>
      </c>
      <c r="Q1100" s="53">
        <v>0</v>
      </c>
      <c r="R1100" s="53">
        <v>0</v>
      </c>
    </row>
    <row r="1101" spans="1:18" x14ac:dyDescent="0.25">
      <c r="A1101" s="25" t="s">
        <v>417</v>
      </c>
      <c r="B1101" s="26">
        <v>2014</v>
      </c>
      <c r="C1101" s="74" t="s">
        <v>416</v>
      </c>
      <c r="D1101" s="27">
        <v>0</v>
      </c>
      <c r="E1101" s="54">
        <v>39291639287.620003</v>
      </c>
      <c r="F1101" s="53">
        <v>2406477528.75</v>
      </c>
      <c r="G1101" s="53">
        <v>0</v>
      </c>
      <c r="H1101" s="53">
        <v>0</v>
      </c>
      <c r="I1101" s="53">
        <v>2406477528.75</v>
      </c>
      <c r="J1101" s="53">
        <v>0</v>
      </c>
      <c r="K1101" s="53">
        <v>0</v>
      </c>
      <c r="L1101" s="53">
        <v>0</v>
      </c>
      <c r="M1101" s="53">
        <v>0</v>
      </c>
      <c r="N1101" s="53">
        <v>0</v>
      </c>
      <c r="O1101" s="53">
        <v>0</v>
      </c>
      <c r="P1101" s="53">
        <v>0</v>
      </c>
      <c r="Q1101" s="53">
        <v>0</v>
      </c>
      <c r="R1101" s="53">
        <v>0</v>
      </c>
    </row>
    <row r="1102" spans="1:18" x14ac:dyDescent="0.25">
      <c r="A1102" s="25" t="s">
        <v>13</v>
      </c>
      <c r="B1102" s="26">
        <v>2014</v>
      </c>
      <c r="C1102" s="74" t="s">
        <v>11</v>
      </c>
      <c r="D1102" s="27">
        <v>0</v>
      </c>
      <c r="E1102" s="54">
        <v>100052000000</v>
      </c>
      <c r="F1102" s="53">
        <v>6157647579.1700001</v>
      </c>
      <c r="G1102" s="53">
        <v>0</v>
      </c>
      <c r="H1102" s="53">
        <v>0</v>
      </c>
      <c r="I1102" s="53">
        <v>0</v>
      </c>
      <c r="J1102" s="53">
        <v>0</v>
      </c>
      <c r="K1102" s="53">
        <v>710895200</v>
      </c>
      <c r="L1102" s="53">
        <v>0</v>
      </c>
      <c r="M1102" s="53">
        <v>0</v>
      </c>
      <c r="N1102" s="53">
        <v>0</v>
      </c>
      <c r="O1102" s="53">
        <v>0</v>
      </c>
      <c r="P1102" s="53">
        <v>3895298910</v>
      </c>
      <c r="Q1102" s="53">
        <v>0</v>
      </c>
      <c r="R1102" s="53">
        <v>1551453469.1700001</v>
      </c>
    </row>
    <row r="1103" spans="1:18" x14ac:dyDescent="0.25">
      <c r="A1103" s="25" t="s">
        <v>10</v>
      </c>
      <c r="B1103" s="26">
        <v>2014</v>
      </c>
      <c r="C1103" s="74" t="s">
        <v>9</v>
      </c>
      <c r="D1103" s="27">
        <v>0</v>
      </c>
      <c r="E1103" s="54">
        <v>60140981400.93</v>
      </c>
      <c r="F1103" s="53">
        <v>14491627754.16</v>
      </c>
      <c r="G1103" s="53">
        <v>0</v>
      </c>
      <c r="H1103" s="53">
        <v>3510065646.3699999</v>
      </c>
      <c r="I1103" s="53">
        <v>127260006.83</v>
      </c>
      <c r="J1103" s="53">
        <v>1273777193.6700001</v>
      </c>
      <c r="K1103" s="53">
        <v>0</v>
      </c>
      <c r="L1103" s="53">
        <v>427626585.58999997</v>
      </c>
      <c r="M1103" s="53">
        <v>49522967.350000001</v>
      </c>
      <c r="N1103" s="53">
        <v>1055971665.13</v>
      </c>
      <c r="O1103" s="53">
        <v>47901770.840000004</v>
      </c>
      <c r="P1103" s="53">
        <v>1745367151.8499999</v>
      </c>
      <c r="Q1103" s="53">
        <v>2667109250.0100002</v>
      </c>
      <c r="R1103" s="53">
        <v>3587025516.52</v>
      </c>
    </row>
    <row r="1104" spans="1:18" x14ac:dyDescent="0.25">
      <c r="A1104" s="25" t="s">
        <v>8</v>
      </c>
      <c r="B1104" s="26">
        <v>2014</v>
      </c>
      <c r="C1104" s="74" t="s">
        <v>7</v>
      </c>
      <c r="D1104" s="27">
        <v>0</v>
      </c>
      <c r="E1104" s="54">
        <v>27663511611.369999</v>
      </c>
      <c r="F1104" s="53">
        <v>9341641412.5200005</v>
      </c>
      <c r="G1104" s="53">
        <v>0</v>
      </c>
      <c r="H1104" s="53">
        <v>992778552.25</v>
      </c>
      <c r="I1104" s="53">
        <v>210834276.31999999</v>
      </c>
      <c r="J1104" s="53">
        <v>1558628038.74</v>
      </c>
      <c r="K1104" s="53">
        <v>1460865097.8499999</v>
      </c>
      <c r="L1104" s="53">
        <v>1547312385.98</v>
      </c>
      <c r="M1104" s="53">
        <v>426516680.42000002</v>
      </c>
      <c r="N1104" s="53">
        <v>457912601.35000002</v>
      </c>
      <c r="O1104" s="53">
        <v>354265921.44999999</v>
      </c>
      <c r="P1104" s="53">
        <v>0</v>
      </c>
      <c r="Q1104" s="53">
        <v>979158847.25999999</v>
      </c>
      <c r="R1104" s="53">
        <v>1353369010.9000001</v>
      </c>
    </row>
    <row r="1105" spans="1:18" x14ac:dyDescent="0.25">
      <c r="A1105" s="25" t="s">
        <v>3</v>
      </c>
      <c r="B1105" s="26">
        <v>2014</v>
      </c>
      <c r="C1105" s="74" t="s">
        <v>0</v>
      </c>
      <c r="D1105" s="27">
        <v>0</v>
      </c>
      <c r="E1105" s="54">
        <v>1747185666.3599999</v>
      </c>
      <c r="F1105" s="53">
        <v>697862746.87</v>
      </c>
      <c r="G1105" s="53">
        <v>0</v>
      </c>
      <c r="H1105" s="53">
        <v>7551379.9100000001</v>
      </c>
      <c r="I1105" s="53">
        <v>0</v>
      </c>
      <c r="J1105" s="53">
        <v>20662628.559999999</v>
      </c>
      <c r="K1105" s="53">
        <v>157533207.36000001</v>
      </c>
      <c r="L1105" s="53">
        <v>171084666.18000001</v>
      </c>
      <c r="M1105" s="53">
        <v>0</v>
      </c>
      <c r="N1105" s="53">
        <v>0</v>
      </c>
      <c r="O1105" s="53">
        <v>0</v>
      </c>
      <c r="P1105" s="53">
        <v>4870206.68</v>
      </c>
      <c r="Q1105" s="53">
        <v>336160658.18000001</v>
      </c>
      <c r="R1105" s="53">
        <v>0</v>
      </c>
    </row>
    <row r="1106" spans="1:18" x14ac:dyDescent="0.25">
      <c r="A1106" s="25" t="s">
        <v>415</v>
      </c>
      <c r="B1106" s="26">
        <v>2014</v>
      </c>
      <c r="C1106" s="74" t="s">
        <v>414</v>
      </c>
      <c r="D1106" s="27">
        <v>0</v>
      </c>
      <c r="E1106" s="53">
        <v>533954900000</v>
      </c>
      <c r="F1106" s="53">
        <v>533954900000</v>
      </c>
      <c r="G1106" s="53">
        <v>0</v>
      </c>
      <c r="H1106" s="53">
        <v>0</v>
      </c>
      <c r="I1106" s="53">
        <v>0</v>
      </c>
      <c r="J1106" s="53">
        <v>0</v>
      </c>
      <c r="K1106" s="53">
        <v>552090000000</v>
      </c>
      <c r="L1106" s="53">
        <v>0</v>
      </c>
      <c r="M1106" s="53">
        <v>0</v>
      </c>
      <c r="N1106" s="53">
        <v>0</v>
      </c>
      <c r="O1106" s="53">
        <v>0</v>
      </c>
      <c r="P1106" s="53">
        <v>0</v>
      </c>
      <c r="Q1106" s="53">
        <v>0</v>
      </c>
      <c r="R1106" s="53">
        <v>0</v>
      </c>
    </row>
    <row r="1107" spans="1:18" x14ac:dyDescent="0.25">
      <c r="A1107" s="25" t="s">
        <v>436</v>
      </c>
      <c r="B1107" s="26">
        <v>2014</v>
      </c>
      <c r="C1107" s="74" t="s">
        <v>435</v>
      </c>
      <c r="D1107" s="27">
        <v>0</v>
      </c>
      <c r="E1107" s="53">
        <v>17000000</v>
      </c>
      <c r="F1107" s="53">
        <v>17000000</v>
      </c>
      <c r="G1107" s="53">
        <v>17000000</v>
      </c>
      <c r="H1107" s="53">
        <v>0</v>
      </c>
      <c r="I1107" s="53">
        <v>0</v>
      </c>
      <c r="J1107" s="53">
        <v>0</v>
      </c>
      <c r="K1107" s="53">
        <v>0</v>
      </c>
      <c r="L1107" s="53">
        <v>0</v>
      </c>
      <c r="M1107" s="53">
        <v>0</v>
      </c>
      <c r="N1107" s="53">
        <v>0</v>
      </c>
      <c r="O1107" s="53">
        <v>0</v>
      </c>
      <c r="P1107" s="53">
        <v>0</v>
      </c>
      <c r="Q1107" s="53">
        <v>0</v>
      </c>
      <c r="R1107" s="53">
        <v>0</v>
      </c>
    </row>
    <row r="1108" spans="1:18" x14ac:dyDescent="0.25">
      <c r="A1108" s="25" t="s">
        <v>413</v>
      </c>
      <c r="B1108" s="26">
        <v>2014</v>
      </c>
      <c r="C1108" s="74" t="s">
        <v>412</v>
      </c>
      <c r="D1108" s="27">
        <v>0</v>
      </c>
      <c r="E1108" s="53">
        <v>15531480475.23</v>
      </c>
      <c r="F1108" s="53">
        <v>15531480475.23</v>
      </c>
      <c r="G1108" s="53">
        <v>0</v>
      </c>
      <c r="H1108" s="53">
        <v>0</v>
      </c>
      <c r="I1108" s="53">
        <v>0</v>
      </c>
      <c r="J1108" s="53">
        <v>0</v>
      </c>
      <c r="K1108" s="53">
        <v>15531480475.23</v>
      </c>
      <c r="L1108" s="53">
        <v>0</v>
      </c>
      <c r="M1108" s="53">
        <v>0</v>
      </c>
      <c r="N1108" s="53">
        <v>0</v>
      </c>
      <c r="O1108" s="53">
        <v>0</v>
      </c>
      <c r="P1108" s="53">
        <v>0</v>
      </c>
      <c r="Q1108" s="53">
        <v>0</v>
      </c>
      <c r="R1108" s="53">
        <v>0</v>
      </c>
    </row>
    <row r="1109" spans="1:18" x14ac:dyDescent="0.25">
      <c r="A1109" s="25" t="s">
        <v>360</v>
      </c>
      <c r="B1109" s="26">
        <v>2015</v>
      </c>
      <c r="C1109" s="74" t="s">
        <v>359</v>
      </c>
      <c r="D1109" s="27">
        <v>0</v>
      </c>
      <c r="E1109" s="53">
        <v>214000000000</v>
      </c>
      <c r="F1109" s="53">
        <v>214000000000</v>
      </c>
      <c r="G1109" s="53">
        <v>16003956300.309999</v>
      </c>
      <c r="H1109" s="53">
        <v>15529946327.74</v>
      </c>
      <c r="I1109" s="53">
        <v>16214476545.75</v>
      </c>
      <c r="J1109" s="53">
        <v>16511734659.200001</v>
      </c>
      <c r="K1109" s="53">
        <v>16810781192.68</v>
      </c>
      <c r="L1109" s="53">
        <v>20674104745.880001</v>
      </c>
      <c r="M1109" s="53">
        <v>16824142189.799999</v>
      </c>
      <c r="N1109" s="53">
        <v>17094683925.540001</v>
      </c>
      <c r="O1109" s="53">
        <v>17082416539.530001</v>
      </c>
      <c r="P1109" s="53">
        <v>17286922107.299999</v>
      </c>
      <c r="Q1109" s="53">
        <v>19457914688.59</v>
      </c>
      <c r="R1109" s="53">
        <v>17956546103.09</v>
      </c>
    </row>
    <row r="1110" spans="1:18" x14ac:dyDescent="0.25">
      <c r="A1110" s="25" t="s">
        <v>358</v>
      </c>
      <c r="B1110" s="26">
        <v>2015</v>
      </c>
      <c r="C1110" s="74" t="s">
        <v>357</v>
      </c>
      <c r="D1110" s="27">
        <v>0</v>
      </c>
      <c r="E1110" s="53">
        <v>128050000000</v>
      </c>
      <c r="F1110" s="53">
        <v>128050000000</v>
      </c>
      <c r="G1110" s="53">
        <v>11118243753.459999</v>
      </c>
      <c r="H1110" s="53">
        <v>10326077258.92</v>
      </c>
      <c r="I1110" s="53">
        <v>10897325008.809999</v>
      </c>
      <c r="J1110" s="53">
        <v>13690968755.040001</v>
      </c>
      <c r="K1110" s="53">
        <v>10959108049.68</v>
      </c>
      <c r="L1110" s="53">
        <v>10368791432.639999</v>
      </c>
      <c r="M1110" s="53">
        <v>10689614620.940001</v>
      </c>
      <c r="N1110" s="53">
        <v>10360882474.450001</v>
      </c>
      <c r="O1110" s="53">
        <v>9875032918.9300003</v>
      </c>
      <c r="P1110" s="53">
        <v>10766323922.219999</v>
      </c>
      <c r="Q1110" s="53">
        <v>10079425627.440001</v>
      </c>
      <c r="R1110" s="53">
        <v>10817547269.98</v>
      </c>
    </row>
    <row r="1111" spans="1:18" x14ac:dyDescent="0.25">
      <c r="A1111" s="25" t="s">
        <v>356</v>
      </c>
      <c r="B1111" s="26">
        <v>2015</v>
      </c>
      <c r="C1111" s="74" t="s">
        <v>355</v>
      </c>
      <c r="D1111" s="27">
        <v>0</v>
      </c>
      <c r="E1111" s="53">
        <v>40145000000</v>
      </c>
      <c r="F1111" s="53">
        <v>40145000000</v>
      </c>
      <c r="G1111" s="53">
        <v>1447696324</v>
      </c>
      <c r="H1111" s="53">
        <v>1081969457.95</v>
      </c>
      <c r="I1111" s="53">
        <v>3834942609.3600001</v>
      </c>
      <c r="J1111" s="53">
        <v>2325584759.02</v>
      </c>
      <c r="K1111" s="53">
        <v>1116276765.97</v>
      </c>
      <c r="L1111" s="53">
        <v>3686041477.04</v>
      </c>
      <c r="M1111" s="53">
        <v>3079510566.3000002</v>
      </c>
      <c r="N1111" s="53">
        <v>1218862177.24</v>
      </c>
      <c r="O1111" s="53">
        <v>4133776571.6500001</v>
      </c>
      <c r="P1111" s="53">
        <v>3065951135.54</v>
      </c>
      <c r="Q1111" s="53">
        <v>1999233714</v>
      </c>
      <c r="R1111" s="53">
        <v>21854507491.43</v>
      </c>
    </row>
    <row r="1112" spans="1:18" x14ac:dyDescent="0.25">
      <c r="A1112" s="25" t="s">
        <v>353</v>
      </c>
      <c r="B1112" s="26">
        <v>2015</v>
      </c>
      <c r="C1112" s="74" t="s">
        <v>352</v>
      </c>
      <c r="D1112" s="27">
        <v>0</v>
      </c>
      <c r="E1112" s="53">
        <v>78400000000</v>
      </c>
      <c r="F1112" s="53">
        <v>78400000000</v>
      </c>
      <c r="G1112" s="53">
        <v>5918389346.8800001</v>
      </c>
      <c r="H1112" s="53">
        <v>3021035596.1700001</v>
      </c>
      <c r="I1112" s="53">
        <v>18406552342.130001</v>
      </c>
      <c r="J1112" s="53">
        <v>5274360060.1000004</v>
      </c>
      <c r="K1112" s="53">
        <v>4719636372</v>
      </c>
      <c r="L1112" s="53">
        <v>11732622088.360001</v>
      </c>
      <c r="M1112" s="53">
        <v>5924390265.9200001</v>
      </c>
      <c r="N1112" s="53">
        <v>5733063957.0500002</v>
      </c>
      <c r="O1112" s="53">
        <v>12122807773.709999</v>
      </c>
      <c r="P1112" s="53">
        <v>2385678980.9200001</v>
      </c>
      <c r="Q1112" s="53">
        <v>4690415443.0799999</v>
      </c>
      <c r="R1112" s="53">
        <v>10227628690.959999</v>
      </c>
    </row>
    <row r="1113" spans="1:18" x14ac:dyDescent="0.25">
      <c r="A1113" s="25" t="s">
        <v>351</v>
      </c>
      <c r="B1113" s="26">
        <v>2015</v>
      </c>
      <c r="C1113" s="74" t="s">
        <v>350</v>
      </c>
      <c r="D1113" s="27">
        <v>0</v>
      </c>
      <c r="E1113" s="53">
        <v>537850000000</v>
      </c>
      <c r="F1113" s="53">
        <v>537850000000</v>
      </c>
      <c r="G1113" s="53">
        <v>6957122094.4799995</v>
      </c>
      <c r="H1113" s="53">
        <v>8138683753.3800001</v>
      </c>
      <c r="I1113" s="53">
        <v>128476370472.86</v>
      </c>
      <c r="J1113" s="53">
        <v>17581318726.189999</v>
      </c>
      <c r="K1113" s="53">
        <v>7435193566.4399996</v>
      </c>
      <c r="L1113" s="53">
        <v>98182939267.630005</v>
      </c>
      <c r="M1113" s="53">
        <v>26616733568.369999</v>
      </c>
      <c r="N1113" s="53">
        <v>8901255026.8799992</v>
      </c>
      <c r="O1113" s="53">
        <v>97572783723.960007</v>
      </c>
      <c r="P1113" s="53">
        <v>21143006713.060001</v>
      </c>
      <c r="Q1113" s="53">
        <v>12638383820.07</v>
      </c>
      <c r="R1113" s="53">
        <v>136150485514.58</v>
      </c>
    </row>
    <row r="1114" spans="1:18" x14ac:dyDescent="0.25">
      <c r="A1114" s="25" t="s">
        <v>348</v>
      </c>
      <c r="B1114" s="26">
        <v>2015</v>
      </c>
      <c r="C1114" s="74" t="s">
        <v>344</v>
      </c>
      <c r="D1114" s="27">
        <v>0</v>
      </c>
      <c r="E1114" s="53">
        <v>450000000</v>
      </c>
      <c r="F1114" s="53">
        <v>450000000</v>
      </c>
      <c r="G1114" s="53">
        <v>18783186</v>
      </c>
      <c r="H1114" s="53">
        <v>294582413</v>
      </c>
      <c r="I1114" s="53">
        <v>53161418</v>
      </c>
      <c r="J1114" s="53">
        <v>30328910</v>
      </c>
      <c r="K1114" s="53">
        <v>21240059</v>
      </c>
      <c r="L1114" s="53">
        <v>20695616</v>
      </c>
      <c r="M1114" s="53">
        <v>23298280</v>
      </c>
      <c r="N1114" s="53">
        <v>21324302</v>
      </c>
      <c r="O1114" s="53">
        <v>21398466</v>
      </c>
      <c r="P1114" s="53">
        <v>34367487</v>
      </c>
      <c r="Q1114" s="53">
        <v>18307128</v>
      </c>
      <c r="R1114" s="53">
        <v>97769297</v>
      </c>
    </row>
    <row r="1115" spans="1:18" x14ac:dyDescent="0.25">
      <c r="A1115" s="25" t="s">
        <v>347</v>
      </c>
      <c r="B1115" s="26">
        <v>2015</v>
      </c>
      <c r="C1115" s="74" t="s">
        <v>342</v>
      </c>
      <c r="D1115" s="27">
        <v>0</v>
      </c>
      <c r="E1115" s="53">
        <v>32790000000</v>
      </c>
      <c r="F1115" s="53">
        <v>32790000000</v>
      </c>
      <c r="G1115" s="53">
        <v>3696224982.5500002</v>
      </c>
      <c r="H1115" s="53">
        <v>1159747848.8099999</v>
      </c>
      <c r="I1115" s="53">
        <v>2457331547.1199999</v>
      </c>
      <c r="J1115" s="53">
        <v>3227176728.9699998</v>
      </c>
      <c r="K1115" s="53">
        <v>1152211091.75</v>
      </c>
      <c r="L1115" s="53">
        <v>1679601149.26</v>
      </c>
      <c r="M1115" s="53">
        <v>1919952843.1600001</v>
      </c>
      <c r="N1115" s="53">
        <v>1961930903.8599999</v>
      </c>
      <c r="O1115" s="53">
        <v>1194042272.95</v>
      </c>
      <c r="P1115" s="53">
        <v>2205351397.3600001</v>
      </c>
      <c r="Q1115" s="53">
        <v>2625794417.4400001</v>
      </c>
      <c r="R1115" s="53">
        <v>4655425302.3999996</v>
      </c>
    </row>
    <row r="1116" spans="1:18" x14ac:dyDescent="0.25">
      <c r="A1116" s="25" t="s">
        <v>345</v>
      </c>
      <c r="B1116" s="26">
        <v>2015</v>
      </c>
      <c r="C1116" s="74" t="s">
        <v>344</v>
      </c>
      <c r="D1116" s="27">
        <v>0</v>
      </c>
      <c r="E1116" s="53">
        <v>49840000000</v>
      </c>
      <c r="F1116" s="53">
        <v>49840000000</v>
      </c>
      <c r="G1116" s="53">
        <v>4575326106.8100004</v>
      </c>
      <c r="H1116" s="53">
        <v>2566098145.6799998</v>
      </c>
      <c r="I1116" s="53">
        <v>1267525925.1700001</v>
      </c>
      <c r="J1116" s="53">
        <v>5661441934.1400003</v>
      </c>
      <c r="K1116" s="53">
        <v>2648055329.6900001</v>
      </c>
      <c r="L1116" s="53">
        <v>2928657263.54</v>
      </c>
      <c r="M1116" s="53">
        <v>4581681172.7799997</v>
      </c>
      <c r="N1116" s="53">
        <v>2472560061.21</v>
      </c>
      <c r="O1116" s="53">
        <v>1545179262.3699999</v>
      </c>
      <c r="P1116" s="53">
        <v>6843026011.5100002</v>
      </c>
      <c r="Q1116" s="53">
        <v>2587450755.5300002</v>
      </c>
      <c r="R1116" s="53">
        <v>3904056073.5799999</v>
      </c>
    </row>
    <row r="1117" spans="1:18" x14ac:dyDescent="0.25">
      <c r="A1117" s="25" t="s">
        <v>343</v>
      </c>
      <c r="B1117" s="26">
        <v>2015</v>
      </c>
      <c r="C1117" s="74" t="s">
        <v>342</v>
      </c>
      <c r="D1117" s="27">
        <v>0</v>
      </c>
      <c r="E1117" s="53">
        <v>15000000000</v>
      </c>
      <c r="F1117" s="53">
        <v>15000000000</v>
      </c>
      <c r="G1117" s="53">
        <v>1309383545.29</v>
      </c>
      <c r="H1117" s="53">
        <v>1151425044.0599999</v>
      </c>
      <c r="I1117" s="53">
        <v>1052723973.75</v>
      </c>
      <c r="J1117" s="53">
        <v>1004410898.1900001</v>
      </c>
      <c r="K1117" s="53">
        <v>1125227434.6600001</v>
      </c>
      <c r="L1117" s="53">
        <v>1496038815.55</v>
      </c>
      <c r="M1117" s="53">
        <v>1334389067.1800001</v>
      </c>
      <c r="N1117" s="53">
        <v>1374416135.97</v>
      </c>
      <c r="O1117" s="53">
        <v>1339488380.7</v>
      </c>
      <c r="P1117" s="53">
        <v>1640364457.72</v>
      </c>
      <c r="Q1117" s="53">
        <v>1970772865.26</v>
      </c>
      <c r="R1117" s="53">
        <v>1587490388.74</v>
      </c>
    </row>
    <row r="1118" spans="1:18" x14ac:dyDescent="0.25">
      <c r="A1118" s="25" t="s">
        <v>340</v>
      </c>
      <c r="B1118" s="26">
        <v>2015</v>
      </c>
      <c r="C1118" s="74" t="s">
        <v>339</v>
      </c>
      <c r="D1118" s="27">
        <v>0</v>
      </c>
      <c r="E1118" s="53">
        <v>96200000000</v>
      </c>
      <c r="F1118" s="53">
        <v>96200000000</v>
      </c>
      <c r="G1118" s="53">
        <v>11438571159.25</v>
      </c>
      <c r="H1118" s="53">
        <v>6354107017.9499998</v>
      </c>
      <c r="I1118" s="53">
        <v>5733577653.9399996</v>
      </c>
      <c r="J1118" s="53">
        <v>6566573723.3800001</v>
      </c>
      <c r="K1118" s="53">
        <v>6516411289.6499996</v>
      </c>
      <c r="L1118" s="53">
        <v>7207183401.5</v>
      </c>
      <c r="M1118" s="53">
        <v>10041439247.59</v>
      </c>
      <c r="N1118" s="53">
        <v>9186522223.9599991</v>
      </c>
      <c r="O1118" s="53">
        <v>8573317963.0900002</v>
      </c>
      <c r="P1118" s="53">
        <v>10739558242.52</v>
      </c>
      <c r="Q1118" s="53">
        <v>18928265291.310001</v>
      </c>
      <c r="R1118" s="53">
        <v>13273490265.34</v>
      </c>
    </row>
    <row r="1119" spans="1:18" x14ac:dyDescent="0.25">
      <c r="A1119" s="25" t="s">
        <v>338</v>
      </c>
      <c r="B1119" s="26">
        <v>2015</v>
      </c>
      <c r="C1119" s="74" t="s">
        <v>337</v>
      </c>
      <c r="D1119" s="27">
        <v>0</v>
      </c>
      <c r="E1119" s="53">
        <v>275000000</v>
      </c>
      <c r="F1119" s="53">
        <v>275000000</v>
      </c>
      <c r="G1119" s="53">
        <v>0</v>
      </c>
      <c r="H1119" s="53">
        <v>0</v>
      </c>
      <c r="I1119" s="53">
        <v>0</v>
      </c>
      <c r="J1119" s="53">
        <v>0</v>
      </c>
      <c r="K1119" s="53">
        <v>0</v>
      </c>
      <c r="L1119" s="53">
        <v>0</v>
      </c>
      <c r="M1119" s="53">
        <v>0</v>
      </c>
      <c r="N1119" s="53">
        <v>0</v>
      </c>
      <c r="O1119" s="53">
        <v>0</v>
      </c>
      <c r="P1119" s="53">
        <v>0</v>
      </c>
      <c r="Q1119" s="53">
        <v>0</v>
      </c>
      <c r="R1119" s="53">
        <v>0</v>
      </c>
    </row>
    <row r="1120" spans="1:18" x14ac:dyDescent="0.25">
      <c r="A1120" s="25" t="s">
        <v>335</v>
      </c>
      <c r="B1120" s="26">
        <v>2015</v>
      </c>
      <c r="C1120" s="74" t="s">
        <v>334</v>
      </c>
      <c r="D1120" s="27">
        <v>0</v>
      </c>
      <c r="E1120" s="53">
        <v>4000000000</v>
      </c>
      <c r="F1120" s="53">
        <v>4000000000</v>
      </c>
      <c r="G1120" s="53">
        <v>3578134894</v>
      </c>
      <c r="H1120" s="53">
        <v>179145982.31999999</v>
      </c>
      <c r="I1120" s="53">
        <v>51101000</v>
      </c>
      <c r="J1120" s="53">
        <v>28996579</v>
      </c>
      <c r="K1120" s="53">
        <v>31847736</v>
      </c>
      <c r="L1120" s="53">
        <v>6461790</v>
      </c>
      <c r="M1120" s="53">
        <v>8999188</v>
      </c>
      <c r="N1120" s="53">
        <v>23040166</v>
      </c>
      <c r="O1120" s="53">
        <v>49819926</v>
      </c>
      <c r="P1120" s="53">
        <v>22252363</v>
      </c>
      <c r="Q1120" s="53">
        <v>22005763</v>
      </c>
      <c r="R1120" s="53">
        <v>74632336</v>
      </c>
    </row>
    <row r="1121" spans="1:18" x14ac:dyDescent="0.25">
      <c r="A1121" s="25" t="s">
        <v>332</v>
      </c>
      <c r="B1121" s="26">
        <v>2015</v>
      </c>
      <c r="C1121" s="74" t="s">
        <v>331</v>
      </c>
      <c r="D1121" s="27">
        <v>0</v>
      </c>
      <c r="E1121" s="53">
        <v>132000000000</v>
      </c>
      <c r="F1121" s="53">
        <v>132000000000</v>
      </c>
      <c r="G1121" s="53">
        <v>7566216730.5</v>
      </c>
      <c r="H1121" s="53">
        <v>2536982621</v>
      </c>
      <c r="I1121" s="53">
        <v>2261368473</v>
      </c>
      <c r="J1121" s="53">
        <v>2211687404</v>
      </c>
      <c r="K1121" s="53">
        <v>2160759366.0799999</v>
      </c>
      <c r="L1121" s="53">
        <v>1644229148</v>
      </c>
      <c r="M1121" s="53">
        <v>1422020820</v>
      </c>
      <c r="N1121" s="53">
        <v>1226639287</v>
      </c>
      <c r="O1121" s="53">
        <v>951528204.37</v>
      </c>
      <c r="P1121" s="53">
        <v>761934966</v>
      </c>
      <c r="Q1121" s="53">
        <v>669820967</v>
      </c>
      <c r="R1121" s="53">
        <v>122480881420</v>
      </c>
    </row>
    <row r="1122" spans="1:18" x14ac:dyDescent="0.25">
      <c r="A1122" s="25" t="s">
        <v>329</v>
      </c>
      <c r="B1122" s="26">
        <v>2015</v>
      </c>
      <c r="C1122" s="74" t="s">
        <v>328</v>
      </c>
      <c r="D1122" s="27">
        <v>0</v>
      </c>
      <c r="E1122" s="53">
        <v>142000000</v>
      </c>
      <c r="F1122" s="53">
        <v>142000000</v>
      </c>
      <c r="G1122" s="53">
        <v>32798233.379999999</v>
      </c>
      <c r="H1122" s="53">
        <v>3798845</v>
      </c>
      <c r="I1122" s="53">
        <v>10717720</v>
      </c>
      <c r="J1122" s="53">
        <v>2774585</v>
      </c>
      <c r="K1122" s="53">
        <v>2525267</v>
      </c>
      <c r="L1122" s="53">
        <v>4419052</v>
      </c>
      <c r="M1122" s="53">
        <v>2057726</v>
      </c>
      <c r="N1122" s="53">
        <v>1904306</v>
      </c>
      <c r="O1122" s="53">
        <v>1775727</v>
      </c>
      <c r="P1122" s="53">
        <v>1758359</v>
      </c>
      <c r="Q1122" s="53">
        <v>-37024250</v>
      </c>
      <c r="R1122" s="53">
        <v>120599567</v>
      </c>
    </row>
    <row r="1123" spans="1:18" x14ac:dyDescent="0.25">
      <c r="A1123" s="25" t="s">
        <v>325</v>
      </c>
      <c r="B1123" s="26">
        <v>2015</v>
      </c>
      <c r="C1123" s="74" t="s">
        <v>324</v>
      </c>
      <c r="D1123" s="27">
        <v>0</v>
      </c>
      <c r="E1123" s="53">
        <v>245000000</v>
      </c>
      <c r="F1123" s="53">
        <v>245000000</v>
      </c>
      <c r="G1123" s="53">
        <v>7390735.7400000002</v>
      </c>
      <c r="H1123" s="53">
        <v>8111112.29</v>
      </c>
      <c r="I1123" s="53">
        <v>7352902.2199999997</v>
      </c>
      <c r="J1123" s="53">
        <v>32478029.039999999</v>
      </c>
      <c r="K1123" s="53">
        <v>11238880.880000001</v>
      </c>
      <c r="L1123" s="53">
        <v>6665685.9800000004</v>
      </c>
      <c r="M1123" s="53">
        <v>6711680.4699999997</v>
      </c>
      <c r="N1123" s="53">
        <v>6864485.0300000003</v>
      </c>
      <c r="O1123" s="53">
        <v>492459244.97000003</v>
      </c>
      <c r="P1123" s="53">
        <v>10130426.310000001</v>
      </c>
      <c r="Q1123" s="53">
        <v>14182190.24</v>
      </c>
      <c r="R1123" s="53">
        <v>-12759639.5</v>
      </c>
    </row>
    <row r="1124" spans="1:18" x14ac:dyDescent="0.25">
      <c r="A1124" s="25" t="s">
        <v>378</v>
      </c>
      <c r="B1124" s="26">
        <v>2015</v>
      </c>
      <c r="C1124" s="74" t="s">
        <v>411</v>
      </c>
      <c r="D1124" s="27">
        <v>0</v>
      </c>
      <c r="E1124" s="53">
        <v>42000000000</v>
      </c>
      <c r="F1124" s="53">
        <v>42000000000</v>
      </c>
      <c r="G1124" s="53">
        <v>15469389071.43</v>
      </c>
      <c r="H1124" s="53">
        <v>5844882038.8599997</v>
      </c>
      <c r="I1124" s="53">
        <v>2293133088.75</v>
      </c>
      <c r="J1124" s="53">
        <v>1483236489.53</v>
      </c>
      <c r="K1124" s="53">
        <v>1245374840.9300001</v>
      </c>
      <c r="L1124" s="53">
        <v>1159399202.3</v>
      </c>
      <c r="M1124" s="53">
        <v>0</v>
      </c>
      <c r="N1124" s="53">
        <v>-209171.19</v>
      </c>
      <c r="O1124" s="53">
        <v>0</v>
      </c>
      <c r="P1124" s="53">
        <v>3507477711.6199999</v>
      </c>
      <c r="Q1124" s="53">
        <v>740524025.63</v>
      </c>
      <c r="R1124" s="53">
        <v>782708817.07000005</v>
      </c>
    </row>
    <row r="1125" spans="1:18" x14ac:dyDescent="0.25">
      <c r="A1125" s="25" t="s">
        <v>320</v>
      </c>
      <c r="B1125" s="26">
        <v>2015</v>
      </c>
      <c r="C1125" s="74" t="s">
        <v>319</v>
      </c>
      <c r="D1125" s="27">
        <v>0</v>
      </c>
      <c r="E1125" s="53">
        <v>38500000000</v>
      </c>
      <c r="F1125" s="53">
        <v>38500000000</v>
      </c>
      <c r="G1125" s="53">
        <v>2316403163</v>
      </c>
      <c r="H1125" s="53">
        <v>2347144054.2600002</v>
      </c>
      <c r="I1125" s="53">
        <v>2970896580</v>
      </c>
      <c r="J1125" s="53">
        <v>2463674585</v>
      </c>
      <c r="K1125" s="53">
        <v>2778665373</v>
      </c>
      <c r="L1125" s="53">
        <v>3031032286</v>
      </c>
      <c r="M1125" s="53">
        <v>3454817125</v>
      </c>
      <c r="N1125" s="53">
        <v>2652457902</v>
      </c>
      <c r="O1125" s="53">
        <v>2601709339</v>
      </c>
      <c r="P1125" s="53">
        <v>3211602959</v>
      </c>
      <c r="Q1125" s="53">
        <v>2665332997</v>
      </c>
      <c r="R1125" s="53">
        <v>2763862616.8099999</v>
      </c>
    </row>
    <row r="1126" spans="1:18" x14ac:dyDescent="0.25">
      <c r="A1126" s="25" t="s">
        <v>317</v>
      </c>
      <c r="B1126" s="26">
        <v>2015</v>
      </c>
      <c r="C1126" s="74" t="s">
        <v>316</v>
      </c>
      <c r="D1126" s="27">
        <v>0</v>
      </c>
      <c r="E1126" s="53">
        <v>21000000000</v>
      </c>
      <c r="F1126" s="53">
        <v>21000000000</v>
      </c>
      <c r="G1126" s="53">
        <v>1816974653</v>
      </c>
      <c r="H1126" s="53">
        <v>1872678171</v>
      </c>
      <c r="I1126" s="53">
        <v>1962934361</v>
      </c>
      <c r="J1126" s="53">
        <v>1646779741</v>
      </c>
      <c r="K1126" s="53">
        <v>1662525281</v>
      </c>
      <c r="L1126" s="53">
        <v>1849906112</v>
      </c>
      <c r="M1126" s="53">
        <v>1867132556.0999999</v>
      </c>
      <c r="N1126" s="53">
        <v>1753941005</v>
      </c>
      <c r="O1126" s="53">
        <v>1788996555.1600001</v>
      </c>
      <c r="P1126" s="53">
        <v>1718308285</v>
      </c>
      <c r="Q1126" s="53">
        <v>1756686607</v>
      </c>
      <c r="R1126" s="53">
        <v>1302001248</v>
      </c>
    </row>
    <row r="1127" spans="1:18" x14ac:dyDescent="0.25">
      <c r="A1127" s="25" t="s">
        <v>313</v>
      </c>
      <c r="B1127" s="26">
        <v>2015</v>
      </c>
      <c r="C1127" s="74" t="s">
        <v>312</v>
      </c>
      <c r="D1127" s="27">
        <v>0</v>
      </c>
      <c r="E1127" s="53">
        <v>727000000000</v>
      </c>
      <c r="F1127" s="53">
        <v>727000000000</v>
      </c>
      <c r="G1127" s="53">
        <v>68038208543.239998</v>
      </c>
      <c r="H1127" s="53">
        <v>60295090138.010002</v>
      </c>
      <c r="I1127" s="53">
        <v>60302803893.169998</v>
      </c>
      <c r="J1127" s="53">
        <v>55420024625.610001</v>
      </c>
      <c r="K1127" s="53">
        <v>48773091727.309998</v>
      </c>
      <c r="L1127" s="53">
        <v>54532135526.970001</v>
      </c>
      <c r="M1127" s="53">
        <v>55533173423.239998</v>
      </c>
      <c r="N1127" s="53">
        <v>55950899166.760002</v>
      </c>
      <c r="O1127" s="53">
        <v>55560812300.440002</v>
      </c>
      <c r="P1127" s="53">
        <v>54559140858.160004</v>
      </c>
      <c r="Q1127" s="53">
        <v>55470410421.010002</v>
      </c>
      <c r="R1127" s="53">
        <v>76059330553.369995</v>
      </c>
    </row>
    <row r="1128" spans="1:18" x14ac:dyDescent="0.25">
      <c r="A1128" s="25" t="s">
        <v>310</v>
      </c>
      <c r="B1128" s="26">
        <v>2015</v>
      </c>
      <c r="C1128" s="74" t="s">
        <v>309</v>
      </c>
      <c r="D1128" s="27">
        <v>0</v>
      </c>
      <c r="E1128" s="53">
        <v>694000000000</v>
      </c>
      <c r="F1128" s="53">
        <v>694000000000</v>
      </c>
      <c r="G1128" s="53">
        <v>46672701143.050003</v>
      </c>
      <c r="H1128" s="53">
        <v>45620756529.889999</v>
      </c>
      <c r="I1128" s="53">
        <v>53073173753.989998</v>
      </c>
      <c r="J1128" s="53">
        <v>53745854463.339996</v>
      </c>
      <c r="K1128" s="53">
        <v>47203595135.050003</v>
      </c>
      <c r="L1128" s="53">
        <v>52049056710.970001</v>
      </c>
      <c r="M1128" s="53">
        <v>57329668507.059998</v>
      </c>
      <c r="N1128" s="53">
        <v>50273569613.139999</v>
      </c>
      <c r="O1128" s="53">
        <v>52183541342.139999</v>
      </c>
      <c r="P1128" s="53">
        <v>58636545341.839996</v>
      </c>
      <c r="Q1128" s="53">
        <v>64211381999.400002</v>
      </c>
      <c r="R1128" s="53">
        <v>54579870287.400002</v>
      </c>
    </row>
    <row r="1129" spans="1:18" x14ac:dyDescent="0.25">
      <c r="A1129" s="25" t="s">
        <v>306</v>
      </c>
      <c r="B1129" s="26">
        <v>2015</v>
      </c>
      <c r="C1129" s="74" t="s">
        <v>305</v>
      </c>
      <c r="D1129" s="27">
        <v>0</v>
      </c>
      <c r="E1129" s="53">
        <v>25170000000</v>
      </c>
      <c r="F1129" s="53">
        <v>25170000000</v>
      </c>
      <c r="G1129" s="53">
        <v>3008550473.6199999</v>
      </c>
      <c r="H1129" s="53">
        <v>1046191967.71</v>
      </c>
      <c r="I1129" s="53">
        <v>1315289683.53</v>
      </c>
      <c r="J1129" s="53">
        <v>4509711552.6099997</v>
      </c>
      <c r="K1129" s="53">
        <v>1432366529.97</v>
      </c>
      <c r="L1129" s="53">
        <v>747141587.48000002</v>
      </c>
      <c r="M1129" s="53">
        <v>1323788316.72</v>
      </c>
      <c r="N1129" s="53">
        <v>1365611098.4400001</v>
      </c>
      <c r="O1129" s="53">
        <v>1702520991.9300001</v>
      </c>
      <c r="P1129" s="53">
        <v>1585846246.28</v>
      </c>
      <c r="Q1129" s="53">
        <v>1790336371.49</v>
      </c>
      <c r="R1129" s="53">
        <v>1653341910.4400001</v>
      </c>
    </row>
    <row r="1130" spans="1:18" x14ac:dyDescent="0.25">
      <c r="A1130" s="25" t="s">
        <v>303</v>
      </c>
      <c r="B1130" s="26">
        <v>2015</v>
      </c>
      <c r="C1130" s="74" t="s">
        <v>302</v>
      </c>
      <c r="D1130" s="27">
        <v>0</v>
      </c>
      <c r="E1130" s="53">
        <v>190000000000</v>
      </c>
      <c r="F1130" s="53">
        <v>190000000000</v>
      </c>
      <c r="G1130" s="53">
        <v>13527022998.17</v>
      </c>
      <c r="H1130" s="53">
        <v>13618261827.27</v>
      </c>
      <c r="I1130" s="53">
        <v>18386499394.290001</v>
      </c>
      <c r="J1130" s="53">
        <v>17562001253.290001</v>
      </c>
      <c r="K1130" s="53">
        <v>15538992737.33</v>
      </c>
      <c r="L1130" s="53">
        <v>15836909292.66</v>
      </c>
      <c r="M1130" s="53">
        <v>18106132671.57</v>
      </c>
      <c r="N1130" s="53">
        <v>15464234661.790001</v>
      </c>
      <c r="O1130" s="53">
        <v>15040367679.969999</v>
      </c>
      <c r="P1130" s="53">
        <v>19331252514.119999</v>
      </c>
      <c r="Q1130" s="53">
        <v>22867128418.220001</v>
      </c>
      <c r="R1130" s="53">
        <v>17830467334</v>
      </c>
    </row>
    <row r="1131" spans="1:18" x14ac:dyDescent="0.25">
      <c r="A1131" s="25" t="s">
        <v>298</v>
      </c>
      <c r="B1131" s="26">
        <v>2015</v>
      </c>
      <c r="C1131" s="74" t="s">
        <v>281</v>
      </c>
      <c r="D1131" s="27">
        <v>0</v>
      </c>
      <c r="E1131" s="53">
        <v>244750000000</v>
      </c>
      <c r="F1131" s="53">
        <v>244750000000</v>
      </c>
      <c r="G1131" s="53">
        <v>22273085099</v>
      </c>
      <c r="H1131" s="53">
        <v>26847531679</v>
      </c>
      <c r="I1131" s="53">
        <v>20567194919</v>
      </c>
      <c r="J1131" s="53">
        <v>18220568311</v>
      </c>
      <c r="K1131" s="53">
        <v>28241265301</v>
      </c>
      <c r="L1131" s="53">
        <v>18414328666</v>
      </c>
      <c r="M1131" s="53">
        <v>9701262581</v>
      </c>
      <c r="N1131" s="53">
        <v>33247757395</v>
      </c>
      <c r="O1131" s="53">
        <v>19129711021</v>
      </c>
      <c r="P1131" s="53">
        <v>20007584016</v>
      </c>
      <c r="Q1131" s="53">
        <v>29295497824</v>
      </c>
      <c r="R1131" s="53">
        <v>18970190485</v>
      </c>
    </row>
    <row r="1132" spans="1:18" x14ac:dyDescent="0.25">
      <c r="A1132" s="25" t="s">
        <v>297</v>
      </c>
      <c r="B1132" s="26">
        <v>2015</v>
      </c>
      <c r="C1132" s="74" t="s">
        <v>287</v>
      </c>
      <c r="D1132" s="27">
        <v>0</v>
      </c>
      <c r="E1132" s="53">
        <v>200250000000</v>
      </c>
      <c r="F1132" s="53">
        <v>200250000000</v>
      </c>
      <c r="G1132" s="53">
        <v>17549820336.32</v>
      </c>
      <c r="H1132" s="53">
        <v>19003655359.439999</v>
      </c>
      <c r="I1132" s="53">
        <v>15225280066.92</v>
      </c>
      <c r="J1132" s="53">
        <v>14539323021.41</v>
      </c>
      <c r="K1132" s="53">
        <v>14935621741.290001</v>
      </c>
      <c r="L1132" s="53">
        <v>8310383437.9700003</v>
      </c>
      <c r="M1132" s="53">
        <v>20344031898.5</v>
      </c>
      <c r="N1132" s="53">
        <v>20164692602.560001</v>
      </c>
      <c r="O1132" s="53">
        <v>15941737063.76</v>
      </c>
      <c r="P1132" s="53">
        <v>15702133068.129999</v>
      </c>
      <c r="Q1132" s="53">
        <v>10166383298.67</v>
      </c>
      <c r="R1132" s="53">
        <v>21028072511.639999</v>
      </c>
    </row>
    <row r="1133" spans="1:18" x14ac:dyDescent="0.25">
      <c r="A1133" s="25" t="s">
        <v>295</v>
      </c>
      <c r="B1133" s="26">
        <v>2015</v>
      </c>
      <c r="C1133" s="74" t="s">
        <v>281</v>
      </c>
      <c r="D1133" s="27">
        <v>0</v>
      </c>
      <c r="E1133" s="53">
        <v>29600000000</v>
      </c>
      <c r="F1133" s="53">
        <v>29600000000</v>
      </c>
      <c r="G1133" s="53">
        <v>4651089542.3500004</v>
      </c>
      <c r="H1133" s="53">
        <v>3429615451.7600002</v>
      </c>
      <c r="I1133" s="53">
        <v>2120312090.3</v>
      </c>
      <c r="J1133" s="53">
        <v>3135206946.3299999</v>
      </c>
      <c r="K1133" s="53">
        <v>2149444085.1900001</v>
      </c>
      <c r="L1133" s="53">
        <v>2341403865.73</v>
      </c>
      <c r="M1133" s="53">
        <v>2466396096.8600001</v>
      </c>
      <c r="N1133" s="53">
        <v>2220736505.0500002</v>
      </c>
      <c r="O1133" s="53">
        <v>1936385322.6199999</v>
      </c>
      <c r="P1133" s="53">
        <v>2474676056.7600002</v>
      </c>
      <c r="Q1133" s="53">
        <v>2613303146.73</v>
      </c>
      <c r="R1133" s="53">
        <v>2615754720.1199999</v>
      </c>
    </row>
    <row r="1134" spans="1:18" x14ac:dyDescent="0.25">
      <c r="A1134" s="25" t="s">
        <v>294</v>
      </c>
      <c r="B1134" s="26">
        <v>2015</v>
      </c>
      <c r="C1134" s="74" t="s">
        <v>287</v>
      </c>
      <c r="D1134" s="27">
        <v>0</v>
      </c>
      <c r="E1134" s="53">
        <v>7400000000</v>
      </c>
      <c r="F1134" s="53">
        <v>7400000000</v>
      </c>
      <c r="G1134" s="53">
        <v>681409019.30999994</v>
      </c>
      <c r="H1134" s="53">
        <v>674182632.32000005</v>
      </c>
      <c r="I1134" s="53">
        <v>1094295840.03</v>
      </c>
      <c r="J1134" s="53">
        <v>748461541.47000003</v>
      </c>
      <c r="K1134" s="53">
        <v>668259350.5</v>
      </c>
      <c r="L1134" s="53">
        <v>836761315.13</v>
      </c>
      <c r="M1134" s="53">
        <v>676574748.44000006</v>
      </c>
      <c r="N1134" s="53">
        <v>578430952.32000005</v>
      </c>
      <c r="O1134" s="53">
        <v>893830695.33000004</v>
      </c>
      <c r="P1134" s="53">
        <v>1268325509.4400001</v>
      </c>
      <c r="Q1134" s="53">
        <v>1234535357.77</v>
      </c>
      <c r="R1134" s="53">
        <v>1585528538.55</v>
      </c>
    </row>
    <row r="1135" spans="1:18" x14ac:dyDescent="0.25">
      <c r="A1135" s="25" t="s">
        <v>292</v>
      </c>
      <c r="B1135" s="26">
        <v>2015</v>
      </c>
      <c r="C1135" s="74" t="s">
        <v>281</v>
      </c>
      <c r="D1135" s="27">
        <v>0</v>
      </c>
      <c r="E1135" s="53">
        <v>34775000000</v>
      </c>
      <c r="F1135" s="53">
        <v>34775000000</v>
      </c>
      <c r="G1135" s="53">
        <v>3505012561.3000002</v>
      </c>
      <c r="H1135" s="53">
        <v>2532734946.1399999</v>
      </c>
      <c r="I1135" s="53">
        <v>2470734955.4000001</v>
      </c>
      <c r="J1135" s="53">
        <v>3058636192.9499998</v>
      </c>
      <c r="K1135" s="53">
        <v>2581323345.4200001</v>
      </c>
      <c r="L1135" s="53">
        <v>2690453149.9400001</v>
      </c>
      <c r="M1135" s="53">
        <v>2631087917.8299999</v>
      </c>
      <c r="N1135" s="53">
        <v>2890969843.4699998</v>
      </c>
      <c r="O1135" s="53">
        <v>2660337577.27</v>
      </c>
      <c r="P1135" s="53">
        <v>2635001839.96</v>
      </c>
      <c r="Q1135" s="53">
        <v>2856549660.5999999</v>
      </c>
      <c r="R1135" s="53">
        <v>2845049777.8600001</v>
      </c>
    </row>
    <row r="1136" spans="1:18" x14ac:dyDescent="0.25">
      <c r="A1136" s="25" t="s">
        <v>291</v>
      </c>
      <c r="B1136" s="26">
        <v>2015</v>
      </c>
      <c r="C1136" s="74" t="s">
        <v>287</v>
      </c>
      <c r="D1136" s="27">
        <v>0</v>
      </c>
      <c r="E1136" s="53">
        <v>3025000000</v>
      </c>
      <c r="F1136" s="53">
        <v>3025000000</v>
      </c>
      <c r="G1136" s="53">
        <v>264145023.09999999</v>
      </c>
      <c r="H1136" s="53">
        <v>233654273.80000001</v>
      </c>
      <c r="I1136" s="53">
        <v>243587613.78</v>
      </c>
      <c r="J1136" s="53">
        <v>246827858.41</v>
      </c>
      <c r="K1136" s="53">
        <v>256901930.18000001</v>
      </c>
      <c r="L1136" s="53">
        <v>253513068.44</v>
      </c>
      <c r="M1136" s="53">
        <v>262542428.81</v>
      </c>
      <c r="N1136" s="53">
        <v>203051857.71000001</v>
      </c>
      <c r="O1136" s="53">
        <v>228030348.22999999</v>
      </c>
      <c r="P1136" s="53">
        <v>223596447.38999999</v>
      </c>
      <c r="Q1136" s="53">
        <v>268535486.58999997</v>
      </c>
      <c r="R1136" s="53">
        <v>310520349.29000002</v>
      </c>
    </row>
    <row r="1137" spans="1:18" x14ac:dyDescent="0.25">
      <c r="A1137" s="25" t="s">
        <v>289</v>
      </c>
      <c r="B1137" s="26">
        <v>2015</v>
      </c>
      <c r="C1137" s="74" t="s">
        <v>287</v>
      </c>
      <c r="D1137" s="27">
        <v>0</v>
      </c>
      <c r="E1137" s="53">
        <v>1800000000</v>
      </c>
      <c r="F1137" s="53">
        <v>1800000000</v>
      </c>
      <c r="G1137" s="53">
        <v>154612389.53999999</v>
      </c>
      <c r="H1137" s="53">
        <v>166351135.08000001</v>
      </c>
      <c r="I1137" s="53">
        <v>207964414.81</v>
      </c>
      <c r="J1137" s="53">
        <v>189270357</v>
      </c>
      <c r="K1137" s="53">
        <v>208614810.86000001</v>
      </c>
      <c r="L1137" s="53">
        <v>217399212.63</v>
      </c>
      <c r="M1137" s="53">
        <v>262646613.61000001</v>
      </c>
      <c r="N1137" s="53">
        <v>240302998.06</v>
      </c>
      <c r="O1137" s="53">
        <v>224484597.94</v>
      </c>
      <c r="P1137" s="53">
        <v>242671920.38999999</v>
      </c>
      <c r="Q1137" s="53">
        <v>228875028.41999999</v>
      </c>
      <c r="R1137" s="53">
        <v>218768744.03</v>
      </c>
    </row>
    <row r="1138" spans="1:18" x14ac:dyDescent="0.25">
      <c r="A1138" s="25" t="s">
        <v>286</v>
      </c>
      <c r="B1138" s="26">
        <v>2015</v>
      </c>
      <c r="C1138" s="74" t="s">
        <v>285</v>
      </c>
      <c r="D1138" s="27">
        <v>0</v>
      </c>
      <c r="E1138" s="53">
        <v>400000000</v>
      </c>
      <c r="F1138" s="53">
        <v>400000000</v>
      </c>
      <c r="G1138" s="53">
        <v>23981453.960000001</v>
      </c>
      <c r="H1138" s="53">
        <v>45497845.609999999</v>
      </c>
      <c r="I1138" s="53">
        <v>25601939.949999999</v>
      </c>
      <c r="J1138" s="53">
        <v>0</v>
      </c>
      <c r="K1138" s="53">
        <v>25333509.219999999</v>
      </c>
      <c r="L1138" s="53">
        <v>25878820.530000001</v>
      </c>
      <c r="M1138" s="53">
        <v>26397988.239999998</v>
      </c>
      <c r="N1138" s="53">
        <v>27191566.800000001</v>
      </c>
      <c r="O1138" s="53">
        <v>0</v>
      </c>
      <c r="P1138" s="53">
        <v>52423518.520000003</v>
      </c>
      <c r="Q1138" s="53">
        <v>0</v>
      </c>
      <c r="R1138" s="53">
        <v>51513226.700000003</v>
      </c>
    </row>
    <row r="1139" spans="1:18" x14ac:dyDescent="0.25">
      <c r="A1139" s="25" t="s">
        <v>283</v>
      </c>
      <c r="B1139" s="26">
        <v>2015</v>
      </c>
      <c r="C1139" s="74" t="s">
        <v>282</v>
      </c>
      <c r="D1139" s="27">
        <v>0</v>
      </c>
      <c r="E1139" s="53">
        <v>21170000000</v>
      </c>
      <c r="F1139" s="53">
        <v>21170000000</v>
      </c>
      <c r="G1139" s="53">
        <v>3001296224.0999999</v>
      </c>
      <c r="H1139" s="53">
        <v>434527177.5</v>
      </c>
      <c r="I1139" s="53">
        <v>948839328</v>
      </c>
      <c r="J1139" s="53">
        <v>5169998451.6999998</v>
      </c>
      <c r="K1139" s="53">
        <v>1016688882.5</v>
      </c>
      <c r="L1139" s="53">
        <v>96443700</v>
      </c>
      <c r="M1139" s="53">
        <v>927841914.5</v>
      </c>
      <c r="N1139" s="53">
        <v>878679791</v>
      </c>
      <c r="O1139" s="53">
        <v>1572636167.5</v>
      </c>
      <c r="P1139" s="53">
        <v>1484185983</v>
      </c>
      <c r="Q1139" s="53">
        <v>1621269430</v>
      </c>
      <c r="R1139" s="53">
        <v>1221668520</v>
      </c>
    </row>
    <row r="1140" spans="1:18" x14ac:dyDescent="0.25">
      <c r="A1140" s="25" t="s">
        <v>280</v>
      </c>
      <c r="B1140" s="26">
        <v>2015</v>
      </c>
      <c r="C1140" s="74" t="s">
        <v>279</v>
      </c>
      <c r="D1140" s="27">
        <v>0</v>
      </c>
      <c r="E1140" s="53">
        <v>16630000000</v>
      </c>
      <c r="F1140" s="53">
        <v>16630000000</v>
      </c>
      <c r="G1140" s="53">
        <v>972250928</v>
      </c>
      <c r="H1140" s="53">
        <v>1355276010.6500001</v>
      </c>
      <c r="I1140" s="53">
        <v>1620975591.1700001</v>
      </c>
      <c r="J1140" s="53">
        <v>1350846600</v>
      </c>
      <c r="K1140" s="53">
        <v>871347312</v>
      </c>
      <c r="L1140" s="53">
        <v>1274599735</v>
      </c>
      <c r="M1140" s="53">
        <v>1312452093.5</v>
      </c>
      <c r="N1140" s="53">
        <v>1476850215</v>
      </c>
      <c r="O1140" s="53">
        <v>1137279300</v>
      </c>
      <c r="P1140" s="53">
        <v>1891333890</v>
      </c>
      <c r="Q1140" s="53">
        <v>410871000</v>
      </c>
      <c r="R1140" s="53">
        <v>1632652770</v>
      </c>
    </row>
    <row r="1141" spans="1:18" x14ac:dyDescent="0.25">
      <c r="A1141" s="25" t="s">
        <v>276</v>
      </c>
      <c r="B1141" s="26">
        <v>2015</v>
      </c>
      <c r="C1141" s="74" t="s">
        <v>275</v>
      </c>
      <c r="D1141" s="27">
        <v>0</v>
      </c>
      <c r="E1141" s="53">
        <v>1040000000</v>
      </c>
      <c r="F1141" s="53">
        <v>1040000000</v>
      </c>
      <c r="G1141" s="53">
        <v>150189387.53999999</v>
      </c>
      <c r="H1141" s="53">
        <v>147266174.66999999</v>
      </c>
      <c r="I1141" s="53">
        <v>203476687.38</v>
      </c>
      <c r="J1141" s="53">
        <v>150161775.11000001</v>
      </c>
      <c r="K1141" s="53">
        <v>93081891.5</v>
      </c>
      <c r="L1141" s="53">
        <v>107616272.15000001</v>
      </c>
      <c r="M1141" s="53">
        <v>131590480</v>
      </c>
      <c r="N1141" s="53">
        <v>99099975.280000001</v>
      </c>
      <c r="O1141" s="53">
        <v>93610085.019999996</v>
      </c>
      <c r="P1141" s="53">
        <v>99619964.109999999</v>
      </c>
      <c r="Q1141" s="53">
        <v>98205921.909999996</v>
      </c>
      <c r="R1141" s="53">
        <v>17993655.120000001</v>
      </c>
    </row>
    <row r="1142" spans="1:18" x14ac:dyDescent="0.25">
      <c r="A1142" s="25" t="s">
        <v>274</v>
      </c>
      <c r="B1142" s="26">
        <v>2015</v>
      </c>
      <c r="C1142" s="74" t="s">
        <v>273</v>
      </c>
      <c r="D1142" s="27">
        <v>0</v>
      </c>
      <c r="E1142" s="53">
        <v>25000000</v>
      </c>
      <c r="F1142" s="53">
        <v>25000000</v>
      </c>
      <c r="G1142" s="53">
        <v>11382900</v>
      </c>
      <c r="H1142" s="53">
        <v>5691450</v>
      </c>
      <c r="I1142" s="53">
        <v>11390809</v>
      </c>
      <c r="J1142" s="53">
        <v>0</v>
      </c>
      <c r="K1142" s="53">
        <v>0</v>
      </c>
      <c r="L1142" s="53">
        <v>11496900</v>
      </c>
      <c r="M1142" s="53">
        <v>0</v>
      </c>
      <c r="N1142" s="53">
        <v>0</v>
      </c>
      <c r="O1142" s="53">
        <v>5748450</v>
      </c>
      <c r="P1142" s="53">
        <v>0</v>
      </c>
      <c r="Q1142" s="53">
        <v>0</v>
      </c>
      <c r="R1142" s="53">
        <v>17394974</v>
      </c>
    </row>
    <row r="1143" spans="1:18" x14ac:dyDescent="0.25">
      <c r="A1143" s="25" t="s">
        <v>268</v>
      </c>
      <c r="B1143" s="26">
        <v>2015</v>
      </c>
      <c r="C1143" s="74" t="s">
        <v>267</v>
      </c>
      <c r="D1143" s="27">
        <v>0</v>
      </c>
      <c r="E1143" s="53">
        <v>162000000000</v>
      </c>
      <c r="F1143" s="53">
        <v>162000000000</v>
      </c>
      <c r="G1143" s="53">
        <v>10502171015.610001</v>
      </c>
      <c r="H1143" s="53">
        <v>10410639620.559999</v>
      </c>
      <c r="I1143" s="53">
        <v>11844371368.209999</v>
      </c>
      <c r="J1143" s="53">
        <v>10525401822.389999</v>
      </c>
      <c r="K1143" s="53">
        <v>11078077351.719999</v>
      </c>
      <c r="L1143" s="53">
        <v>11397617088.92</v>
      </c>
      <c r="M1143" s="53">
        <v>13292357601.139999</v>
      </c>
      <c r="N1143" s="53">
        <v>11242105273.299999</v>
      </c>
      <c r="O1143" s="53">
        <v>13587717115.52</v>
      </c>
      <c r="P1143" s="53">
        <v>14485744824.219999</v>
      </c>
      <c r="Q1143" s="53">
        <v>15553625017.68</v>
      </c>
      <c r="R1143" s="53">
        <v>14746266114.889999</v>
      </c>
    </row>
    <row r="1144" spans="1:18" x14ac:dyDescent="0.25">
      <c r="A1144" s="25" t="s">
        <v>264</v>
      </c>
      <c r="B1144" s="26">
        <v>2015</v>
      </c>
      <c r="C1144" s="74" t="s">
        <v>263</v>
      </c>
      <c r="D1144" s="27">
        <v>0</v>
      </c>
      <c r="E1144" s="53">
        <v>30000000000</v>
      </c>
      <c r="F1144" s="53">
        <v>30000000000</v>
      </c>
      <c r="G1144" s="53">
        <v>2039404017.5599999</v>
      </c>
      <c r="H1144" s="53">
        <v>1843163560.5599999</v>
      </c>
      <c r="I1144" s="53">
        <v>2205200390.1300001</v>
      </c>
      <c r="J1144" s="53">
        <v>2066259377.97</v>
      </c>
      <c r="K1144" s="53">
        <v>1988434502.77</v>
      </c>
      <c r="L1144" s="53">
        <v>2064625359.79</v>
      </c>
      <c r="M1144" s="53">
        <v>2391230739.3099999</v>
      </c>
      <c r="N1144" s="53">
        <v>2000611605.01</v>
      </c>
      <c r="O1144" s="53">
        <v>2168940115.9899998</v>
      </c>
      <c r="P1144" s="53">
        <v>2291260980.0799999</v>
      </c>
      <c r="Q1144" s="53">
        <v>2578191522.6399999</v>
      </c>
      <c r="R1144" s="53">
        <v>2264750336.8200002</v>
      </c>
    </row>
    <row r="1145" spans="1:18" x14ac:dyDescent="0.25">
      <c r="A1145" s="25" t="s">
        <v>260</v>
      </c>
      <c r="B1145" s="26">
        <v>2015</v>
      </c>
      <c r="C1145" s="74" t="s">
        <v>259</v>
      </c>
      <c r="D1145" s="27">
        <v>0</v>
      </c>
      <c r="E1145" s="53">
        <v>3041000000</v>
      </c>
      <c r="F1145" s="53">
        <v>3041000000</v>
      </c>
      <c r="G1145" s="53">
        <v>217271335.19</v>
      </c>
      <c r="H1145" s="53">
        <v>161287784.08000001</v>
      </c>
      <c r="I1145" s="53">
        <v>212770017.80000001</v>
      </c>
      <c r="J1145" s="53">
        <v>215844547.56</v>
      </c>
      <c r="K1145" s="53">
        <v>285037171.61000001</v>
      </c>
      <c r="L1145" s="53">
        <v>254899764.37</v>
      </c>
      <c r="M1145" s="53">
        <v>212340283.21000001</v>
      </c>
      <c r="N1145" s="53">
        <v>200273961.97999999</v>
      </c>
      <c r="O1145" s="53">
        <v>227388117.13</v>
      </c>
      <c r="P1145" s="53">
        <v>256296137.91</v>
      </c>
      <c r="Q1145" s="53">
        <v>225565134.78999999</v>
      </c>
      <c r="R1145" s="53">
        <v>231865277.55000001</v>
      </c>
    </row>
    <row r="1146" spans="1:18" x14ac:dyDescent="0.25">
      <c r="A1146" s="25" t="s">
        <v>258</v>
      </c>
      <c r="B1146" s="26">
        <v>2015</v>
      </c>
      <c r="C1146" s="74" t="s">
        <v>257</v>
      </c>
      <c r="D1146" s="27">
        <v>0</v>
      </c>
      <c r="E1146" s="53">
        <v>161000000</v>
      </c>
      <c r="F1146" s="53">
        <v>161000000</v>
      </c>
      <c r="G1146" s="53">
        <v>12501775.5</v>
      </c>
      <c r="H1146" s="53">
        <v>9343629</v>
      </c>
      <c r="I1146" s="53">
        <v>12295341</v>
      </c>
      <c r="J1146" s="53">
        <v>12560280</v>
      </c>
      <c r="K1146" s="53">
        <v>16474468.5</v>
      </c>
      <c r="L1146" s="53">
        <v>14718528</v>
      </c>
      <c r="M1146" s="53">
        <v>12411739.5</v>
      </c>
      <c r="N1146" s="53">
        <v>11630442</v>
      </c>
      <c r="O1146" s="53">
        <v>13234186.5</v>
      </c>
      <c r="P1146" s="53">
        <v>14657457</v>
      </c>
      <c r="Q1146" s="53">
        <v>13050033</v>
      </c>
      <c r="R1146" s="53">
        <v>13443817.5</v>
      </c>
    </row>
    <row r="1147" spans="1:18" x14ac:dyDescent="0.25">
      <c r="A1147" s="25" t="s">
        <v>256</v>
      </c>
      <c r="B1147" s="26">
        <v>2015</v>
      </c>
      <c r="C1147" s="74" t="s">
        <v>255</v>
      </c>
      <c r="D1147" s="27">
        <v>0</v>
      </c>
      <c r="E1147" s="53">
        <v>1780000000</v>
      </c>
      <c r="F1147" s="53">
        <v>1780000000</v>
      </c>
      <c r="G1147" s="53">
        <v>125647183.5</v>
      </c>
      <c r="H1147" s="53">
        <v>126468552</v>
      </c>
      <c r="I1147" s="53">
        <v>139468818</v>
      </c>
      <c r="J1147" s="53">
        <v>125235484.5</v>
      </c>
      <c r="K1147" s="53">
        <v>139945824</v>
      </c>
      <c r="L1147" s="53">
        <v>143459504</v>
      </c>
      <c r="M1147" s="53">
        <v>146306282.5</v>
      </c>
      <c r="N1147" s="53">
        <v>131515598.75</v>
      </c>
      <c r="O1147" s="53">
        <v>132827164</v>
      </c>
      <c r="P1147" s="53">
        <v>142670832.75</v>
      </c>
      <c r="Q1147" s="53">
        <v>133791418.25</v>
      </c>
      <c r="R1147" s="53">
        <v>123499770.25</v>
      </c>
    </row>
    <row r="1148" spans="1:18" x14ac:dyDescent="0.25">
      <c r="A1148" s="25" t="s">
        <v>253</v>
      </c>
      <c r="B1148" s="26">
        <v>2015</v>
      </c>
      <c r="C1148" s="74" t="s">
        <v>252</v>
      </c>
      <c r="D1148" s="27">
        <v>0</v>
      </c>
      <c r="E1148" s="53">
        <v>35000000000</v>
      </c>
      <c r="F1148" s="53">
        <v>35000000000</v>
      </c>
      <c r="G1148" s="53">
        <v>3560257601.0100002</v>
      </c>
      <c r="H1148" s="53">
        <v>3015637927.4699998</v>
      </c>
      <c r="I1148" s="53">
        <v>3835959120.27</v>
      </c>
      <c r="J1148" s="53">
        <v>3119892044.77</v>
      </c>
      <c r="K1148" s="53">
        <v>2277801885.6300001</v>
      </c>
      <c r="L1148" s="53">
        <v>2777460182.1199999</v>
      </c>
      <c r="M1148" s="53">
        <v>3048375909.7199998</v>
      </c>
      <c r="N1148" s="53">
        <v>2800180171.7199998</v>
      </c>
      <c r="O1148" s="53">
        <v>2294207540.4699998</v>
      </c>
      <c r="P1148" s="53">
        <v>1958238452.04</v>
      </c>
      <c r="Q1148" s="53">
        <v>2473183987.1500001</v>
      </c>
      <c r="R1148" s="53">
        <v>3735702054.8400002</v>
      </c>
    </row>
    <row r="1149" spans="1:18" x14ac:dyDescent="0.25">
      <c r="A1149" s="25" t="s">
        <v>251</v>
      </c>
      <c r="B1149" s="26">
        <v>2015</v>
      </c>
      <c r="C1149" s="74" t="s">
        <v>250</v>
      </c>
      <c r="D1149" s="27">
        <v>0</v>
      </c>
      <c r="E1149" s="53">
        <v>2230000000</v>
      </c>
      <c r="F1149" s="53">
        <v>2230000000</v>
      </c>
      <c r="G1149" s="53">
        <v>230477816.72</v>
      </c>
      <c r="H1149" s="53">
        <v>169575450.40000001</v>
      </c>
      <c r="I1149" s="53">
        <v>233662003.75</v>
      </c>
      <c r="J1149" s="53">
        <v>168114668.65000001</v>
      </c>
      <c r="K1149" s="53">
        <v>149558531.40000001</v>
      </c>
      <c r="L1149" s="53">
        <v>157741758.25</v>
      </c>
      <c r="M1149" s="53">
        <v>206140260.25</v>
      </c>
      <c r="N1149" s="53">
        <v>153778798.69999999</v>
      </c>
      <c r="O1149" s="53">
        <v>160914231.84999999</v>
      </c>
      <c r="P1149" s="53">
        <v>143448804.5</v>
      </c>
      <c r="Q1149" s="53">
        <v>168428442.69999999</v>
      </c>
      <c r="R1149" s="53">
        <v>393607128.55000001</v>
      </c>
    </row>
    <row r="1150" spans="1:18" x14ac:dyDescent="0.25">
      <c r="A1150" s="25" t="s">
        <v>249</v>
      </c>
      <c r="B1150" s="26">
        <v>2015</v>
      </c>
      <c r="C1150" s="74" t="s">
        <v>248</v>
      </c>
      <c r="D1150" s="27">
        <v>0</v>
      </c>
      <c r="E1150" s="53">
        <v>4860000000</v>
      </c>
      <c r="F1150" s="53">
        <v>4860000000</v>
      </c>
      <c r="G1150" s="53">
        <v>313418984.5</v>
      </c>
      <c r="H1150" s="53">
        <v>263381067.31999999</v>
      </c>
      <c r="I1150" s="53">
        <v>321415194.66000003</v>
      </c>
      <c r="J1150" s="53">
        <v>276106172.25</v>
      </c>
      <c r="K1150" s="53">
        <v>300849859.58999997</v>
      </c>
      <c r="L1150" s="53">
        <v>323032385.94</v>
      </c>
      <c r="M1150" s="53">
        <v>196310053.46000001</v>
      </c>
      <c r="N1150" s="53">
        <v>219788411.71000001</v>
      </c>
      <c r="O1150" s="53">
        <v>210243464.63999999</v>
      </c>
      <c r="P1150" s="53">
        <v>46418287.210000001</v>
      </c>
      <c r="Q1150" s="53">
        <v>526597647.04000002</v>
      </c>
      <c r="R1150" s="53">
        <v>327135702.87</v>
      </c>
    </row>
    <row r="1151" spans="1:18" x14ac:dyDescent="0.25">
      <c r="A1151" s="25" t="s">
        <v>246</v>
      </c>
      <c r="B1151" s="26">
        <v>2015</v>
      </c>
      <c r="C1151" s="74" t="s">
        <v>245</v>
      </c>
      <c r="D1151" s="27">
        <v>0</v>
      </c>
      <c r="E1151" s="53">
        <v>995000000</v>
      </c>
      <c r="F1151" s="53">
        <v>995000000</v>
      </c>
      <c r="G1151" s="53">
        <v>0</v>
      </c>
      <c r="H1151" s="53">
        <v>71542453.099999994</v>
      </c>
      <c r="I1151" s="53">
        <v>75594772.75</v>
      </c>
      <c r="J1151" s="53">
        <v>73694299.430000007</v>
      </c>
      <c r="K1151" s="53">
        <v>81753747.049999997</v>
      </c>
      <c r="L1151" s="53">
        <v>84702053.920000002</v>
      </c>
      <c r="M1151" s="53">
        <v>113772800.26000001</v>
      </c>
      <c r="N1151" s="53">
        <v>121693549.73999999</v>
      </c>
      <c r="O1151" s="53">
        <v>109068647.33</v>
      </c>
      <c r="P1151" s="53">
        <v>0</v>
      </c>
      <c r="Q1151" s="53">
        <v>235877586.59999999</v>
      </c>
      <c r="R1151" s="53">
        <v>126252257.73999999</v>
      </c>
    </row>
    <row r="1152" spans="1:18" x14ac:dyDescent="0.25">
      <c r="A1152" s="25" t="s">
        <v>244</v>
      </c>
      <c r="B1152" s="26">
        <v>2015</v>
      </c>
      <c r="C1152" s="74" t="s">
        <v>243</v>
      </c>
      <c r="D1152" s="27">
        <v>0</v>
      </c>
      <c r="E1152" s="53">
        <v>4300000000</v>
      </c>
      <c r="F1152" s="53">
        <v>4300000000</v>
      </c>
      <c r="G1152" s="53">
        <v>5140366.1500000004</v>
      </c>
      <c r="H1152" s="53">
        <v>452202977.75999999</v>
      </c>
      <c r="I1152" s="53">
        <v>435441531.41000003</v>
      </c>
      <c r="J1152" s="53">
        <v>431733008.18000001</v>
      </c>
      <c r="K1152" s="53">
        <v>438938708.69</v>
      </c>
      <c r="L1152" s="53">
        <v>400994710.24000001</v>
      </c>
      <c r="M1152" s="53">
        <v>478127530.85000002</v>
      </c>
      <c r="N1152" s="53">
        <v>504798906.51999998</v>
      </c>
      <c r="O1152" s="53">
        <v>483093078.27999997</v>
      </c>
      <c r="P1152" s="53">
        <v>6695217.7199999997</v>
      </c>
      <c r="Q1152" s="53">
        <v>978269372.65999997</v>
      </c>
      <c r="R1152" s="53">
        <v>612282639.25</v>
      </c>
    </row>
    <row r="1153" spans="1:18" x14ac:dyDescent="0.25">
      <c r="A1153" s="25" t="s">
        <v>242</v>
      </c>
      <c r="B1153" s="26">
        <v>2015</v>
      </c>
      <c r="C1153" s="74" t="s">
        <v>241</v>
      </c>
      <c r="D1153" s="27">
        <v>0</v>
      </c>
      <c r="E1153" s="53">
        <v>8705000000</v>
      </c>
      <c r="F1153" s="53">
        <v>8705000000</v>
      </c>
      <c r="G1153" s="53">
        <v>8047870.1699999999</v>
      </c>
      <c r="H1153" s="53">
        <v>786536172.5</v>
      </c>
      <c r="I1153" s="53">
        <v>788669534.10000002</v>
      </c>
      <c r="J1153" s="53">
        <v>910246456.32000005</v>
      </c>
      <c r="K1153" s="53">
        <v>714223673.58000004</v>
      </c>
      <c r="L1153" s="53">
        <v>798307742.13</v>
      </c>
      <c r="M1153" s="53">
        <v>823829072.13</v>
      </c>
      <c r="N1153" s="53">
        <v>851968949.08000004</v>
      </c>
      <c r="O1153" s="53">
        <v>788877236.51999998</v>
      </c>
      <c r="P1153" s="53">
        <v>7437743.0199999996</v>
      </c>
      <c r="Q1153" s="53">
        <v>1755149752.55</v>
      </c>
      <c r="R1153" s="53">
        <v>1025174126.5</v>
      </c>
    </row>
    <row r="1154" spans="1:18" x14ac:dyDescent="0.25">
      <c r="A1154" s="25" t="s">
        <v>240</v>
      </c>
      <c r="B1154" s="26">
        <v>2015</v>
      </c>
      <c r="C1154" s="74" t="s">
        <v>239</v>
      </c>
      <c r="D1154" s="27">
        <v>0</v>
      </c>
      <c r="E1154" s="53">
        <v>1118000000</v>
      </c>
      <c r="F1154" s="53">
        <v>1118000000</v>
      </c>
      <c r="G1154" s="53">
        <v>91482770.530000001</v>
      </c>
      <c r="H1154" s="53">
        <v>84006917.439999998</v>
      </c>
      <c r="I1154" s="53">
        <v>94515690.560000002</v>
      </c>
      <c r="J1154" s="53">
        <v>65057834.530000001</v>
      </c>
      <c r="K1154" s="53">
        <v>75006231.75</v>
      </c>
      <c r="L1154" s="53">
        <v>118312275.97</v>
      </c>
      <c r="M1154" s="53">
        <v>99616070.189999998</v>
      </c>
      <c r="N1154" s="53">
        <v>100654467.23999999</v>
      </c>
      <c r="O1154" s="53">
        <v>85011845.25</v>
      </c>
      <c r="P1154" s="53">
        <v>91689730.859999999</v>
      </c>
      <c r="Q1154" s="53">
        <v>82441290.840000004</v>
      </c>
      <c r="R1154" s="53">
        <v>83334094.349999994</v>
      </c>
    </row>
    <row r="1155" spans="1:18" x14ac:dyDescent="0.25">
      <c r="A1155" s="25" t="s">
        <v>236</v>
      </c>
      <c r="B1155" s="26">
        <v>2015</v>
      </c>
      <c r="C1155" s="74" t="s">
        <v>235</v>
      </c>
      <c r="D1155" s="27">
        <v>0</v>
      </c>
      <c r="E1155" s="53">
        <v>5600000000</v>
      </c>
      <c r="F1155" s="53">
        <v>5600000000</v>
      </c>
      <c r="G1155" s="53">
        <v>308958473.86000001</v>
      </c>
      <c r="H1155" s="53">
        <v>276996238.61000001</v>
      </c>
      <c r="I1155" s="53">
        <v>343767402.49000001</v>
      </c>
      <c r="J1155" s="53">
        <v>387704349.07999998</v>
      </c>
      <c r="K1155" s="53">
        <v>91847156.159999996</v>
      </c>
      <c r="L1155" s="53">
        <v>427768386.56999999</v>
      </c>
      <c r="M1155" s="53">
        <v>761039848.12</v>
      </c>
      <c r="N1155" s="53">
        <v>298934525.44</v>
      </c>
      <c r="O1155" s="53">
        <v>280085430.74000001</v>
      </c>
      <c r="P1155" s="53">
        <v>740139659.78999996</v>
      </c>
      <c r="Q1155" s="53">
        <v>488035487.56</v>
      </c>
      <c r="R1155" s="53">
        <v>455501796.17000002</v>
      </c>
    </row>
    <row r="1156" spans="1:18" x14ac:dyDescent="0.25">
      <c r="A1156" s="25" t="s">
        <v>234</v>
      </c>
      <c r="B1156" s="26">
        <v>2015</v>
      </c>
      <c r="C1156" s="74" t="s">
        <v>233</v>
      </c>
      <c r="D1156" s="27">
        <v>0</v>
      </c>
      <c r="E1156" s="53">
        <v>160000000</v>
      </c>
      <c r="F1156" s="53">
        <v>160000000</v>
      </c>
      <c r="G1156" s="53">
        <v>14019071.140000001</v>
      </c>
      <c r="H1156" s="53">
        <v>16668056.91</v>
      </c>
      <c r="I1156" s="53">
        <v>22052.5</v>
      </c>
      <c r="J1156" s="53">
        <v>35203256.229999997</v>
      </c>
      <c r="K1156" s="53">
        <v>58093.45</v>
      </c>
      <c r="L1156" s="53">
        <v>29163.75</v>
      </c>
      <c r="M1156" s="53">
        <v>35091.449999999997</v>
      </c>
      <c r="N1156" s="53">
        <v>43318.34</v>
      </c>
      <c r="O1156" s="53">
        <v>168305.47</v>
      </c>
      <c r="P1156" s="53">
        <v>37268.47</v>
      </c>
      <c r="Q1156" s="53">
        <v>28355.1</v>
      </c>
      <c r="R1156" s="53">
        <v>58978.82</v>
      </c>
    </row>
    <row r="1157" spans="1:18" x14ac:dyDescent="0.25">
      <c r="A1157" s="25" t="s">
        <v>230</v>
      </c>
      <c r="B1157" s="26">
        <v>2015</v>
      </c>
      <c r="C1157" s="74" t="s">
        <v>229</v>
      </c>
      <c r="D1157" s="27">
        <v>0</v>
      </c>
      <c r="E1157" s="53">
        <v>26700000000</v>
      </c>
      <c r="F1157" s="53">
        <v>26700000000</v>
      </c>
      <c r="G1157" s="53">
        <v>2273034776.1199999</v>
      </c>
      <c r="H1157" s="53">
        <v>2391323512.3400002</v>
      </c>
      <c r="I1157" s="53">
        <v>3053408190.27</v>
      </c>
      <c r="J1157" s="53">
        <v>2513651195.8000002</v>
      </c>
      <c r="K1157" s="53">
        <v>2378302853.9699998</v>
      </c>
      <c r="L1157" s="53">
        <v>2469668891.6500001</v>
      </c>
      <c r="M1157" s="53">
        <v>2757425746.5599999</v>
      </c>
      <c r="N1157" s="53">
        <v>2504422571.29</v>
      </c>
      <c r="O1157" s="53">
        <v>2517745147.0599999</v>
      </c>
      <c r="P1157" s="53">
        <v>2497748356.5799999</v>
      </c>
      <c r="Q1157" s="53">
        <v>2664619918.0500002</v>
      </c>
      <c r="R1157" s="53">
        <v>2598907789.6799998</v>
      </c>
    </row>
    <row r="1158" spans="1:18" x14ac:dyDescent="0.25">
      <c r="A1158" s="25" t="s">
        <v>228</v>
      </c>
      <c r="B1158" s="26">
        <v>2015</v>
      </c>
      <c r="C1158" s="74" t="s">
        <v>227</v>
      </c>
      <c r="D1158" s="27">
        <v>0</v>
      </c>
      <c r="E1158" s="53">
        <v>24150000000</v>
      </c>
      <c r="F1158" s="53">
        <v>24150000000</v>
      </c>
      <c r="G1158" s="53">
        <v>1668087883.0699999</v>
      </c>
      <c r="H1158" s="53">
        <v>1638358333.4100001</v>
      </c>
      <c r="I1158" s="53">
        <v>1708699008.2</v>
      </c>
      <c r="J1158" s="53">
        <v>138819919.97999999</v>
      </c>
      <c r="K1158" s="53">
        <v>1719486507.0899999</v>
      </c>
      <c r="L1158" s="53">
        <v>1680984302.1199999</v>
      </c>
      <c r="M1158" s="53">
        <v>1687106562.75</v>
      </c>
      <c r="N1158" s="53">
        <v>1690232884.1099999</v>
      </c>
      <c r="O1158" s="53">
        <v>1694181304.6600001</v>
      </c>
      <c r="P1158" s="53">
        <v>1733801872.8</v>
      </c>
      <c r="Q1158" s="53">
        <v>151878941.78999999</v>
      </c>
      <c r="R1158" s="53">
        <v>-13793165791.16</v>
      </c>
    </row>
    <row r="1159" spans="1:18" x14ac:dyDescent="0.25">
      <c r="A1159" s="25" t="s">
        <v>226</v>
      </c>
      <c r="B1159" s="26">
        <v>2015</v>
      </c>
      <c r="C1159" s="74" t="s">
        <v>225</v>
      </c>
      <c r="D1159" s="27">
        <v>0</v>
      </c>
      <c r="E1159" s="53">
        <v>15000000000</v>
      </c>
      <c r="F1159" s="53">
        <v>15000000000</v>
      </c>
      <c r="G1159" s="53">
        <v>2175968324.3200002</v>
      </c>
      <c r="H1159" s="53">
        <v>959936258.19000006</v>
      </c>
      <c r="I1159" s="53">
        <v>998557760.35000002</v>
      </c>
      <c r="J1159" s="53">
        <v>2558232023.7399998</v>
      </c>
      <c r="K1159" s="53">
        <v>883108815.62</v>
      </c>
      <c r="L1159" s="53">
        <v>966032767.25</v>
      </c>
      <c r="M1159" s="53">
        <v>973225561.15999997</v>
      </c>
      <c r="N1159" s="53">
        <v>910774310.03999996</v>
      </c>
      <c r="O1159" s="53">
        <v>859795654.65999997</v>
      </c>
      <c r="P1159" s="53">
        <v>859789708.07000005</v>
      </c>
      <c r="Q1159" s="53">
        <v>2528073478.8299999</v>
      </c>
      <c r="R1159" s="53">
        <v>16446067219.049999</v>
      </c>
    </row>
    <row r="1160" spans="1:18" x14ac:dyDescent="0.25">
      <c r="A1160" s="25" t="s">
        <v>222</v>
      </c>
      <c r="B1160" s="26">
        <v>2015</v>
      </c>
      <c r="C1160" s="74" t="s">
        <v>221</v>
      </c>
      <c r="D1160" s="27">
        <v>0</v>
      </c>
      <c r="E1160" s="53">
        <v>1000000</v>
      </c>
      <c r="F1160" s="53">
        <v>1000000</v>
      </c>
      <c r="G1160" s="53">
        <v>128704.78</v>
      </c>
      <c r="H1160" s="53">
        <v>147579.24</v>
      </c>
      <c r="I1160" s="53">
        <v>140787.45000000001</v>
      </c>
      <c r="J1160" s="53">
        <v>232650.58</v>
      </c>
      <c r="K1160" s="53">
        <v>796788.84</v>
      </c>
      <c r="L1160" s="53">
        <v>223387.74</v>
      </c>
      <c r="M1160" s="53">
        <v>242161.24</v>
      </c>
      <c r="N1160" s="53">
        <v>198604.21</v>
      </c>
      <c r="O1160" s="53">
        <v>196017.68</v>
      </c>
      <c r="P1160" s="53">
        <v>169121.59</v>
      </c>
      <c r="Q1160" s="53">
        <v>222448.45</v>
      </c>
      <c r="R1160" s="53">
        <v>101397.26</v>
      </c>
    </row>
    <row r="1161" spans="1:18" x14ac:dyDescent="0.25">
      <c r="A1161" s="25" t="s">
        <v>409</v>
      </c>
      <c r="B1161" s="26">
        <v>2015</v>
      </c>
      <c r="C1161" s="74" t="s">
        <v>408</v>
      </c>
      <c r="D1161" s="27">
        <v>0</v>
      </c>
      <c r="E1161" s="53">
        <v>35000000</v>
      </c>
      <c r="F1161" s="53">
        <v>35000000</v>
      </c>
      <c r="G1161" s="53">
        <v>2385130.9900000002</v>
      </c>
      <c r="H1161" s="53">
        <v>2955985.41</v>
      </c>
      <c r="I1161" s="53">
        <v>2641383.14</v>
      </c>
      <c r="J1161" s="53">
        <v>4518211.3099999996</v>
      </c>
      <c r="K1161" s="53">
        <v>2689777.09</v>
      </c>
      <c r="L1161" s="53">
        <v>2894569.47</v>
      </c>
      <c r="M1161" s="53">
        <v>1233514.49</v>
      </c>
      <c r="N1161" s="53">
        <v>2450850.98</v>
      </c>
      <c r="O1161" s="53">
        <v>13396143.220000001</v>
      </c>
      <c r="P1161" s="53">
        <v>2833142.71</v>
      </c>
      <c r="Q1161" s="53">
        <v>3520095.37</v>
      </c>
      <c r="R1161" s="53">
        <v>2978658.58</v>
      </c>
    </row>
    <row r="1162" spans="1:18" x14ac:dyDescent="0.25">
      <c r="A1162" s="25" t="s">
        <v>215</v>
      </c>
      <c r="B1162" s="26">
        <v>2015</v>
      </c>
      <c r="C1162" s="74" t="s">
        <v>214</v>
      </c>
      <c r="D1162" s="27">
        <v>0</v>
      </c>
      <c r="E1162" s="53">
        <v>18000000</v>
      </c>
      <c r="F1162" s="53">
        <v>18000000</v>
      </c>
      <c r="G1162" s="53">
        <v>440200</v>
      </c>
      <c r="H1162" s="53">
        <v>440000</v>
      </c>
      <c r="I1162" s="53">
        <v>440000</v>
      </c>
      <c r="J1162" s="53">
        <v>720400</v>
      </c>
      <c r="K1162" s="53">
        <v>720000</v>
      </c>
      <c r="L1162" s="53">
        <v>720000</v>
      </c>
      <c r="M1162" s="53">
        <v>3633900</v>
      </c>
      <c r="N1162" s="53">
        <v>720000</v>
      </c>
      <c r="O1162" s="53">
        <v>957656.02</v>
      </c>
      <c r="P1162" s="53">
        <v>1070800</v>
      </c>
      <c r="Q1162" s="53">
        <v>350500</v>
      </c>
      <c r="R1162" s="53">
        <v>428923.58</v>
      </c>
    </row>
    <row r="1163" spans="1:18" x14ac:dyDescent="0.25">
      <c r="A1163" s="25" t="s">
        <v>213</v>
      </c>
      <c r="B1163" s="26">
        <v>2015</v>
      </c>
      <c r="C1163" s="74" t="s">
        <v>212</v>
      </c>
      <c r="D1163" s="27">
        <v>0</v>
      </c>
      <c r="E1163" s="53">
        <v>37000000</v>
      </c>
      <c r="F1163" s="53">
        <v>37000000</v>
      </c>
      <c r="G1163" s="53">
        <v>420692.7</v>
      </c>
      <c r="H1163" s="53">
        <v>1400555.52</v>
      </c>
      <c r="I1163" s="53">
        <v>1651501.99</v>
      </c>
      <c r="J1163" s="53">
        <v>2363556.86</v>
      </c>
      <c r="K1163" s="53">
        <v>1764012.37</v>
      </c>
      <c r="L1163" s="53">
        <v>4069908.38</v>
      </c>
      <c r="M1163" s="53">
        <v>6240929.3300000001</v>
      </c>
      <c r="N1163" s="53">
        <v>2323965.2000000002</v>
      </c>
      <c r="O1163" s="53">
        <v>7328259.7000000002</v>
      </c>
      <c r="P1163" s="53">
        <v>2032586.26</v>
      </c>
      <c r="Q1163" s="53">
        <v>2736433.6</v>
      </c>
      <c r="R1163" s="53">
        <v>3960272.73</v>
      </c>
    </row>
    <row r="1164" spans="1:18" x14ac:dyDescent="0.25">
      <c r="A1164" s="25" t="s">
        <v>211</v>
      </c>
      <c r="B1164" s="26">
        <v>2015</v>
      </c>
      <c r="C1164" s="74" t="s">
        <v>210</v>
      </c>
      <c r="D1164" s="27">
        <v>0</v>
      </c>
      <c r="E1164" s="53">
        <v>168000000</v>
      </c>
      <c r="F1164" s="53">
        <v>168000000</v>
      </c>
      <c r="G1164" s="53">
        <v>11570673.6</v>
      </c>
      <c r="H1164" s="53">
        <v>11810020.4</v>
      </c>
      <c r="I1164" s="53">
        <v>11824584.029999999</v>
      </c>
      <c r="J1164" s="53">
        <v>21069164.27</v>
      </c>
      <c r="K1164" s="53">
        <v>28189748.510000002</v>
      </c>
      <c r="L1164" s="53">
        <v>3373014.25</v>
      </c>
      <c r="M1164" s="53">
        <v>36524913.880000003</v>
      </c>
      <c r="N1164" s="53">
        <v>4573966</v>
      </c>
      <c r="O1164" s="53">
        <v>14768693.74</v>
      </c>
      <c r="P1164" s="53">
        <v>8100929.8499999996</v>
      </c>
      <c r="Q1164" s="53">
        <v>22063819.449999999</v>
      </c>
      <c r="R1164" s="53">
        <v>24271536.420000002</v>
      </c>
    </row>
    <row r="1165" spans="1:18" x14ac:dyDescent="0.25">
      <c r="A1165" s="76" t="s">
        <v>434</v>
      </c>
      <c r="B1165" s="26">
        <v>2015</v>
      </c>
      <c r="C1165" s="99" t="s">
        <v>1137</v>
      </c>
      <c r="D1165" s="27">
        <v>0</v>
      </c>
      <c r="E1165" s="53">
        <v>12000000</v>
      </c>
      <c r="F1165" s="53">
        <v>12000000</v>
      </c>
      <c r="G1165" s="53">
        <v>0</v>
      </c>
      <c r="H1165" s="53">
        <v>0</v>
      </c>
      <c r="I1165" s="53">
        <v>0</v>
      </c>
      <c r="J1165" s="53">
        <v>0</v>
      </c>
      <c r="K1165" s="53">
        <v>0</v>
      </c>
      <c r="L1165" s="53">
        <v>0</v>
      </c>
      <c r="M1165" s="53">
        <v>0</v>
      </c>
      <c r="N1165" s="53">
        <v>0</v>
      </c>
      <c r="O1165" s="53">
        <v>0</v>
      </c>
      <c r="P1165" s="53">
        <v>0</v>
      </c>
      <c r="Q1165" s="53">
        <v>0</v>
      </c>
      <c r="R1165" s="53">
        <v>0</v>
      </c>
    </row>
    <row r="1166" spans="1:18" x14ac:dyDescent="0.25">
      <c r="A1166" s="25" t="s">
        <v>209</v>
      </c>
      <c r="B1166" s="26">
        <v>2015</v>
      </c>
      <c r="C1166" s="74" t="s">
        <v>208</v>
      </c>
      <c r="D1166" s="27">
        <v>0</v>
      </c>
      <c r="E1166" s="53">
        <v>10000000</v>
      </c>
      <c r="F1166" s="53">
        <v>10000000</v>
      </c>
      <c r="G1166" s="53">
        <v>26716.13</v>
      </c>
      <c r="H1166" s="53">
        <v>203722.63</v>
      </c>
      <c r="I1166" s="53">
        <v>28245</v>
      </c>
      <c r="J1166" s="53">
        <v>84517</v>
      </c>
      <c r="K1166" s="53">
        <v>33681</v>
      </c>
      <c r="L1166" s="53">
        <v>167715.25</v>
      </c>
      <c r="M1166" s="53">
        <v>4452181.41</v>
      </c>
      <c r="N1166" s="53">
        <v>170921.2</v>
      </c>
      <c r="O1166" s="53">
        <v>233502.41</v>
      </c>
      <c r="P1166" s="53">
        <v>267744.99</v>
      </c>
      <c r="Q1166" s="53">
        <v>342722.44</v>
      </c>
      <c r="R1166" s="53">
        <v>140545.1</v>
      </c>
    </row>
    <row r="1167" spans="1:18" x14ac:dyDescent="0.25">
      <c r="A1167" s="25" t="s">
        <v>433</v>
      </c>
      <c r="B1167" s="26">
        <v>2015</v>
      </c>
      <c r="C1167" s="74" t="s">
        <v>432</v>
      </c>
      <c r="D1167" s="27">
        <v>0</v>
      </c>
      <c r="E1167" s="53">
        <v>0</v>
      </c>
      <c r="F1167" s="53">
        <v>0</v>
      </c>
      <c r="G1167" s="53">
        <v>90875</v>
      </c>
      <c r="H1167" s="53">
        <v>3135</v>
      </c>
      <c r="I1167" s="53">
        <v>0</v>
      </c>
      <c r="J1167" s="53">
        <v>0</v>
      </c>
      <c r="K1167" s="53">
        <v>0</v>
      </c>
      <c r="L1167" s="53">
        <v>0</v>
      </c>
      <c r="M1167" s="53">
        <v>0</v>
      </c>
      <c r="N1167" s="53">
        <v>0</v>
      </c>
      <c r="O1167" s="53">
        <v>0</v>
      </c>
      <c r="P1167" s="53">
        <v>0</v>
      </c>
      <c r="Q1167" s="53">
        <v>0</v>
      </c>
      <c r="R1167" s="53">
        <v>0</v>
      </c>
    </row>
    <row r="1168" spans="1:18" x14ac:dyDescent="0.25">
      <c r="A1168" s="25" t="s">
        <v>407</v>
      </c>
      <c r="B1168" s="26">
        <v>2015</v>
      </c>
      <c r="C1168" s="74" t="s">
        <v>406</v>
      </c>
      <c r="D1168" s="27">
        <v>0</v>
      </c>
      <c r="E1168" s="53">
        <v>0</v>
      </c>
      <c r="F1168" s="53">
        <v>0</v>
      </c>
      <c r="G1168" s="53">
        <v>0</v>
      </c>
      <c r="H1168" s="53">
        <v>138072.76999999999</v>
      </c>
      <c r="I1168" s="53">
        <v>0</v>
      </c>
      <c r="J1168" s="53">
        <v>0</v>
      </c>
      <c r="K1168" s="53">
        <v>0</v>
      </c>
      <c r="L1168" s="53">
        <v>0</v>
      </c>
      <c r="M1168" s="53">
        <v>0</v>
      </c>
      <c r="N1168" s="53">
        <v>0</v>
      </c>
      <c r="O1168" s="53">
        <v>0</v>
      </c>
      <c r="P1168" s="53">
        <v>0</v>
      </c>
      <c r="Q1168" s="53">
        <v>0</v>
      </c>
      <c r="R1168" s="53">
        <v>180716.23</v>
      </c>
    </row>
    <row r="1169" spans="1:18" x14ac:dyDescent="0.25">
      <c r="A1169" s="25" t="s">
        <v>207</v>
      </c>
      <c r="B1169" s="26">
        <v>2015</v>
      </c>
      <c r="C1169" s="74" t="s">
        <v>206</v>
      </c>
      <c r="D1169" s="27">
        <v>0</v>
      </c>
      <c r="E1169" s="53">
        <v>230000000</v>
      </c>
      <c r="F1169" s="53">
        <v>230000000</v>
      </c>
      <c r="G1169" s="53">
        <v>230041415.03</v>
      </c>
      <c r="H1169" s="53">
        <v>0</v>
      </c>
      <c r="I1169" s="53">
        <v>0</v>
      </c>
      <c r="J1169" s="53">
        <v>0</v>
      </c>
      <c r="K1169" s="53">
        <v>0</v>
      </c>
      <c r="L1169" s="53">
        <v>0</v>
      </c>
      <c r="M1169" s="53">
        <v>0</v>
      </c>
      <c r="N1169" s="53">
        <v>0</v>
      </c>
      <c r="O1169" s="53">
        <v>0</v>
      </c>
      <c r="P1169" s="53">
        <v>0</v>
      </c>
      <c r="Q1169" s="53">
        <v>0</v>
      </c>
      <c r="R1169" s="53">
        <v>0</v>
      </c>
    </row>
    <row r="1170" spans="1:18" x14ac:dyDescent="0.25">
      <c r="A1170" s="25" t="s">
        <v>205</v>
      </c>
      <c r="B1170" s="26">
        <v>2015</v>
      </c>
      <c r="C1170" s="74" t="s">
        <v>204</v>
      </c>
      <c r="D1170" s="27">
        <v>0</v>
      </c>
      <c r="E1170" s="53">
        <v>0</v>
      </c>
      <c r="F1170" s="53">
        <v>0</v>
      </c>
      <c r="G1170" s="53">
        <v>0</v>
      </c>
      <c r="H1170" s="53">
        <v>0</v>
      </c>
      <c r="I1170" s="53">
        <v>0</v>
      </c>
      <c r="J1170" s="53">
        <v>0</v>
      </c>
      <c r="K1170" s="53">
        <v>0</v>
      </c>
      <c r="L1170" s="53">
        <v>2771088</v>
      </c>
      <c r="M1170" s="53">
        <v>3622128</v>
      </c>
      <c r="N1170" s="53">
        <v>3238272</v>
      </c>
      <c r="O1170" s="53">
        <v>3044224</v>
      </c>
      <c r="P1170" s="53">
        <v>0</v>
      </c>
      <c r="Q1170" s="53">
        <v>0</v>
      </c>
      <c r="R1170" s="53">
        <v>0</v>
      </c>
    </row>
    <row r="1171" spans="1:18" x14ac:dyDescent="0.25">
      <c r="A1171" s="25" t="s">
        <v>374</v>
      </c>
      <c r="B1171" s="26">
        <v>2015</v>
      </c>
      <c r="C1171" s="74" t="s">
        <v>405</v>
      </c>
      <c r="D1171" s="27">
        <v>0</v>
      </c>
      <c r="E1171" s="53">
        <v>0</v>
      </c>
      <c r="F1171" s="53">
        <v>0</v>
      </c>
      <c r="G1171" s="53">
        <v>400</v>
      </c>
      <c r="H1171" s="53">
        <v>450</v>
      </c>
      <c r="I1171" s="53">
        <v>400</v>
      </c>
      <c r="J1171" s="53">
        <v>820</v>
      </c>
      <c r="K1171" s="53">
        <v>400</v>
      </c>
      <c r="L1171" s="53">
        <v>0</v>
      </c>
      <c r="M1171" s="53">
        <v>800</v>
      </c>
      <c r="N1171" s="53">
        <v>1000</v>
      </c>
      <c r="O1171" s="53">
        <v>200</v>
      </c>
      <c r="P1171" s="53">
        <v>0</v>
      </c>
      <c r="Q1171" s="53">
        <v>0</v>
      </c>
      <c r="R1171" s="53">
        <v>600</v>
      </c>
    </row>
    <row r="1172" spans="1:18" x14ac:dyDescent="0.25">
      <c r="A1172" s="25" t="s">
        <v>203</v>
      </c>
      <c r="B1172" s="26">
        <v>2015</v>
      </c>
      <c r="C1172" s="74" t="s">
        <v>202</v>
      </c>
      <c r="D1172" s="27">
        <v>0</v>
      </c>
      <c r="E1172" s="53">
        <v>4055000000</v>
      </c>
      <c r="F1172" s="53">
        <v>4055000000</v>
      </c>
      <c r="G1172" s="53">
        <v>275402405.97000003</v>
      </c>
      <c r="H1172" s="53">
        <v>97984283.659999996</v>
      </c>
      <c r="I1172" s="53">
        <v>55561087.530000001</v>
      </c>
      <c r="J1172" s="53">
        <v>29592034.5</v>
      </c>
      <c r="K1172" s="53">
        <v>33408871.699999999</v>
      </c>
      <c r="L1172" s="53">
        <v>19117959.690000001</v>
      </c>
      <c r="M1172" s="53">
        <v>18865426.850000001</v>
      </c>
      <c r="N1172" s="53">
        <v>13111221.300000001</v>
      </c>
      <c r="O1172" s="53">
        <v>14920484.050000001</v>
      </c>
      <c r="P1172" s="53">
        <v>9846254.4800000004</v>
      </c>
      <c r="Q1172" s="53">
        <v>61444791.649999999</v>
      </c>
      <c r="R1172" s="53">
        <v>4078179140.1900001</v>
      </c>
    </row>
    <row r="1173" spans="1:18" x14ac:dyDescent="0.25">
      <c r="A1173" s="25" t="s">
        <v>200</v>
      </c>
      <c r="B1173" s="26">
        <v>2015</v>
      </c>
      <c r="C1173" s="74" t="s">
        <v>199</v>
      </c>
      <c r="D1173" s="27">
        <v>0</v>
      </c>
      <c r="E1173" s="53">
        <v>50000000</v>
      </c>
      <c r="F1173" s="53">
        <v>50000000</v>
      </c>
      <c r="G1173" s="53">
        <v>3748590.4</v>
      </c>
      <c r="H1173" s="53">
        <v>3221079.68</v>
      </c>
      <c r="I1173" s="53">
        <v>3051731.62</v>
      </c>
      <c r="J1173" s="53">
        <v>3732058.24</v>
      </c>
      <c r="K1173" s="53">
        <v>2892797.4</v>
      </c>
      <c r="L1173" s="53">
        <v>3850273.22</v>
      </c>
      <c r="M1173" s="53">
        <v>2774114</v>
      </c>
      <c r="N1173" s="53">
        <v>1854523.46</v>
      </c>
      <c r="O1173" s="53">
        <v>1905739</v>
      </c>
      <c r="P1173" s="53">
        <v>3306639</v>
      </c>
      <c r="Q1173" s="53">
        <v>2975580</v>
      </c>
      <c r="R1173" s="53">
        <v>2180709</v>
      </c>
    </row>
    <row r="1174" spans="1:18" x14ac:dyDescent="0.25">
      <c r="A1174" s="25" t="s">
        <v>198</v>
      </c>
      <c r="B1174" s="26">
        <v>2015</v>
      </c>
      <c r="C1174" s="74" t="s">
        <v>197</v>
      </c>
      <c r="D1174" s="27">
        <v>0</v>
      </c>
      <c r="E1174" s="53">
        <v>5000000</v>
      </c>
      <c r="F1174" s="53">
        <v>5000000</v>
      </c>
      <c r="G1174" s="53">
        <v>450718.3</v>
      </c>
      <c r="H1174" s="53">
        <v>181930</v>
      </c>
      <c r="I1174" s="53">
        <v>731170</v>
      </c>
      <c r="J1174" s="53">
        <v>69390</v>
      </c>
      <c r="K1174" s="53">
        <v>213189</v>
      </c>
      <c r="L1174" s="53">
        <v>254302</v>
      </c>
      <c r="M1174" s="53">
        <v>334954</v>
      </c>
      <c r="N1174" s="53">
        <v>121180</v>
      </c>
      <c r="O1174" s="53">
        <v>478940</v>
      </c>
      <c r="P1174" s="53">
        <v>306110</v>
      </c>
      <c r="Q1174" s="53">
        <v>302040</v>
      </c>
      <c r="R1174" s="53">
        <v>157030</v>
      </c>
    </row>
    <row r="1175" spans="1:18" x14ac:dyDescent="0.25">
      <c r="A1175" s="25" t="s">
        <v>196</v>
      </c>
      <c r="B1175" s="26">
        <v>2015</v>
      </c>
      <c r="C1175" s="74" t="s">
        <v>195</v>
      </c>
      <c r="D1175" s="27">
        <v>0</v>
      </c>
      <c r="E1175" s="53">
        <v>110000000</v>
      </c>
      <c r="F1175" s="53">
        <v>110000000</v>
      </c>
      <c r="G1175" s="53">
        <v>10328338.9</v>
      </c>
      <c r="H1175" s="53">
        <v>8417650.5</v>
      </c>
      <c r="I1175" s="53">
        <v>9104950.0500000007</v>
      </c>
      <c r="J1175" s="53">
        <v>11176618.140000001</v>
      </c>
      <c r="K1175" s="53">
        <v>7730771.1799999997</v>
      </c>
      <c r="L1175" s="53">
        <v>8034703.5899999999</v>
      </c>
      <c r="M1175" s="53">
        <v>7594421.6600000001</v>
      </c>
      <c r="N1175" s="53">
        <v>6357248</v>
      </c>
      <c r="O1175" s="53">
        <v>9233135.5800000001</v>
      </c>
      <c r="P1175" s="53">
        <v>8897344.3800000008</v>
      </c>
      <c r="Q1175" s="53">
        <v>7900132.54</v>
      </c>
      <c r="R1175" s="53">
        <v>9581457.7599999998</v>
      </c>
    </row>
    <row r="1176" spans="1:18" x14ac:dyDescent="0.25">
      <c r="A1176" s="25" t="s">
        <v>194</v>
      </c>
      <c r="B1176" s="26">
        <v>2015</v>
      </c>
      <c r="C1176" s="74" t="s">
        <v>193</v>
      </c>
      <c r="D1176" s="27">
        <v>0</v>
      </c>
      <c r="E1176" s="53">
        <v>55000000</v>
      </c>
      <c r="F1176" s="53">
        <v>55000000</v>
      </c>
      <c r="G1176" s="53">
        <v>3619218</v>
      </c>
      <c r="H1176" s="53">
        <v>2909188</v>
      </c>
      <c r="I1176" s="53">
        <v>5204744</v>
      </c>
      <c r="J1176" s="53">
        <v>2706009</v>
      </c>
      <c r="K1176" s="53">
        <v>2937938.7</v>
      </c>
      <c r="L1176" s="53">
        <v>5743030</v>
      </c>
      <c r="M1176" s="53">
        <v>6876336</v>
      </c>
      <c r="N1176" s="53">
        <v>3004526</v>
      </c>
      <c r="O1176" s="53">
        <v>4666895</v>
      </c>
      <c r="P1176" s="53">
        <v>6302593</v>
      </c>
      <c r="Q1176" s="53">
        <v>5511148</v>
      </c>
      <c r="R1176" s="53">
        <v>7804195.3600000003</v>
      </c>
    </row>
    <row r="1177" spans="1:18" x14ac:dyDescent="0.25">
      <c r="A1177" s="25" t="s">
        <v>187</v>
      </c>
      <c r="B1177" s="26">
        <v>2015</v>
      </c>
      <c r="C1177" s="74" t="s">
        <v>186</v>
      </c>
      <c r="D1177" s="27">
        <v>0</v>
      </c>
      <c r="E1177" s="53">
        <v>26000000</v>
      </c>
      <c r="F1177" s="53">
        <v>26000000</v>
      </c>
      <c r="G1177" s="53">
        <v>1021000</v>
      </c>
      <c r="H1177" s="53">
        <v>1906589.8</v>
      </c>
      <c r="I1177" s="53">
        <v>3557786</v>
      </c>
      <c r="J1177" s="53">
        <v>2251911.1</v>
      </c>
      <c r="K1177" s="53">
        <v>1751458.5</v>
      </c>
      <c r="L1177" s="53">
        <v>1609535</v>
      </c>
      <c r="M1177" s="53">
        <v>2103136.7200000002</v>
      </c>
      <c r="N1177" s="53">
        <v>2186587</v>
      </c>
      <c r="O1177" s="53">
        <v>1111318.0900000001</v>
      </c>
      <c r="P1177" s="53">
        <v>1648871</v>
      </c>
      <c r="Q1177" s="53">
        <v>1736467.5</v>
      </c>
      <c r="R1177" s="53">
        <v>566477.05000000005</v>
      </c>
    </row>
    <row r="1178" spans="1:18" x14ac:dyDescent="0.25">
      <c r="A1178" s="25" t="s">
        <v>185</v>
      </c>
      <c r="B1178" s="26">
        <v>2015</v>
      </c>
      <c r="C1178" s="74" t="s">
        <v>184</v>
      </c>
      <c r="D1178" s="27">
        <v>0</v>
      </c>
      <c r="E1178" s="53">
        <v>44000000</v>
      </c>
      <c r="F1178" s="53">
        <v>44000000</v>
      </c>
      <c r="G1178" s="53">
        <v>7784750</v>
      </c>
      <c r="H1178" s="53">
        <v>3143000</v>
      </c>
      <c r="I1178" s="53">
        <v>13746000</v>
      </c>
      <c r="J1178" s="53">
        <v>0</v>
      </c>
      <c r="K1178" s="53">
        <v>3586000</v>
      </c>
      <c r="L1178" s="53">
        <v>32000</v>
      </c>
      <c r="M1178" s="53">
        <v>330000</v>
      </c>
      <c r="N1178" s="53">
        <v>797000</v>
      </c>
      <c r="O1178" s="53">
        <v>4000</v>
      </c>
      <c r="P1178" s="53">
        <v>0</v>
      </c>
      <c r="Q1178" s="53">
        <v>0</v>
      </c>
      <c r="R1178" s="53">
        <v>2872000</v>
      </c>
    </row>
    <row r="1179" spans="1:18" x14ac:dyDescent="0.25">
      <c r="A1179" s="25" t="s">
        <v>183</v>
      </c>
      <c r="B1179" s="26">
        <v>2015</v>
      </c>
      <c r="C1179" s="74" t="s">
        <v>182</v>
      </c>
      <c r="D1179" s="27">
        <v>0</v>
      </c>
      <c r="E1179" s="53">
        <v>526000000</v>
      </c>
      <c r="F1179" s="53">
        <v>526000000</v>
      </c>
      <c r="G1179" s="53">
        <v>75027000</v>
      </c>
      <c r="H1179" s="53">
        <v>1549200</v>
      </c>
      <c r="I1179" s="53">
        <v>3315000</v>
      </c>
      <c r="J1179" s="53">
        <v>7170094</v>
      </c>
      <c r="K1179" s="53">
        <v>2819873.42</v>
      </c>
      <c r="L1179" s="53">
        <v>2675009.3199999998</v>
      </c>
      <c r="M1179" s="53">
        <v>14475471.689999999</v>
      </c>
      <c r="N1179" s="53">
        <v>2658393.35</v>
      </c>
      <c r="O1179" s="53">
        <v>1923685.48</v>
      </c>
      <c r="P1179" s="53">
        <v>3943731.34</v>
      </c>
      <c r="Q1179" s="53">
        <v>39772242.579999998</v>
      </c>
      <c r="R1179" s="53">
        <v>141354889.43000001</v>
      </c>
    </row>
    <row r="1180" spans="1:18" x14ac:dyDescent="0.25">
      <c r="A1180" s="25" t="s">
        <v>178</v>
      </c>
      <c r="B1180" s="26">
        <v>2015</v>
      </c>
      <c r="C1180" s="74" t="s">
        <v>177</v>
      </c>
      <c r="D1180" s="27">
        <v>0</v>
      </c>
      <c r="E1180" s="53">
        <v>14729000000</v>
      </c>
      <c r="F1180" s="53">
        <v>14729000000</v>
      </c>
      <c r="G1180" s="53">
        <v>0</v>
      </c>
      <c r="H1180" s="53">
        <v>0</v>
      </c>
      <c r="I1180" s="53">
        <v>0</v>
      </c>
      <c r="J1180" s="53">
        <v>11211430490.26</v>
      </c>
      <c r="K1180" s="53">
        <v>0</v>
      </c>
      <c r="L1180" s="53">
        <v>0</v>
      </c>
      <c r="M1180" s="53">
        <v>0</v>
      </c>
      <c r="N1180" s="53">
        <v>0</v>
      </c>
      <c r="O1180" s="53">
        <v>0</v>
      </c>
      <c r="P1180" s="53">
        <v>0</v>
      </c>
      <c r="Q1180" s="53">
        <v>0</v>
      </c>
      <c r="R1180" s="53">
        <v>0</v>
      </c>
    </row>
    <row r="1181" spans="1:18" x14ac:dyDescent="0.25">
      <c r="A1181" s="25" t="s">
        <v>176</v>
      </c>
      <c r="B1181" s="26">
        <v>2015</v>
      </c>
      <c r="C1181" s="74" t="s">
        <v>175</v>
      </c>
      <c r="D1181" s="27">
        <v>0</v>
      </c>
      <c r="E1181" s="53">
        <v>440000000</v>
      </c>
      <c r="F1181" s="53">
        <v>440000000</v>
      </c>
      <c r="G1181" s="53">
        <v>80837651.609999999</v>
      </c>
      <c r="H1181" s="53">
        <v>19508408.859999999</v>
      </c>
      <c r="I1181" s="53">
        <v>20086907.129999999</v>
      </c>
      <c r="J1181" s="53">
        <v>12683802.359999999</v>
      </c>
      <c r="K1181" s="53">
        <v>6560419.7300000004</v>
      </c>
      <c r="L1181" s="53">
        <v>13972263.48</v>
      </c>
      <c r="M1181" s="53">
        <v>17296540.879999999</v>
      </c>
      <c r="N1181" s="53">
        <v>4149365.44</v>
      </c>
      <c r="O1181" s="53">
        <v>14354569.02</v>
      </c>
      <c r="P1181" s="53">
        <v>7271534.0499999998</v>
      </c>
      <c r="Q1181" s="53">
        <v>4862550.1100000003</v>
      </c>
      <c r="R1181" s="53">
        <v>21435097.850000001</v>
      </c>
    </row>
    <row r="1182" spans="1:18" x14ac:dyDescent="0.25">
      <c r="A1182" s="25" t="s">
        <v>174</v>
      </c>
      <c r="B1182" s="26">
        <v>2015</v>
      </c>
      <c r="C1182" s="74" t="s">
        <v>173</v>
      </c>
      <c r="D1182" s="27">
        <v>0</v>
      </c>
      <c r="E1182" s="53">
        <v>164000000</v>
      </c>
      <c r="F1182" s="53">
        <v>164000000</v>
      </c>
      <c r="G1182" s="53">
        <v>11978815.09</v>
      </c>
      <c r="H1182" s="53">
        <v>0</v>
      </c>
      <c r="I1182" s="53">
        <v>0</v>
      </c>
      <c r="J1182" s="53">
        <v>0</v>
      </c>
      <c r="K1182" s="53">
        <v>0</v>
      </c>
      <c r="L1182" s="53">
        <v>0</v>
      </c>
      <c r="M1182" s="53">
        <v>101644471.09999999</v>
      </c>
      <c r="N1182" s="53">
        <v>0</v>
      </c>
      <c r="O1182" s="53">
        <v>0</v>
      </c>
      <c r="P1182" s="53">
        <v>0</v>
      </c>
      <c r="Q1182" s="53">
        <v>0</v>
      </c>
      <c r="R1182" s="53">
        <v>0</v>
      </c>
    </row>
    <row r="1183" spans="1:18" x14ac:dyDescent="0.25">
      <c r="A1183" s="25" t="s">
        <v>172</v>
      </c>
      <c r="B1183" s="26">
        <v>2015</v>
      </c>
      <c r="C1183" s="74" t="s">
        <v>171</v>
      </c>
      <c r="D1183" s="27">
        <v>0</v>
      </c>
      <c r="E1183" s="53">
        <v>1690000000</v>
      </c>
      <c r="F1183" s="53">
        <v>1690000000</v>
      </c>
      <c r="G1183" s="53">
        <v>282362996</v>
      </c>
      <c r="H1183" s="53">
        <v>200153946</v>
      </c>
      <c r="I1183" s="53">
        <v>253848045.94999999</v>
      </c>
      <c r="J1183" s="53">
        <v>295371773.12</v>
      </c>
      <c r="K1183" s="53">
        <v>216049300</v>
      </c>
      <c r="L1183" s="53">
        <v>203112704.02000001</v>
      </c>
      <c r="M1183" s="53">
        <v>198961583</v>
      </c>
      <c r="N1183" s="53">
        <v>195519380</v>
      </c>
      <c r="O1183" s="53">
        <v>192774363</v>
      </c>
      <c r="P1183" s="53">
        <v>182287645</v>
      </c>
      <c r="Q1183" s="53">
        <v>137942057.31999999</v>
      </c>
      <c r="R1183" s="53">
        <v>1771014114</v>
      </c>
    </row>
    <row r="1184" spans="1:18" x14ac:dyDescent="0.25">
      <c r="A1184" s="25" t="s">
        <v>170</v>
      </c>
      <c r="B1184" s="26">
        <v>2015</v>
      </c>
      <c r="C1184" s="74" t="s">
        <v>168</v>
      </c>
      <c r="D1184" s="27">
        <v>0</v>
      </c>
      <c r="E1184" s="53">
        <v>560000000</v>
      </c>
      <c r="F1184" s="53">
        <v>560000000</v>
      </c>
      <c r="G1184" s="53">
        <v>20862285.34</v>
      </c>
      <c r="H1184" s="53">
        <v>122842781.36</v>
      </c>
      <c r="I1184" s="53">
        <v>70489298.700000003</v>
      </c>
      <c r="J1184" s="53">
        <v>155431539.46000001</v>
      </c>
      <c r="K1184" s="53">
        <v>93971681.459999993</v>
      </c>
      <c r="L1184" s="53">
        <v>115422425.83</v>
      </c>
      <c r="M1184" s="53">
        <v>132078652.42</v>
      </c>
      <c r="N1184" s="53">
        <v>78247272.780000001</v>
      </c>
      <c r="O1184" s="53">
        <v>112673039.84999999</v>
      </c>
      <c r="P1184" s="53">
        <v>119683200.19</v>
      </c>
      <c r="Q1184" s="53">
        <v>94374566.689999998</v>
      </c>
      <c r="R1184" s="53">
        <v>9184232.0500000007</v>
      </c>
    </row>
    <row r="1185" spans="1:18" x14ac:dyDescent="0.25">
      <c r="A1185" s="25" t="s">
        <v>167</v>
      </c>
      <c r="B1185" s="26">
        <v>2015</v>
      </c>
      <c r="C1185" s="74" t="s">
        <v>166</v>
      </c>
      <c r="D1185" s="27">
        <v>0</v>
      </c>
      <c r="E1185" s="53">
        <v>6950000000</v>
      </c>
      <c r="F1185" s="53">
        <v>6950000000</v>
      </c>
      <c r="G1185" s="53">
        <v>529813062</v>
      </c>
      <c r="H1185" s="53">
        <v>712630316</v>
      </c>
      <c r="I1185" s="53">
        <v>855376892</v>
      </c>
      <c r="J1185" s="53">
        <v>692991457.13999999</v>
      </c>
      <c r="K1185" s="53">
        <v>485742170</v>
      </c>
      <c r="L1185" s="53">
        <v>451829539</v>
      </c>
      <c r="M1185" s="53">
        <v>445203608</v>
      </c>
      <c r="N1185" s="53">
        <v>597587956</v>
      </c>
      <c r="O1185" s="53">
        <v>427608839</v>
      </c>
      <c r="P1185" s="53">
        <v>1270219512.01</v>
      </c>
      <c r="Q1185" s="53">
        <v>472627388.08999997</v>
      </c>
      <c r="R1185" s="53">
        <v>44385561.520000003</v>
      </c>
    </row>
    <row r="1186" spans="1:18" x14ac:dyDescent="0.25">
      <c r="A1186" s="25" t="s">
        <v>165</v>
      </c>
      <c r="B1186" s="26">
        <v>2015</v>
      </c>
      <c r="C1186" s="74" t="s">
        <v>164</v>
      </c>
      <c r="D1186" s="27">
        <v>0</v>
      </c>
      <c r="E1186" s="53">
        <v>50000000</v>
      </c>
      <c r="F1186" s="53">
        <v>50000000</v>
      </c>
      <c r="G1186" s="53">
        <v>664258.56000000006</v>
      </c>
      <c r="H1186" s="53">
        <v>400000</v>
      </c>
      <c r="I1186" s="53">
        <v>200000</v>
      </c>
      <c r="J1186" s="53">
        <v>0</v>
      </c>
      <c r="K1186" s="53">
        <v>0</v>
      </c>
      <c r="L1186" s="53">
        <v>1415000</v>
      </c>
      <c r="M1186" s="53">
        <v>3316256.24</v>
      </c>
      <c r="N1186" s="53">
        <v>21000805.32</v>
      </c>
      <c r="O1186" s="53">
        <v>5262625</v>
      </c>
      <c r="P1186" s="53">
        <v>19178950.550000001</v>
      </c>
      <c r="Q1186" s="53">
        <v>5798541.9400000004</v>
      </c>
      <c r="R1186" s="53">
        <v>305037101.24000001</v>
      </c>
    </row>
    <row r="1187" spans="1:18" x14ac:dyDescent="0.25">
      <c r="A1187" s="25" t="s">
        <v>163</v>
      </c>
      <c r="B1187" s="26">
        <v>2015</v>
      </c>
      <c r="C1187" s="74" t="s">
        <v>162</v>
      </c>
      <c r="D1187" s="27">
        <v>0</v>
      </c>
      <c r="E1187" s="53">
        <v>531000000</v>
      </c>
      <c r="F1187" s="53">
        <v>531000000</v>
      </c>
      <c r="G1187" s="53">
        <v>8655000</v>
      </c>
      <c r="H1187" s="53">
        <v>20072500</v>
      </c>
      <c r="I1187" s="53">
        <v>141018422</v>
      </c>
      <c r="J1187" s="53">
        <v>3927000</v>
      </c>
      <c r="K1187" s="53">
        <v>49276867</v>
      </c>
      <c r="L1187" s="53">
        <v>26923000</v>
      </c>
      <c r="M1187" s="53">
        <v>67336700</v>
      </c>
      <c r="N1187" s="53">
        <v>71330257</v>
      </c>
      <c r="O1187" s="53">
        <v>49186500</v>
      </c>
      <c r="P1187" s="53">
        <v>26453500</v>
      </c>
      <c r="Q1187" s="53">
        <v>27767250</v>
      </c>
      <c r="R1187" s="53">
        <v>46525500</v>
      </c>
    </row>
    <row r="1188" spans="1:18" x14ac:dyDescent="0.25">
      <c r="A1188" s="25" t="s">
        <v>161</v>
      </c>
      <c r="B1188" s="26">
        <v>2015</v>
      </c>
      <c r="C1188" s="74" t="s">
        <v>160</v>
      </c>
      <c r="D1188" s="27">
        <v>0</v>
      </c>
      <c r="E1188" s="53">
        <v>213000000</v>
      </c>
      <c r="F1188" s="53">
        <v>213000000</v>
      </c>
      <c r="G1188" s="53">
        <v>6587465.9000000004</v>
      </c>
      <c r="H1188" s="53">
        <v>5872088.0800000001</v>
      </c>
      <c r="I1188" s="53">
        <v>8310198.3099999996</v>
      </c>
      <c r="J1188" s="53">
        <v>59293058.229999997</v>
      </c>
      <c r="K1188" s="53">
        <v>17372825.09</v>
      </c>
      <c r="L1188" s="53">
        <v>7163555.6900000004</v>
      </c>
      <c r="M1188" s="53">
        <v>23958212.460000001</v>
      </c>
      <c r="N1188" s="53">
        <v>21297299.850000001</v>
      </c>
      <c r="O1188" s="53">
        <v>7011086.9900000002</v>
      </c>
      <c r="P1188" s="53">
        <v>6123255.6699999999</v>
      </c>
      <c r="Q1188" s="53">
        <v>3176657.76</v>
      </c>
      <c r="R1188" s="53">
        <v>283600473.38999999</v>
      </c>
    </row>
    <row r="1189" spans="1:18" x14ac:dyDescent="0.25">
      <c r="A1189" s="25" t="s">
        <v>159</v>
      </c>
      <c r="B1189" s="26">
        <v>2015</v>
      </c>
      <c r="C1189" s="74" t="s">
        <v>158</v>
      </c>
      <c r="D1189" s="27">
        <v>0</v>
      </c>
      <c r="E1189" s="53">
        <v>153688769.03</v>
      </c>
      <c r="F1189" s="53">
        <v>153688769.03</v>
      </c>
      <c r="G1189" s="53">
        <v>0</v>
      </c>
      <c r="H1189" s="53">
        <v>0</v>
      </c>
      <c r="I1189" s="53">
        <v>0</v>
      </c>
      <c r="J1189" s="53">
        <v>0</v>
      </c>
      <c r="K1189" s="53">
        <v>0</v>
      </c>
      <c r="L1189" s="53">
        <v>153688769.03</v>
      </c>
      <c r="M1189" s="53">
        <v>0</v>
      </c>
      <c r="N1189" s="53">
        <v>0</v>
      </c>
      <c r="O1189" s="53">
        <v>0</v>
      </c>
      <c r="P1189" s="53">
        <v>0</v>
      </c>
      <c r="Q1189" s="53">
        <v>0</v>
      </c>
      <c r="R1189" s="53">
        <v>0</v>
      </c>
    </row>
    <row r="1190" spans="1:18" x14ac:dyDescent="0.25">
      <c r="A1190" s="25" t="s">
        <v>153</v>
      </c>
      <c r="B1190" s="26">
        <v>2015</v>
      </c>
      <c r="C1190" s="74" t="s">
        <v>151</v>
      </c>
      <c r="D1190" s="27">
        <v>0</v>
      </c>
      <c r="E1190" s="53">
        <v>96000000</v>
      </c>
      <c r="F1190" s="53">
        <v>96000000</v>
      </c>
      <c r="G1190" s="53">
        <v>12109698</v>
      </c>
      <c r="H1190" s="53">
        <v>2533710.64</v>
      </c>
      <c r="I1190" s="53">
        <v>2597314.2000000002</v>
      </c>
      <c r="J1190" s="53">
        <v>20667207</v>
      </c>
      <c r="K1190" s="53">
        <v>3923294.34</v>
      </c>
      <c r="L1190" s="53">
        <v>74230919.109999999</v>
      </c>
      <c r="M1190" s="53">
        <v>10354482.119999999</v>
      </c>
      <c r="N1190" s="53">
        <v>3734366.48</v>
      </c>
      <c r="O1190" s="53">
        <v>9887179.2799999993</v>
      </c>
      <c r="P1190" s="53">
        <v>35541142.140000001</v>
      </c>
      <c r="Q1190" s="53">
        <v>-1285277.8500000001</v>
      </c>
      <c r="R1190" s="53">
        <v>10921958.32</v>
      </c>
    </row>
    <row r="1191" spans="1:18" x14ac:dyDescent="0.25">
      <c r="A1191" s="25" t="s">
        <v>150</v>
      </c>
      <c r="B1191" s="26">
        <v>2015</v>
      </c>
      <c r="C1191" s="74" t="s">
        <v>149</v>
      </c>
      <c r="D1191" s="27">
        <v>0</v>
      </c>
      <c r="E1191" s="53">
        <v>91000000</v>
      </c>
      <c r="F1191" s="53">
        <v>91000000</v>
      </c>
      <c r="G1191" s="53">
        <v>11740279.18</v>
      </c>
      <c r="H1191" s="53">
        <v>7913560.9800000004</v>
      </c>
      <c r="I1191" s="53">
        <v>21418196.77</v>
      </c>
      <c r="J1191" s="53">
        <v>0</v>
      </c>
      <c r="K1191" s="53">
        <v>39523920.259999998</v>
      </c>
      <c r="L1191" s="53">
        <v>5873088.8899999997</v>
      </c>
      <c r="M1191" s="53">
        <v>17064866.48</v>
      </c>
      <c r="N1191" s="53">
        <v>37966792.200000003</v>
      </c>
      <c r="O1191" s="53">
        <v>9235822.7200000007</v>
      </c>
      <c r="P1191" s="53">
        <v>0</v>
      </c>
      <c r="Q1191" s="53">
        <v>0</v>
      </c>
      <c r="R1191" s="53">
        <v>2540267.09</v>
      </c>
    </row>
    <row r="1192" spans="1:18" x14ac:dyDescent="0.25">
      <c r="A1192" s="25" t="s">
        <v>147</v>
      </c>
      <c r="B1192" s="26">
        <v>2015</v>
      </c>
      <c r="C1192" s="74" t="s">
        <v>146</v>
      </c>
      <c r="D1192" s="27">
        <v>0</v>
      </c>
      <c r="E1192" s="53">
        <v>262000000</v>
      </c>
      <c r="F1192" s="53">
        <v>262000000</v>
      </c>
      <c r="G1192" s="53">
        <v>43184951</v>
      </c>
      <c r="H1192" s="53">
        <v>30581475</v>
      </c>
      <c r="I1192" s="53">
        <v>42189521</v>
      </c>
      <c r="J1192" s="53">
        <v>45458097</v>
      </c>
      <c r="K1192" s="53">
        <v>35169503</v>
      </c>
      <c r="L1192" s="53">
        <v>31868721</v>
      </c>
      <c r="M1192" s="53">
        <v>33066457</v>
      </c>
      <c r="N1192" s="53">
        <v>31551856</v>
      </c>
      <c r="O1192" s="53">
        <v>31390470</v>
      </c>
      <c r="P1192" s="53">
        <v>31606255</v>
      </c>
      <c r="Q1192" s="53">
        <v>33685184</v>
      </c>
      <c r="R1192" s="53">
        <v>13508285063.6</v>
      </c>
    </row>
    <row r="1193" spans="1:18" x14ac:dyDescent="0.25">
      <c r="A1193" s="25" t="s">
        <v>144</v>
      </c>
      <c r="B1193" s="26">
        <v>2015</v>
      </c>
      <c r="C1193" s="74" t="s">
        <v>143</v>
      </c>
      <c r="D1193" s="27">
        <v>0</v>
      </c>
      <c r="E1193" s="53">
        <v>4300000000</v>
      </c>
      <c r="F1193" s="53">
        <v>4300000000</v>
      </c>
      <c r="G1193" s="53">
        <v>139326551.91999999</v>
      </c>
      <c r="H1193" s="53">
        <v>94094871.109999999</v>
      </c>
      <c r="I1193" s="53">
        <v>135788936.52000001</v>
      </c>
      <c r="J1193" s="53">
        <v>201561048.46000001</v>
      </c>
      <c r="K1193" s="53">
        <v>119518415.27</v>
      </c>
      <c r="L1193" s="53">
        <v>394815897.33999997</v>
      </c>
      <c r="M1193" s="53">
        <v>292113218.55000001</v>
      </c>
      <c r="N1193" s="53">
        <v>202890917.22</v>
      </c>
      <c r="O1193" s="53">
        <v>139490296</v>
      </c>
      <c r="P1193" s="53">
        <v>110358064.14</v>
      </c>
      <c r="Q1193" s="53">
        <v>256619148.65000001</v>
      </c>
      <c r="R1193" s="53">
        <v>814275364.64999998</v>
      </c>
    </row>
    <row r="1194" spans="1:18" x14ac:dyDescent="0.25">
      <c r="A1194" s="25" t="s">
        <v>142</v>
      </c>
      <c r="B1194" s="26">
        <v>2015</v>
      </c>
      <c r="C1194" s="74" t="s">
        <v>141</v>
      </c>
      <c r="D1194" s="27">
        <v>0</v>
      </c>
      <c r="E1194" s="53">
        <v>1450000000</v>
      </c>
      <c r="F1194" s="53">
        <v>1450000000</v>
      </c>
      <c r="G1194" s="53">
        <v>71426452.790000007</v>
      </c>
      <c r="H1194" s="53">
        <v>68118078.680000007</v>
      </c>
      <c r="I1194" s="53">
        <v>108406481.40000001</v>
      </c>
      <c r="J1194" s="53">
        <v>292791329.76999998</v>
      </c>
      <c r="K1194" s="53">
        <v>374278137.19999999</v>
      </c>
      <c r="L1194" s="53">
        <v>149874165.77000001</v>
      </c>
      <c r="M1194" s="53">
        <v>141948406.72999999</v>
      </c>
      <c r="N1194" s="53">
        <v>293917061.25999999</v>
      </c>
      <c r="O1194" s="53">
        <v>183272525.36000001</v>
      </c>
      <c r="P1194" s="53">
        <v>16851213</v>
      </c>
      <c r="Q1194" s="53">
        <v>219402518.28999999</v>
      </c>
      <c r="R1194" s="53">
        <v>1032935846.89</v>
      </c>
    </row>
    <row r="1195" spans="1:18" x14ac:dyDescent="0.25">
      <c r="A1195" s="25" t="s">
        <v>140</v>
      </c>
      <c r="B1195" s="26">
        <v>2015</v>
      </c>
      <c r="C1195" s="74" t="s">
        <v>139</v>
      </c>
      <c r="D1195" s="27">
        <v>0</v>
      </c>
      <c r="E1195" s="53">
        <v>28641423106</v>
      </c>
      <c r="F1195" s="53">
        <v>28641423106</v>
      </c>
      <c r="G1195" s="53">
        <v>0</v>
      </c>
      <c r="H1195" s="53">
        <v>0</v>
      </c>
      <c r="I1195" s="53">
        <v>4052459889.6999998</v>
      </c>
      <c r="J1195" s="53">
        <v>5320257565.8000002</v>
      </c>
      <c r="K1195" s="53">
        <v>5007483156.9200001</v>
      </c>
      <c r="L1195" s="53">
        <v>5309873001.3599997</v>
      </c>
      <c r="M1195" s="53">
        <v>5293034800.4799995</v>
      </c>
      <c r="N1195" s="53">
        <v>3997579879.8200002</v>
      </c>
      <c r="O1195" s="53">
        <v>0</v>
      </c>
      <c r="P1195" s="53">
        <v>11066431950.120001</v>
      </c>
      <c r="Q1195" s="53">
        <v>0</v>
      </c>
      <c r="R1195" s="53">
        <v>-12631120244.200001</v>
      </c>
    </row>
    <row r="1196" spans="1:18" x14ac:dyDescent="0.25">
      <c r="A1196" s="25" t="s">
        <v>372</v>
      </c>
      <c r="B1196" s="26">
        <v>2015</v>
      </c>
      <c r="C1196" s="74" t="s">
        <v>398</v>
      </c>
      <c r="D1196" s="27">
        <v>0</v>
      </c>
      <c r="E1196" s="53">
        <v>0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3">
        <v>0</v>
      </c>
      <c r="L1196" s="53">
        <v>0</v>
      </c>
      <c r="M1196" s="53">
        <v>0</v>
      </c>
      <c r="N1196" s="53">
        <v>0</v>
      </c>
      <c r="O1196" s="53">
        <v>0</v>
      </c>
      <c r="P1196" s="53">
        <v>0</v>
      </c>
      <c r="Q1196" s="53">
        <v>0</v>
      </c>
      <c r="R1196" s="53">
        <v>0</v>
      </c>
    </row>
    <row r="1197" spans="1:18" x14ac:dyDescent="0.25">
      <c r="A1197" s="25" t="s">
        <v>138</v>
      </c>
      <c r="B1197" s="26">
        <v>2015</v>
      </c>
      <c r="C1197" s="74" t="s">
        <v>137</v>
      </c>
      <c r="D1197" s="27">
        <v>0</v>
      </c>
      <c r="E1197" s="53">
        <v>15217000000</v>
      </c>
      <c r="F1197" s="53">
        <v>15217000000</v>
      </c>
      <c r="G1197" s="53">
        <v>0</v>
      </c>
      <c r="H1197" s="53">
        <v>0</v>
      </c>
      <c r="I1197" s="53">
        <v>0</v>
      </c>
      <c r="J1197" s="53">
        <v>260440000</v>
      </c>
      <c r="K1197" s="53">
        <v>0</v>
      </c>
      <c r="L1197" s="53">
        <v>2382976000</v>
      </c>
      <c r="M1197" s="53">
        <v>1085315000</v>
      </c>
      <c r="N1197" s="53">
        <v>0</v>
      </c>
      <c r="O1197" s="53">
        <v>1399760000</v>
      </c>
      <c r="P1197" s="53">
        <v>3459260000</v>
      </c>
      <c r="Q1197" s="53">
        <v>0</v>
      </c>
      <c r="R1197" s="53">
        <v>3959532500</v>
      </c>
    </row>
    <row r="1198" spans="1:18" x14ac:dyDescent="0.25">
      <c r="A1198" s="25" t="s">
        <v>136</v>
      </c>
      <c r="B1198" s="26">
        <v>2015</v>
      </c>
      <c r="C1198" s="74" t="s">
        <v>135</v>
      </c>
      <c r="D1198" s="27">
        <v>0</v>
      </c>
      <c r="E1198" s="53">
        <v>2000000000</v>
      </c>
      <c r="F1198" s="53">
        <v>2000000000</v>
      </c>
      <c r="G1198" s="53">
        <v>0</v>
      </c>
      <c r="H1198" s="53">
        <v>0</v>
      </c>
      <c r="I1198" s="53">
        <v>0</v>
      </c>
      <c r="J1198" s="53">
        <v>0</v>
      </c>
      <c r="K1198" s="53">
        <v>0</v>
      </c>
      <c r="L1198" s="53">
        <v>500000000</v>
      </c>
      <c r="M1198" s="53">
        <v>500000000</v>
      </c>
      <c r="N1198" s="53">
        <v>300000000</v>
      </c>
      <c r="O1198" s="53">
        <v>0</v>
      </c>
      <c r="P1198" s="53">
        <v>0</v>
      </c>
      <c r="Q1198" s="53">
        <v>0</v>
      </c>
      <c r="R1198" s="53">
        <v>0</v>
      </c>
    </row>
    <row r="1199" spans="1:18" x14ac:dyDescent="0.25">
      <c r="A1199" s="25" t="s">
        <v>134</v>
      </c>
      <c r="B1199" s="26">
        <v>2015</v>
      </c>
      <c r="C1199" s="74" t="s">
        <v>133</v>
      </c>
      <c r="D1199" s="27">
        <v>0</v>
      </c>
      <c r="E1199" s="53">
        <v>69806000000</v>
      </c>
      <c r="F1199" s="53">
        <v>69806000000</v>
      </c>
      <c r="G1199" s="53">
        <v>0</v>
      </c>
      <c r="H1199" s="53">
        <v>8903000000.5</v>
      </c>
      <c r="I1199" s="53">
        <v>7000000000</v>
      </c>
      <c r="J1199" s="53">
        <v>7000000000</v>
      </c>
      <c r="K1199" s="53">
        <v>0</v>
      </c>
      <c r="L1199" s="53">
        <v>6000000000</v>
      </c>
      <c r="M1199" s="53">
        <v>5999999999.5</v>
      </c>
      <c r="N1199" s="53">
        <v>8903000000.5</v>
      </c>
      <c r="O1199" s="53">
        <v>7000000000</v>
      </c>
      <c r="P1199" s="53">
        <v>7000000000</v>
      </c>
      <c r="Q1199" s="53">
        <v>6000000000</v>
      </c>
      <c r="R1199" s="53">
        <v>5999999999.5</v>
      </c>
    </row>
    <row r="1200" spans="1:18" x14ac:dyDescent="0.25">
      <c r="A1200" s="25" t="s">
        <v>132</v>
      </c>
      <c r="B1200" s="26">
        <v>2015</v>
      </c>
      <c r="C1200" s="74" t="s">
        <v>131</v>
      </c>
      <c r="D1200" s="27">
        <v>0</v>
      </c>
      <c r="E1200" s="53">
        <v>19158000000</v>
      </c>
      <c r="F1200" s="53">
        <v>19158000000</v>
      </c>
      <c r="G1200" s="53">
        <v>0</v>
      </c>
      <c r="H1200" s="53">
        <v>0</v>
      </c>
      <c r="I1200" s="53">
        <v>247965532</v>
      </c>
      <c r="J1200" s="53">
        <v>704501436</v>
      </c>
      <c r="K1200" s="53">
        <v>813837500</v>
      </c>
      <c r="L1200" s="53">
        <v>821292500</v>
      </c>
      <c r="M1200" s="53">
        <v>821115000</v>
      </c>
      <c r="N1200" s="53">
        <v>820760000</v>
      </c>
      <c r="O1200" s="53">
        <v>0</v>
      </c>
      <c r="P1200" s="53">
        <v>0</v>
      </c>
      <c r="Q1200" s="53">
        <v>0</v>
      </c>
      <c r="R1200" s="53">
        <v>14928528032</v>
      </c>
    </row>
    <row r="1201" spans="1:18" x14ac:dyDescent="0.25">
      <c r="A1201" s="25" t="s">
        <v>130</v>
      </c>
      <c r="B1201" s="26">
        <v>2015</v>
      </c>
      <c r="C1201" s="74" t="s">
        <v>129</v>
      </c>
      <c r="D1201" s="27">
        <v>0</v>
      </c>
      <c r="E1201" s="53">
        <v>48500000000</v>
      </c>
      <c r="F1201" s="53">
        <v>48500000000</v>
      </c>
      <c r="G1201" s="53">
        <v>0</v>
      </c>
      <c r="H1201" s="53">
        <v>4619047619</v>
      </c>
      <c r="I1201" s="53">
        <v>4619047619</v>
      </c>
      <c r="J1201" s="53">
        <v>4619047619</v>
      </c>
      <c r="K1201" s="53">
        <v>4619047619</v>
      </c>
      <c r="L1201" s="53">
        <v>4619047619</v>
      </c>
      <c r="M1201" s="53">
        <v>4619047619</v>
      </c>
      <c r="N1201" s="53">
        <v>4619047619</v>
      </c>
      <c r="O1201" s="53">
        <v>4619047619</v>
      </c>
      <c r="P1201" s="53">
        <v>3503005696.1500001</v>
      </c>
      <c r="Q1201" s="53">
        <v>0</v>
      </c>
      <c r="R1201" s="53">
        <v>8044613351.8500004</v>
      </c>
    </row>
    <row r="1202" spans="1:18" x14ac:dyDescent="0.25">
      <c r="A1202" s="25" t="s">
        <v>128</v>
      </c>
      <c r="B1202" s="26">
        <v>2015</v>
      </c>
      <c r="C1202" s="74" t="s">
        <v>127</v>
      </c>
      <c r="D1202" s="27">
        <v>0</v>
      </c>
      <c r="E1202" s="53">
        <v>7037000000</v>
      </c>
      <c r="F1202" s="53">
        <v>7037000000</v>
      </c>
      <c r="G1202" s="53">
        <v>0</v>
      </c>
      <c r="H1202" s="53">
        <v>0</v>
      </c>
      <c r="I1202" s="53">
        <v>670144000</v>
      </c>
      <c r="J1202" s="53">
        <v>1340288000</v>
      </c>
      <c r="K1202" s="53">
        <v>0</v>
      </c>
      <c r="L1202" s="53">
        <v>0</v>
      </c>
      <c r="M1202" s="53">
        <v>0</v>
      </c>
      <c r="N1202" s="53">
        <v>895050000</v>
      </c>
      <c r="O1202" s="53">
        <v>631000000</v>
      </c>
      <c r="P1202" s="53">
        <v>1081000000</v>
      </c>
      <c r="Q1202" s="53">
        <v>1193500000</v>
      </c>
      <c r="R1202" s="53">
        <v>1225518000</v>
      </c>
    </row>
    <row r="1203" spans="1:18" x14ac:dyDescent="0.25">
      <c r="A1203" s="25" t="s">
        <v>126</v>
      </c>
      <c r="B1203" s="26">
        <v>2015</v>
      </c>
      <c r="C1203" s="74" t="s">
        <v>125</v>
      </c>
      <c r="D1203" s="27">
        <v>0</v>
      </c>
      <c r="E1203" s="53">
        <v>2000000000</v>
      </c>
      <c r="F1203" s="53">
        <v>2000000000</v>
      </c>
      <c r="G1203" s="53">
        <v>0</v>
      </c>
      <c r="H1203" s="53">
        <v>150920196</v>
      </c>
      <c r="I1203" s="53">
        <v>82195452</v>
      </c>
      <c r="J1203" s="53">
        <v>0</v>
      </c>
      <c r="K1203" s="53">
        <v>0</v>
      </c>
      <c r="L1203" s="53">
        <v>328379336</v>
      </c>
      <c r="M1203" s="53">
        <v>92041920</v>
      </c>
      <c r="N1203" s="53">
        <v>105555775</v>
      </c>
      <c r="O1203" s="53">
        <v>0</v>
      </c>
      <c r="P1203" s="53">
        <v>190416300</v>
      </c>
      <c r="Q1203" s="53">
        <v>0</v>
      </c>
      <c r="R1203" s="53">
        <v>363561502</v>
      </c>
    </row>
    <row r="1204" spans="1:18" x14ac:dyDescent="0.25">
      <c r="A1204" s="25" t="s">
        <v>122</v>
      </c>
      <c r="B1204" s="26">
        <v>2015</v>
      </c>
      <c r="C1204" s="74" t="s">
        <v>121</v>
      </c>
      <c r="D1204" s="27">
        <v>0</v>
      </c>
      <c r="E1204" s="53">
        <v>3323000000</v>
      </c>
      <c r="F1204" s="53">
        <v>3323000000</v>
      </c>
      <c r="G1204" s="53">
        <v>206615980.74000001</v>
      </c>
      <c r="H1204" s="53">
        <v>411245227.68000001</v>
      </c>
      <c r="I1204" s="53">
        <v>405252116.19999999</v>
      </c>
      <c r="J1204" s="53">
        <v>213031567.31999999</v>
      </c>
      <c r="K1204" s="53">
        <v>207859566.97999999</v>
      </c>
      <c r="L1204" s="53">
        <v>216156847.78</v>
      </c>
      <c r="M1204" s="53">
        <v>208778755.50999999</v>
      </c>
      <c r="N1204" s="53">
        <v>210331278.77000001</v>
      </c>
      <c r="O1204" s="53">
        <v>211574242.59999999</v>
      </c>
      <c r="P1204" s="53">
        <v>210184198.86000001</v>
      </c>
      <c r="Q1204" s="53">
        <v>0</v>
      </c>
      <c r="R1204" s="53">
        <v>828461388.39999998</v>
      </c>
    </row>
    <row r="1205" spans="1:18" x14ac:dyDescent="0.25">
      <c r="A1205" s="25" t="s">
        <v>120</v>
      </c>
      <c r="B1205" s="26">
        <v>2015</v>
      </c>
      <c r="C1205" s="74" t="s">
        <v>119</v>
      </c>
      <c r="D1205" s="27">
        <v>0</v>
      </c>
      <c r="E1205" s="53">
        <v>433000000</v>
      </c>
      <c r="F1205" s="53">
        <v>433000000</v>
      </c>
      <c r="G1205" s="53">
        <v>0</v>
      </c>
      <c r="H1205" s="53">
        <v>0</v>
      </c>
      <c r="I1205" s="53">
        <v>0</v>
      </c>
      <c r="J1205" s="53">
        <v>0</v>
      </c>
      <c r="K1205" s="53">
        <v>0</v>
      </c>
      <c r="L1205" s="53">
        <v>0</v>
      </c>
      <c r="M1205" s="53">
        <v>0</v>
      </c>
      <c r="N1205" s="53">
        <v>0</v>
      </c>
      <c r="O1205" s="53">
        <v>0</v>
      </c>
      <c r="P1205" s="53">
        <v>0</v>
      </c>
      <c r="Q1205" s="53">
        <v>0</v>
      </c>
      <c r="R1205" s="53">
        <v>0</v>
      </c>
    </row>
    <row r="1206" spans="1:18" x14ac:dyDescent="0.25">
      <c r="A1206" s="25" t="s">
        <v>118</v>
      </c>
      <c r="B1206" s="26">
        <v>2015</v>
      </c>
      <c r="C1206" s="74" t="s">
        <v>117</v>
      </c>
      <c r="D1206" s="27">
        <v>0</v>
      </c>
      <c r="E1206" s="53">
        <v>396000000</v>
      </c>
      <c r="F1206" s="53">
        <v>396000000</v>
      </c>
      <c r="G1206" s="53">
        <v>0</v>
      </c>
      <c r="H1206" s="53">
        <v>0</v>
      </c>
      <c r="I1206" s="53">
        <v>0</v>
      </c>
      <c r="J1206" s="53">
        <v>0</v>
      </c>
      <c r="K1206" s="53">
        <v>0</v>
      </c>
      <c r="L1206" s="53">
        <v>0</v>
      </c>
      <c r="M1206" s="53">
        <v>0</v>
      </c>
      <c r="N1206" s="53">
        <v>0</v>
      </c>
      <c r="O1206" s="53">
        <v>0</v>
      </c>
      <c r="P1206" s="53">
        <v>0</v>
      </c>
      <c r="Q1206" s="53">
        <v>0</v>
      </c>
      <c r="R1206" s="53">
        <v>304244791.61000001</v>
      </c>
    </row>
    <row r="1207" spans="1:18" x14ac:dyDescent="0.25">
      <c r="A1207" s="25" t="s">
        <v>431</v>
      </c>
      <c r="B1207" s="26">
        <v>2015</v>
      </c>
      <c r="C1207" s="74" t="s">
        <v>386</v>
      </c>
      <c r="D1207" s="27">
        <v>0</v>
      </c>
      <c r="E1207" s="53">
        <v>2641000000</v>
      </c>
      <c r="F1207" s="53">
        <v>2641000000</v>
      </c>
      <c r="G1207" s="53">
        <v>0</v>
      </c>
      <c r="H1207" s="53">
        <v>2631427350.02</v>
      </c>
      <c r="I1207" s="53">
        <v>0</v>
      </c>
      <c r="J1207" s="53">
        <v>0</v>
      </c>
      <c r="K1207" s="53">
        <v>0</v>
      </c>
      <c r="L1207" s="53">
        <v>0</v>
      </c>
      <c r="M1207" s="53">
        <v>21515927.890000001</v>
      </c>
      <c r="N1207" s="53">
        <v>-21515927.890000001</v>
      </c>
      <c r="O1207" s="53">
        <v>0</v>
      </c>
      <c r="P1207" s="53">
        <v>0</v>
      </c>
      <c r="Q1207" s="53">
        <v>0</v>
      </c>
      <c r="R1207" s="53">
        <v>0</v>
      </c>
    </row>
    <row r="1208" spans="1:18" x14ac:dyDescent="0.25">
      <c r="A1208" s="25" t="s">
        <v>397</v>
      </c>
      <c r="B1208" s="26">
        <v>2015</v>
      </c>
      <c r="C1208" s="74" t="s">
        <v>396</v>
      </c>
      <c r="D1208" s="27">
        <v>0</v>
      </c>
      <c r="E1208" s="53">
        <v>81000000</v>
      </c>
      <c r="F1208" s="53">
        <v>81000000</v>
      </c>
      <c r="G1208" s="53">
        <v>0</v>
      </c>
      <c r="H1208" s="53">
        <v>0</v>
      </c>
      <c r="I1208" s="53">
        <v>0</v>
      </c>
      <c r="J1208" s="53">
        <v>0</v>
      </c>
      <c r="K1208" s="53">
        <v>0</v>
      </c>
      <c r="L1208" s="53">
        <v>0</v>
      </c>
      <c r="M1208" s="53">
        <v>0</v>
      </c>
      <c r="N1208" s="53">
        <v>0</v>
      </c>
      <c r="O1208" s="53">
        <v>0</v>
      </c>
      <c r="P1208" s="53">
        <v>0</v>
      </c>
      <c r="Q1208" s="53">
        <v>0</v>
      </c>
      <c r="R1208" s="53">
        <v>0</v>
      </c>
    </row>
    <row r="1209" spans="1:18" x14ac:dyDescent="0.25">
      <c r="A1209" s="25" t="s">
        <v>430</v>
      </c>
      <c r="B1209" s="26">
        <v>2015</v>
      </c>
      <c r="C1209" s="74" t="s">
        <v>429</v>
      </c>
      <c r="D1209" s="27">
        <v>0</v>
      </c>
      <c r="E1209" s="53">
        <v>0</v>
      </c>
      <c r="F1209" s="53">
        <v>0</v>
      </c>
      <c r="G1209" s="53">
        <v>0</v>
      </c>
      <c r="H1209" s="53">
        <v>0</v>
      </c>
      <c r="I1209" s="53">
        <v>0</v>
      </c>
      <c r="J1209" s="53">
        <v>0</v>
      </c>
      <c r="K1209" s="53">
        <v>0</v>
      </c>
      <c r="L1209" s="53">
        <v>336586.1</v>
      </c>
      <c r="M1209" s="53">
        <v>0</v>
      </c>
      <c r="N1209" s="53">
        <v>0</v>
      </c>
      <c r="O1209" s="53">
        <v>0</v>
      </c>
      <c r="P1209" s="53">
        <v>0</v>
      </c>
      <c r="Q1209" s="53">
        <v>0</v>
      </c>
      <c r="R1209" s="53">
        <v>0</v>
      </c>
    </row>
    <row r="1210" spans="1:18" x14ac:dyDescent="0.25">
      <c r="A1210" s="25" t="s">
        <v>115</v>
      </c>
      <c r="B1210" s="26">
        <v>2015</v>
      </c>
      <c r="C1210" s="74" t="s">
        <v>114</v>
      </c>
      <c r="D1210" s="27">
        <v>0</v>
      </c>
      <c r="E1210" s="53">
        <v>7000000</v>
      </c>
      <c r="F1210" s="53">
        <v>7000000</v>
      </c>
      <c r="G1210" s="53">
        <v>0</v>
      </c>
      <c r="H1210" s="53">
        <v>0</v>
      </c>
      <c r="I1210" s="53">
        <v>0</v>
      </c>
      <c r="J1210" s="53">
        <v>7000000</v>
      </c>
      <c r="K1210" s="53">
        <v>0</v>
      </c>
      <c r="L1210" s="53">
        <v>0</v>
      </c>
      <c r="M1210" s="53">
        <v>0</v>
      </c>
      <c r="N1210" s="53">
        <v>0</v>
      </c>
      <c r="O1210" s="53">
        <v>0</v>
      </c>
      <c r="P1210" s="53">
        <v>0</v>
      </c>
      <c r="Q1210" s="53">
        <v>0</v>
      </c>
      <c r="R1210" s="53">
        <v>0</v>
      </c>
    </row>
    <row r="1211" spans="1:18" x14ac:dyDescent="0.25">
      <c r="A1211" s="25" t="s">
        <v>113</v>
      </c>
      <c r="B1211" s="26">
        <v>2015</v>
      </c>
      <c r="C1211" s="74" t="s">
        <v>112</v>
      </c>
      <c r="D1211" s="27">
        <v>0</v>
      </c>
      <c r="E1211" s="53">
        <v>200000</v>
      </c>
      <c r="F1211" s="53">
        <v>200000</v>
      </c>
      <c r="G1211" s="53">
        <v>0</v>
      </c>
      <c r="H1211" s="53">
        <v>0</v>
      </c>
      <c r="I1211" s="53">
        <v>0</v>
      </c>
      <c r="J1211" s="53">
        <v>0</v>
      </c>
      <c r="K1211" s="53">
        <v>0</v>
      </c>
      <c r="L1211" s="53">
        <v>0</v>
      </c>
      <c r="M1211" s="53">
        <v>0</v>
      </c>
      <c r="N1211" s="53">
        <v>0</v>
      </c>
      <c r="O1211" s="53">
        <v>0</v>
      </c>
      <c r="P1211" s="53">
        <v>0</v>
      </c>
      <c r="Q1211" s="53">
        <v>0</v>
      </c>
      <c r="R1211" s="53">
        <v>0</v>
      </c>
    </row>
    <row r="1212" spans="1:18" x14ac:dyDescent="0.25">
      <c r="A1212" s="25" t="s">
        <v>111</v>
      </c>
      <c r="B1212" s="26">
        <v>2015</v>
      </c>
      <c r="C1212" s="74" t="s">
        <v>110</v>
      </c>
      <c r="D1212" s="27">
        <v>0</v>
      </c>
      <c r="E1212" s="53">
        <v>20200000</v>
      </c>
      <c r="F1212" s="53">
        <v>20200000</v>
      </c>
      <c r="G1212" s="53">
        <v>0</v>
      </c>
      <c r="H1212" s="53">
        <v>0</v>
      </c>
      <c r="I1212" s="53">
        <v>0</v>
      </c>
      <c r="J1212" s="53">
        <v>0</v>
      </c>
      <c r="K1212" s="53">
        <v>0</v>
      </c>
      <c r="L1212" s="53">
        <v>0</v>
      </c>
      <c r="M1212" s="53">
        <v>23900000</v>
      </c>
      <c r="N1212" s="53">
        <v>20200000</v>
      </c>
      <c r="O1212" s="53">
        <v>0</v>
      </c>
      <c r="P1212" s="53">
        <v>0</v>
      </c>
      <c r="Q1212" s="53">
        <v>0</v>
      </c>
      <c r="R1212" s="53">
        <v>0</v>
      </c>
    </row>
    <row r="1213" spans="1:18" x14ac:dyDescent="0.25">
      <c r="A1213" s="25" t="s">
        <v>109</v>
      </c>
      <c r="B1213" s="26">
        <v>2015</v>
      </c>
      <c r="C1213" s="74" t="s">
        <v>108</v>
      </c>
      <c r="D1213" s="27">
        <v>0</v>
      </c>
      <c r="E1213" s="53">
        <v>4100000</v>
      </c>
      <c r="F1213" s="53">
        <v>4100000</v>
      </c>
      <c r="G1213" s="53">
        <v>4100000</v>
      </c>
      <c r="H1213" s="53">
        <v>0</v>
      </c>
      <c r="I1213" s="53">
        <v>0</v>
      </c>
      <c r="J1213" s="53">
        <v>0</v>
      </c>
      <c r="K1213" s="53">
        <v>0</v>
      </c>
      <c r="L1213" s="53">
        <v>0</v>
      </c>
      <c r="M1213" s="53">
        <v>0</v>
      </c>
      <c r="N1213" s="53">
        <v>0</v>
      </c>
      <c r="O1213" s="53">
        <v>0</v>
      </c>
      <c r="P1213" s="53">
        <v>0</v>
      </c>
      <c r="Q1213" s="53">
        <v>0</v>
      </c>
      <c r="R1213" s="53">
        <v>0</v>
      </c>
    </row>
    <row r="1214" spans="1:18" x14ac:dyDescent="0.25">
      <c r="A1214" s="25" t="s">
        <v>107</v>
      </c>
      <c r="B1214" s="26">
        <v>2015</v>
      </c>
      <c r="C1214" s="74" t="s">
        <v>106</v>
      </c>
      <c r="D1214" s="27">
        <v>0</v>
      </c>
      <c r="E1214" s="53">
        <v>10100000</v>
      </c>
      <c r="F1214" s="53">
        <v>10100000</v>
      </c>
      <c r="G1214" s="53">
        <v>0</v>
      </c>
      <c r="H1214" s="53">
        <v>0</v>
      </c>
      <c r="I1214" s="53">
        <v>10100000</v>
      </c>
      <c r="J1214" s="53">
        <v>0</v>
      </c>
      <c r="K1214" s="53">
        <v>0</v>
      </c>
      <c r="L1214" s="53">
        <v>0</v>
      </c>
      <c r="M1214" s="53">
        <v>0</v>
      </c>
      <c r="N1214" s="53">
        <v>0</v>
      </c>
      <c r="O1214" s="53">
        <v>0</v>
      </c>
      <c r="P1214" s="53">
        <v>0</v>
      </c>
      <c r="Q1214" s="53">
        <v>0</v>
      </c>
      <c r="R1214" s="53">
        <v>0</v>
      </c>
    </row>
    <row r="1215" spans="1:18" x14ac:dyDescent="0.25">
      <c r="A1215" s="25" t="s">
        <v>105</v>
      </c>
      <c r="B1215" s="26">
        <v>2015</v>
      </c>
      <c r="C1215" s="74" t="s">
        <v>104</v>
      </c>
      <c r="D1215" s="27">
        <v>0</v>
      </c>
      <c r="E1215" s="53">
        <v>22100000</v>
      </c>
      <c r="F1215" s="53">
        <v>22100000</v>
      </c>
      <c r="G1215" s="53">
        <v>22100000</v>
      </c>
      <c r="H1215" s="53">
        <v>0</v>
      </c>
      <c r="I1215" s="53">
        <v>0</v>
      </c>
      <c r="J1215" s="53">
        <v>0</v>
      </c>
      <c r="K1215" s="53">
        <v>0</v>
      </c>
      <c r="L1215" s="53">
        <v>0</v>
      </c>
      <c r="M1215" s="53">
        <v>0</v>
      </c>
      <c r="N1215" s="53">
        <v>0</v>
      </c>
      <c r="O1215" s="53">
        <v>0</v>
      </c>
      <c r="P1215" s="53">
        <v>0</v>
      </c>
      <c r="Q1215" s="53">
        <v>0</v>
      </c>
      <c r="R1215" s="53">
        <v>0</v>
      </c>
    </row>
    <row r="1216" spans="1:18" x14ac:dyDescent="0.25">
      <c r="A1216" s="25" t="s">
        <v>103</v>
      </c>
      <c r="B1216" s="26">
        <v>2015</v>
      </c>
      <c r="C1216" s="74" t="s">
        <v>102</v>
      </c>
      <c r="D1216" s="27">
        <v>0</v>
      </c>
      <c r="E1216" s="53">
        <v>33400000</v>
      </c>
      <c r="F1216" s="53">
        <v>33400000</v>
      </c>
      <c r="G1216" s="53">
        <v>26000000</v>
      </c>
      <c r="H1216" s="53">
        <v>0</v>
      </c>
      <c r="I1216" s="53">
        <v>0</v>
      </c>
      <c r="J1216" s="53">
        <v>7400000</v>
      </c>
      <c r="K1216" s="53">
        <v>0</v>
      </c>
      <c r="L1216" s="53">
        <v>0</v>
      </c>
      <c r="M1216" s="53">
        <v>0</v>
      </c>
      <c r="N1216" s="53">
        <v>0</v>
      </c>
      <c r="O1216" s="53">
        <v>0</v>
      </c>
      <c r="P1216" s="53">
        <v>0</v>
      </c>
      <c r="Q1216" s="53">
        <v>0</v>
      </c>
      <c r="R1216" s="53">
        <v>0</v>
      </c>
    </row>
    <row r="1217" spans="1:18" x14ac:dyDescent="0.25">
      <c r="A1217" s="25" t="s">
        <v>101</v>
      </c>
      <c r="B1217" s="26">
        <v>2015</v>
      </c>
      <c r="C1217" s="74" t="s">
        <v>100</v>
      </c>
      <c r="D1217" s="27">
        <v>0</v>
      </c>
      <c r="E1217" s="53">
        <v>5500000</v>
      </c>
      <c r="F1217" s="53">
        <v>5500000</v>
      </c>
      <c r="G1217" s="53">
        <v>0</v>
      </c>
      <c r="H1217" s="53">
        <v>0</v>
      </c>
      <c r="I1217" s="53">
        <v>0</v>
      </c>
      <c r="J1217" s="53">
        <v>300000</v>
      </c>
      <c r="K1217" s="53">
        <v>0</v>
      </c>
      <c r="L1217" s="53">
        <v>-300000</v>
      </c>
      <c r="M1217" s="53">
        <v>0</v>
      </c>
      <c r="N1217" s="53">
        <v>0</v>
      </c>
      <c r="O1217" s="53">
        <v>0</v>
      </c>
      <c r="P1217" s="53">
        <v>5500000</v>
      </c>
      <c r="Q1217" s="53">
        <v>0</v>
      </c>
      <c r="R1217" s="53">
        <v>0</v>
      </c>
    </row>
    <row r="1218" spans="1:18" x14ac:dyDescent="0.25">
      <c r="A1218" s="25" t="s">
        <v>99</v>
      </c>
      <c r="B1218" s="26">
        <v>2015</v>
      </c>
      <c r="C1218" s="74" t="s">
        <v>98</v>
      </c>
      <c r="D1218" s="27">
        <v>0</v>
      </c>
      <c r="E1218" s="53">
        <v>25700000</v>
      </c>
      <c r="F1218" s="53">
        <v>25700000</v>
      </c>
      <c r="G1218" s="53">
        <v>0</v>
      </c>
      <c r="H1218" s="53">
        <v>21400000</v>
      </c>
      <c r="I1218" s="53">
        <v>4300000</v>
      </c>
      <c r="J1218" s="53">
        <v>0</v>
      </c>
      <c r="K1218" s="53">
        <v>0</v>
      </c>
      <c r="L1218" s="53">
        <v>0</v>
      </c>
      <c r="M1218" s="53">
        <v>0</v>
      </c>
      <c r="N1218" s="53">
        <v>0</v>
      </c>
      <c r="O1218" s="53">
        <v>0</v>
      </c>
      <c r="P1218" s="53">
        <v>0</v>
      </c>
      <c r="Q1218" s="53">
        <v>0</v>
      </c>
      <c r="R1218" s="53">
        <v>0</v>
      </c>
    </row>
    <row r="1219" spans="1:18" x14ac:dyDescent="0.25">
      <c r="A1219" s="25" t="s">
        <v>97</v>
      </c>
      <c r="B1219" s="26">
        <v>2015</v>
      </c>
      <c r="C1219" s="74" t="s">
        <v>96</v>
      </c>
      <c r="D1219" s="27">
        <v>0</v>
      </c>
      <c r="E1219" s="53">
        <v>5400000</v>
      </c>
      <c r="F1219" s="53">
        <v>5400000</v>
      </c>
      <c r="G1219" s="53">
        <v>0</v>
      </c>
      <c r="H1219" s="53">
        <v>0</v>
      </c>
      <c r="I1219" s="53">
        <v>5400000</v>
      </c>
      <c r="J1219" s="53">
        <v>0</v>
      </c>
      <c r="K1219" s="53">
        <v>0</v>
      </c>
      <c r="L1219" s="53">
        <v>0</v>
      </c>
      <c r="M1219" s="53">
        <v>0</v>
      </c>
      <c r="N1219" s="53">
        <v>0</v>
      </c>
      <c r="O1219" s="53">
        <v>0</v>
      </c>
      <c r="P1219" s="53">
        <v>0</v>
      </c>
      <c r="Q1219" s="53">
        <v>0</v>
      </c>
      <c r="R1219" s="53">
        <v>0</v>
      </c>
    </row>
    <row r="1220" spans="1:18" x14ac:dyDescent="0.25">
      <c r="A1220" s="25" t="s">
        <v>95</v>
      </c>
      <c r="B1220" s="26">
        <v>2015</v>
      </c>
      <c r="C1220" s="74" t="s">
        <v>94</v>
      </c>
      <c r="D1220" s="27">
        <v>0</v>
      </c>
      <c r="E1220" s="53">
        <v>71700000</v>
      </c>
      <c r="F1220" s="53">
        <v>71700000</v>
      </c>
      <c r="G1220" s="53">
        <v>0</v>
      </c>
      <c r="H1220" s="53">
        <v>0</v>
      </c>
      <c r="I1220" s="53">
        <v>0</v>
      </c>
      <c r="J1220" s="53">
        <v>0</v>
      </c>
      <c r="K1220" s="53">
        <v>0</v>
      </c>
      <c r="L1220" s="53">
        <v>0</v>
      </c>
      <c r="M1220" s="53">
        <v>0</v>
      </c>
      <c r="N1220" s="53">
        <v>0</v>
      </c>
      <c r="O1220" s="53">
        <v>0</v>
      </c>
      <c r="P1220" s="53">
        <v>71700000</v>
      </c>
      <c r="Q1220" s="53">
        <v>0</v>
      </c>
      <c r="R1220" s="53">
        <v>0</v>
      </c>
    </row>
    <row r="1221" spans="1:18" x14ac:dyDescent="0.25">
      <c r="A1221" s="25" t="s">
        <v>93</v>
      </c>
      <c r="B1221" s="26">
        <v>2015</v>
      </c>
      <c r="C1221" s="74" t="s">
        <v>92</v>
      </c>
      <c r="D1221" s="27">
        <v>0</v>
      </c>
      <c r="E1221" s="53">
        <v>14600000</v>
      </c>
      <c r="F1221" s="53">
        <v>14600000</v>
      </c>
      <c r="G1221" s="53">
        <v>0</v>
      </c>
      <c r="H1221" s="53">
        <v>0</v>
      </c>
      <c r="I1221" s="53">
        <v>0</v>
      </c>
      <c r="J1221" s="53">
        <v>3650000</v>
      </c>
      <c r="K1221" s="53">
        <v>0</v>
      </c>
      <c r="L1221" s="53">
        <v>0</v>
      </c>
      <c r="M1221" s="53">
        <v>3650000</v>
      </c>
      <c r="N1221" s="53">
        <v>0</v>
      </c>
      <c r="O1221" s="53">
        <v>0</v>
      </c>
      <c r="P1221" s="53">
        <v>3650000</v>
      </c>
      <c r="Q1221" s="53">
        <v>0</v>
      </c>
      <c r="R1221" s="53">
        <v>0</v>
      </c>
    </row>
    <row r="1222" spans="1:18" x14ac:dyDescent="0.25">
      <c r="A1222" s="25" t="s">
        <v>91</v>
      </c>
      <c r="B1222" s="26">
        <v>2015</v>
      </c>
      <c r="C1222" s="74" t="s">
        <v>90</v>
      </c>
      <c r="D1222" s="27">
        <v>0</v>
      </c>
      <c r="E1222" s="53">
        <v>4939000000</v>
      </c>
      <c r="F1222" s="53">
        <v>4939000000</v>
      </c>
      <c r="G1222" s="53">
        <v>0</v>
      </c>
      <c r="H1222" s="53">
        <v>0</v>
      </c>
      <c r="I1222" s="53">
        <v>0</v>
      </c>
      <c r="J1222" s="53">
        <v>0</v>
      </c>
      <c r="K1222" s="53">
        <v>0</v>
      </c>
      <c r="L1222" s="53">
        <v>4938596926</v>
      </c>
      <c r="M1222" s="53">
        <v>0</v>
      </c>
      <c r="N1222" s="53">
        <v>0</v>
      </c>
      <c r="O1222" s="53">
        <v>0</v>
      </c>
      <c r="P1222" s="53">
        <v>0</v>
      </c>
      <c r="Q1222" s="53">
        <v>0</v>
      </c>
      <c r="R1222" s="53">
        <v>0</v>
      </c>
    </row>
    <row r="1223" spans="1:18" x14ac:dyDescent="0.25">
      <c r="A1223" s="25" t="s">
        <v>89</v>
      </c>
      <c r="B1223" s="26">
        <v>2015</v>
      </c>
      <c r="C1223" s="74" t="s">
        <v>88</v>
      </c>
      <c r="D1223" s="27">
        <v>0</v>
      </c>
      <c r="E1223" s="53">
        <v>630000000</v>
      </c>
      <c r="F1223" s="53">
        <v>630000000</v>
      </c>
      <c r="G1223" s="53">
        <v>0</v>
      </c>
      <c r="H1223" s="53">
        <v>52456370</v>
      </c>
      <c r="I1223" s="53">
        <v>0</v>
      </c>
      <c r="J1223" s="53">
        <v>104912740</v>
      </c>
      <c r="K1223" s="53">
        <v>52456370</v>
      </c>
      <c r="L1223" s="53">
        <v>52456370</v>
      </c>
      <c r="M1223" s="53">
        <v>0</v>
      </c>
      <c r="N1223" s="53">
        <v>104912740</v>
      </c>
      <c r="O1223" s="53">
        <v>52456370</v>
      </c>
      <c r="P1223" s="53">
        <v>52456370</v>
      </c>
      <c r="Q1223" s="53">
        <v>52456370</v>
      </c>
      <c r="R1223" s="53">
        <v>52456370</v>
      </c>
    </row>
    <row r="1224" spans="1:18" x14ac:dyDescent="0.25">
      <c r="A1224" s="25" t="s">
        <v>87</v>
      </c>
      <c r="B1224" s="26">
        <v>2015</v>
      </c>
      <c r="C1224" s="74" t="s">
        <v>86</v>
      </c>
      <c r="D1224" s="27">
        <v>0</v>
      </c>
      <c r="E1224" s="53">
        <v>476000000</v>
      </c>
      <c r="F1224" s="53">
        <v>476000000</v>
      </c>
      <c r="G1224" s="53">
        <v>0</v>
      </c>
      <c r="H1224" s="53">
        <v>0</v>
      </c>
      <c r="I1224" s="53">
        <v>0</v>
      </c>
      <c r="J1224" s="53">
        <v>0</v>
      </c>
      <c r="K1224" s="53">
        <v>414990245</v>
      </c>
      <c r="L1224" s="53">
        <v>0</v>
      </c>
      <c r="M1224" s="53">
        <v>0</v>
      </c>
      <c r="N1224" s="53">
        <v>0</v>
      </c>
      <c r="O1224" s="53">
        <v>0</v>
      </c>
      <c r="P1224" s="53">
        <v>0</v>
      </c>
      <c r="Q1224" s="53">
        <v>61471490.399999999</v>
      </c>
      <c r="R1224" s="53">
        <v>0</v>
      </c>
    </row>
    <row r="1225" spans="1:18" x14ac:dyDescent="0.25">
      <c r="A1225" s="25" t="s">
        <v>428</v>
      </c>
      <c r="B1225" s="26">
        <v>2015</v>
      </c>
      <c r="C1225" s="74" t="s">
        <v>427</v>
      </c>
      <c r="D1225" s="27">
        <v>0</v>
      </c>
      <c r="E1225" s="53">
        <v>0</v>
      </c>
      <c r="F1225" s="53">
        <v>0</v>
      </c>
      <c r="G1225" s="53">
        <v>0</v>
      </c>
      <c r="H1225" s="53">
        <v>0</v>
      </c>
      <c r="I1225" s="53">
        <v>0</v>
      </c>
      <c r="J1225" s="53">
        <v>0</v>
      </c>
      <c r="K1225" s="53">
        <v>0</v>
      </c>
      <c r="L1225" s="53">
        <v>300000</v>
      </c>
      <c r="M1225" s="53">
        <v>0</v>
      </c>
      <c r="N1225" s="53">
        <v>0</v>
      </c>
      <c r="O1225" s="53">
        <v>0</v>
      </c>
      <c r="P1225" s="53">
        <v>0</v>
      </c>
      <c r="Q1225" s="53">
        <v>0</v>
      </c>
      <c r="R1225" s="53">
        <v>0</v>
      </c>
    </row>
    <row r="1226" spans="1:18" x14ac:dyDescent="0.25">
      <c r="A1226" s="25" t="s">
        <v>83</v>
      </c>
      <c r="B1226" s="26">
        <v>2015</v>
      </c>
      <c r="C1226" s="74" t="s">
        <v>82</v>
      </c>
      <c r="D1226" s="27">
        <v>0</v>
      </c>
      <c r="E1226" s="53">
        <v>444000000</v>
      </c>
      <c r="F1226" s="53">
        <v>444000000</v>
      </c>
      <c r="G1226" s="53">
        <v>4341827.3099999996</v>
      </c>
      <c r="H1226" s="53">
        <v>65099054.490000002</v>
      </c>
      <c r="I1226" s="53">
        <v>-7744272.21</v>
      </c>
      <c r="J1226" s="53">
        <v>38539893.399999999</v>
      </c>
      <c r="K1226" s="53">
        <v>91029920.510000005</v>
      </c>
      <c r="L1226" s="53">
        <v>104418054.62</v>
      </c>
      <c r="M1226" s="53">
        <v>28362411.800000001</v>
      </c>
      <c r="N1226" s="53">
        <v>77701040.239999995</v>
      </c>
      <c r="O1226" s="53">
        <v>127161093.67</v>
      </c>
      <c r="P1226" s="53">
        <v>36835829.869999997</v>
      </c>
      <c r="Q1226" s="53">
        <v>74429792.269999996</v>
      </c>
      <c r="R1226" s="53">
        <v>75327770.299999997</v>
      </c>
    </row>
    <row r="1227" spans="1:18" x14ac:dyDescent="0.25">
      <c r="A1227" s="25" t="s">
        <v>426</v>
      </c>
      <c r="B1227" s="26">
        <v>2015</v>
      </c>
      <c r="C1227" s="74" t="s">
        <v>425</v>
      </c>
      <c r="D1227" s="27">
        <v>0</v>
      </c>
      <c r="E1227" s="53">
        <v>0</v>
      </c>
      <c r="F1227" s="53">
        <v>0</v>
      </c>
      <c r="G1227" s="53">
        <v>0</v>
      </c>
      <c r="H1227" s="53">
        <v>0</v>
      </c>
      <c r="I1227" s="53">
        <v>32635350</v>
      </c>
      <c r="J1227" s="53">
        <v>0</v>
      </c>
      <c r="K1227" s="53">
        <v>0</v>
      </c>
      <c r="L1227" s="53">
        <v>0</v>
      </c>
      <c r="M1227" s="53">
        <v>0</v>
      </c>
      <c r="N1227" s="53">
        <v>0</v>
      </c>
      <c r="O1227" s="53">
        <v>0</v>
      </c>
      <c r="P1227" s="53">
        <v>0</v>
      </c>
      <c r="Q1227" s="53">
        <v>0</v>
      </c>
      <c r="R1227" s="53">
        <v>0</v>
      </c>
    </row>
    <row r="1228" spans="1:18" x14ac:dyDescent="0.25">
      <c r="A1228" s="25" t="s">
        <v>80</v>
      </c>
      <c r="B1228" s="26">
        <v>2015</v>
      </c>
      <c r="C1228" s="74" t="s">
        <v>79</v>
      </c>
      <c r="D1228" s="27">
        <v>0</v>
      </c>
      <c r="E1228" s="53">
        <v>84000000</v>
      </c>
      <c r="F1228" s="53">
        <v>84000000</v>
      </c>
      <c r="G1228" s="53">
        <v>0</v>
      </c>
      <c r="H1228" s="53">
        <v>60000000</v>
      </c>
      <c r="I1228" s="53">
        <v>0</v>
      </c>
      <c r="J1228" s="53">
        <v>0</v>
      </c>
      <c r="K1228" s="53">
        <v>0</v>
      </c>
      <c r="L1228" s="53">
        <v>0</v>
      </c>
      <c r="M1228" s="53">
        <v>0</v>
      </c>
      <c r="N1228" s="53">
        <v>24000000</v>
      </c>
      <c r="O1228" s="53">
        <v>0</v>
      </c>
      <c r="P1228" s="53">
        <v>0</v>
      </c>
      <c r="Q1228" s="53">
        <v>0</v>
      </c>
      <c r="R1228" s="53">
        <v>0</v>
      </c>
    </row>
    <row r="1229" spans="1:18" x14ac:dyDescent="0.25">
      <c r="A1229" s="25" t="s">
        <v>78</v>
      </c>
      <c r="B1229" s="26">
        <v>2015</v>
      </c>
      <c r="C1229" s="74" t="s">
        <v>77</v>
      </c>
      <c r="D1229" s="27">
        <v>0</v>
      </c>
      <c r="E1229" s="53">
        <v>149100000</v>
      </c>
      <c r="F1229" s="53">
        <v>149100000</v>
      </c>
      <c r="G1229" s="53">
        <v>0</v>
      </c>
      <c r="H1229" s="53">
        <v>0</v>
      </c>
      <c r="I1229" s="53">
        <v>0</v>
      </c>
      <c r="J1229" s="53">
        <v>0</v>
      </c>
      <c r="K1229" s="53">
        <v>0</v>
      </c>
      <c r="L1229" s="53">
        <v>0</v>
      </c>
      <c r="M1229" s="53">
        <v>0</v>
      </c>
      <c r="N1229" s="53">
        <v>0</v>
      </c>
      <c r="O1229" s="53">
        <v>0</v>
      </c>
      <c r="P1229" s="53">
        <v>0</v>
      </c>
      <c r="Q1229" s="53">
        <v>0</v>
      </c>
      <c r="R1229" s="53">
        <v>0</v>
      </c>
    </row>
    <row r="1230" spans="1:18" x14ac:dyDescent="0.25">
      <c r="A1230" s="25" t="s">
        <v>76</v>
      </c>
      <c r="B1230" s="26">
        <v>2015</v>
      </c>
      <c r="C1230" s="74" t="s">
        <v>75</v>
      </c>
      <c r="D1230" s="27">
        <v>0</v>
      </c>
      <c r="E1230" s="53">
        <v>11800000</v>
      </c>
      <c r="F1230" s="53">
        <v>11800000</v>
      </c>
      <c r="G1230" s="53">
        <v>0</v>
      </c>
      <c r="H1230" s="53">
        <v>0</v>
      </c>
      <c r="I1230" s="53">
        <v>0</v>
      </c>
      <c r="J1230" s="53">
        <v>11800000</v>
      </c>
      <c r="K1230" s="53">
        <v>0</v>
      </c>
      <c r="L1230" s="53">
        <v>0</v>
      </c>
      <c r="M1230" s="53">
        <v>0</v>
      </c>
      <c r="N1230" s="53">
        <v>0</v>
      </c>
      <c r="O1230" s="53">
        <v>0</v>
      </c>
      <c r="P1230" s="53">
        <v>0</v>
      </c>
      <c r="Q1230" s="53">
        <v>0</v>
      </c>
      <c r="R1230" s="53">
        <v>0</v>
      </c>
    </row>
    <row r="1231" spans="1:18" x14ac:dyDescent="0.25">
      <c r="A1231" s="25" t="s">
        <v>74</v>
      </c>
      <c r="B1231" s="26">
        <v>2015</v>
      </c>
      <c r="C1231" s="74" t="s">
        <v>73</v>
      </c>
      <c r="D1231" s="27">
        <v>0</v>
      </c>
      <c r="E1231" s="53">
        <v>18900000</v>
      </c>
      <c r="F1231" s="53">
        <v>18900000</v>
      </c>
      <c r="G1231" s="53">
        <v>0</v>
      </c>
      <c r="H1231" s="53">
        <v>0</v>
      </c>
      <c r="I1231" s="53">
        <v>0</v>
      </c>
      <c r="J1231" s="53">
        <v>0</v>
      </c>
      <c r="K1231" s="53">
        <v>0</v>
      </c>
      <c r="L1231" s="53">
        <v>0</v>
      </c>
      <c r="M1231" s="53">
        <v>0</v>
      </c>
      <c r="N1231" s="53">
        <v>0</v>
      </c>
      <c r="O1231" s="53">
        <v>0</v>
      </c>
      <c r="P1231" s="53">
        <v>0</v>
      </c>
      <c r="Q1231" s="53">
        <v>0</v>
      </c>
      <c r="R1231" s="53">
        <v>0</v>
      </c>
    </row>
    <row r="1232" spans="1:18" x14ac:dyDescent="0.25">
      <c r="A1232" s="25" t="s">
        <v>72</v>
      </c>
      <c r="B1232" s="26">
        <v>2015</v>
      </c>
      <c r="C1232" s="74" t="s">
        <v>71</v>
      </c>
      <c r="D1232" s="27">
        <v>0</v>
      </c>
      <c r="E1232" s="53">
        <v>21700000</v>
      </c>
      <c r="F1232" s="53">
        <v>21700000</v>
      </c>
      <c r="G1232" s="53">
        <v>0</v>
      </c>
      <c r="H1232" s="53">
        <v>0</v>
      </c>
      <c r="I1232" s="53">
        <v>0</v>
      </c>
      <c r="J1232" s="53">
        <v>0</v>
      </c>
      <c r="K1232" s="53">
        <v>0</v>
      </c>
      <c r="L1232" s="53">
        <v>0</v>
      </c>
      <c r="M1232" s="53">
        <v>0</v>
      </c>
      <c r="N1232" s="53">
        <v>0</v>
      </c>
      <c r="O1232" s="53">
        <v>0</v>
      </c>
      <c r="P1232" s="53">
        <v>0</v>
      </c>
      <c r="Q1232" s="53">
        <v>0</v>
      </c>
      <c r="R1232" s="53">
        <v>0</v>
      </c>
    </row>
    <row r="1233" spans="1:18" x14ac:dyDescent="0.25">
      <c r="A1233" s="25" t="s">
        <v>70</v>
      </c>
      <c r="B1233" s="26">
        <v>2015</v>
      </c>
      <c r="C1233" s="74" t="s">
        <v>69</v>
      </c>
      <c r="D1233" s="27">
        <v>0</v>
      </c>
      <c r="E1233" s="53">
        <v>4500000</v>
      </c>
      <c r="F1233" s="53">
        <v>4500000</v>
      </c>
      <c r="G1233" s="53">
        <v>0</v>
      </c>
      <c r="H1233" s="53">
        <v>0</v>
      </c>
      <c r="I1233" s="53">
        <v>0</v>
      </c>
      <c r="J1233" s="53">
        <v>0</v>
      </c>
      <c r="K1233" s="53">
        <v>0</v>
      </c>
      <c r="L1233" s="53">
        <v>0</v>
      </c>
      <c r="M1233" s="53">
        <v>0</v>
      </c>
      <c r="N1233" s="53">
        <v>0</v>
      </c>
      <c r="O1233" s="53">
        <v>0</v>
      </c>
      <c r="P1233" s="53">
        <v>0</v>
      </c>
      <c r="Q1233" s="53">
        <v>0</v>
      </c>
      <c r="R1233" s="53">
        <v>0</v>
      </c>
    </row>
    <row r="1234" spans="1:18" x14ac:dyDescent="0.25">
      <c r="A1234" s="25" t="s">
        <v>68</v>
      </c>
      <c r="B1234" s="26">
        <v>2015</v>
      </c>
      <c r="C1234" s="74" t="s">
        <v>67</v>
      </c>
      <c r="D1234" s="27">
        <v>0</v>
      </c>
      <c r="E1234" s="53">
        <v>444800000</v>
      </c>
      <c r="F1234" s="53">
        <v>444800000</v>
      </c>
      <c r="G1234" s="53">
        <v>0</v>
      </c>
      <c r="H1234" s="53">
        <v>0</v>
      </c>
      <c r="I1234" s="53">
        <v>0</v>
      </c>
      <c r="J1234" s="53">
        <v>0</v>
      </c>
      <c r="K1234" s="53">
        <v>0</v>
      </c>
      <c r="L1234" s="53">
        <v>0</v>
      </c>
      <c r="M1234" s="53">
        <v>0</v>
      </c>
      <c r="N1234" s="53">
        <v>0</v>
      </c>
      <c r="O1234" s="53">
        <v>0</v>
      </c>
      <c r="P1234" s="53">
        <v>0</v>
      </c>
      <c r="Q1234" s="53">
        <v>0</v>
      </c>
      <c r="R1234" s="53">
        <v>0</v>
      </c>
    </row>
    <row r="1235" spans="1:18" x14ac:dyDescent="0.25">
      <c r="A1235" s="25" t="s">
        <v>66</v>
      </c>
      <c r="B1235" s="26">
        <v>2015</v>
      </c>
      <c r="C1235" s="74" t="s">
        <v>65</v>
      </c>
      <c r="D1235" s="27">
        <v>0</v>
      </c>
      <c r="E1235" s="53">
        <v>71200000</v>
      </c>
      <c r="F1235" s="53">
        <v>71200000</v>
      </c>
      <c r="G1235" s="53">
        <v>5933333.3300000001</v>
      </c>
      <c r="H1235" s="53">
        <v>5933333.3300000001</v>
      </c>
      <c r="I1235" s="53">
        <v>5933333.3300000001</v>
      </c>
      <c r="J1235" s="53">
        <v>5933333.3300000001</v>
      </c>
      <c r="K1235" s="53">
        <v>5933333.3300000001</v>
      </c>
      <c r="L1235" s="53">
        <v>0</v>
      </c>
      <c r="M1235" s="53">
        <v>5933333.3300000001</v>
      </c>
      <c r="N1235" s="53">
        <v>5933333.3300000001</v>
      </c>
      <c r="O1235" s="53">
        <v>2533333.36</v>
      </c>
      <c r="P1235" s="53">
        <v>0</v>
      </c>
      <c r="Q1235" s="53">
        <v>0</v>
      </c>
      <c r="R1235" s="53">
        <v>21200000</v>
      </c>
    </row>
    <row r="1236" spans="1:18" x14ac:dyDescent="0.25">
      <c r="A1236" s="25" t="s">
        <v>64</v>
      </c>
      <c r="B1236" s="26">
        <v>2015</v>
      </c>
      <c r="C1236" s="74" t="s">
        <v>63</v>
      </c>
      <c r="D1236" s="27">
        <v>0</v>
      </c>
      <c r="E1236" s="53">
        <v>639300000</v>
      </c>
      <c r="F1236" s="53">
        <v>639300000</v>
      </c>
      <c r="G1236" s="53">
        <v>0</v>
      </c>
      <c r="H1236" s="53">
        <v>0</v>
      </c>
      <c r="I1236" s="53">
        <v>0</v>
      </c>
      <c r="J1236" s="53">
        <v>0</v>
      </c>
      <c r="K1236" s="53">
        <v>0</v>
      </c>
      <c r="L1236" s="53">
        <v>0</v>
      </c>
      <c r="M1236" s="53">
        <v>0</v>
      </c>
      <c r="N1236" s="53">
        <v>0</v>
      </c>
      <c r="O1236" s="53">
        <v>0</v>
      </c>
      <c r="P1236" s="53">
        <v>0</v>
      </c>
      <c r="Q1236" s="53">
        <v>0</v>
      </c>
      <c r="R1236" s="53">
        <v>639300000</v>
      </c>
    </row>
    <row r="1237" spans="1:18" x14ac:dyDescent="0.25">
      <c r="A1237" s="25" t="s">
        <v>62</v>
      </c>
      <c r="B1237" s="26">
        <v>2015</v>
      </c>
      <c r="C1237" s="74" t="s">
        <v>61</v>
      </c>
      <c r="D1237" s="27">
        <v>0</v>
      </c>
      <c r="E1237" s="53">
        <v>23300000</v>
      </c>
      <c r="F1237" s="53">
        <v>23300000</v>
      </c>
      <c r="G1237" s="53">
        <v>0</v>
      </c>
      <c r="H1237" s="53">
        <v>0</v>
      </c>
      <c r="I1237" s="53">
        <v>0</v>
      </c>
      <c r="J1237" s="53">
        <v>23300000</v>
      </c>
      <c r="K1237" s="53">
        <v>0</v>
      </c>
      <c r="L1237" s="53">
        <v>0</v>
      </c>
      <c r="M1237" s="53">
        <v>0</v>
      </c>
      <c r="N1237" s="53">
        <v>0</v>
      </c>
      <c r="O1237" s="53">
        <v>0</v>
      </c>
      <c r="P1237" s="53">
        <v>0</v>
      </c>
      <c r="Q1237" s="53">
        <v>0</v>
      </c>
      <c r="R1237" s="53">
        <v>0</v>
      </c>
    </row>
    <row r="1238" spans="1:18" x14ac:dyDescent="0.25">
      <c r="A1238" s="25" t="s">
        <v>60</v>
      </c>
      <c r="B1238" s="26">
        <v>2015</v>
      </c>
      <c r="C1238" s="74" t="s">
        <v>59</v>
      </c>
      <c r="D1238" s="27">
        <v>0</v>
      </c>
      <c r="E1238" s="53">
        <v>10400000</v>
      </c>
      <c r="F1238" s="53">
        <v>10400000</v>
      </c>
      <c r="G1238" s="53">
        <v>0</v>
      </c>
      <c r="H1238" s="53">
        <v>0</v>
      </c>
      <c r="I1238" s="53">
        <v>0</v>
      </c>
      <c r="J1238" s="53">
        <v>10400000</v>
      </c>
      <c r="K1238" s="53">
        <v>0</v>
      </c>
      <c r="L1238" s="53">
        <v>0</v>
      </c>
      <c r="M1238" s="53">
        <v>0</v>
      </c>
      <c r="N1238" s="53">
        <v>0</v>
      </c>
      <c r="O1238" s="53">
        <v>0</v>
      </c>
      <c r="P1238" s="53">
        <v>0</v>
      </c>
      <c r="Q1238" s="53">
        <v>0</v>
      </c>
      <c r="R1238" s="53">
        <v>0</v>
      </c>
    </row>
    <row r="1239" spans="1:18" x14ac:dyDescent="0.25">
      <c r="A1239" s="25" t="s">
        <v>370</v>
      </c>
      <c r="B1239" s="26">
        <v>2015</v>
      </c>
      <c r="C1239" s="74" t="s">
        <v>424</v>
      </c>
      <c r="D1239" s="27">
        <v>0</v>
      </c>
      <c r="E1239" s="53">
        <v>3141000000</v>
      </c>
      <c r="F1239" s="53">
        <v>3141000000</v>
      </c>
      <c r="G1239" s="53">
        <v>0</v>
      </c>
      <c r="H1239" s="53">
        <v>0</v>
      </c>
      <c r="I1239" s="53">
        <v>0</v>
      </c>
      <c r="J1239" s="53">
        <v>0</v>
      </c>
      <c r="K1239" s="53">
        <v>0</v>
      </c>
      <c r="L1239" s="53">
        <v>0</v>
      </c>
      <c r="M1239" s="53">
        <v>0</v>
      </c>
      <c r="N1239" s="53">
        <v>0</v>
      </c>
      <c r="O1239" s="53">
        <v>0</v>
      </c>
      <c r="P1239" s="53">
        <v>0</v>
      </c>
      <c r="Q1239" s="53">
        <v>2441094600</v>
      </c>
      <c r="R1239" s="53">
        <v>0</v>
      </c>
    </row>
    <row r="1240" spans="1:18" x14ac:dyDescent="0.25">
      <c r="A1240" s="25" t="s">
        <v>389</v>
      </c>
      <c r="B1240" s="26">
        <v>2015</v>
      </c>
      <c r="C1240" s="74" t="s">
        <v>388</v>
      </c>
      <c r="D1240" s="27">
        <v>0</v>
      </c>
      <c r="E1240" s="53">
        <v>626000000</v>
      </c>
      <c r="F1240" s="53">
        <v>626000000</v>
      </c>
      <c r="G1240" s="53">
        <v>0</v>
      </c>
      <c r="H1240" s="53">
        <v>0</v>
      </c>
      <c r="I1240" s="53">
        <v>0</v>
      </c>
      <c r="J1240" s="53">
        <v>0</v>
      </c>
      <c r="K1240" s="53">
        <v>43824618.859999999</v>
      </c>
      <c r="L1240" s="53">
        <v>726177317.29999995</v>
      </c>
      <c r="M1240" s="53">
        <v>0</v>
      </c>
      <c r="N1240" s="53">
        <v>2834487.19</v>
      </c>
      <c r="O1240" s="53">
        <v>16755448.65</v>
      </c>
      <c r="P1240" s="53">
        <v>60564219.869999997</v>
      </c>
      <c r="Q1240" s="53">
        <v>48705504.219999999</v>
      </c>
      <c r="R1240" s="53">
        <v>-228148932.78</v>
      </c>
    </row>
    <row r="1241" spans="1:18" x14ac:dyDescent="0.25">
      <c r="A1241" s="25" t="s">
        <v>423</v>
      </c>
      <c r="B1241" s="26">
        <v>2015</v>
      </c>
      <c r="C1241" s="74" t="s">
        <v>422</v>
      </c>
      <c r="D1241" s="27">
        <v>0</v>
      </c>
      <c r="E1241" s="53">
        <v>0</v>
      </c>
      <c r="F1241" s="53">
        <v>0</v>
      </c>
      <c r="G1241" s="53">
        <v>0</v>
      </c>
      <c r="H1241" s="53">
        <v>69305320.459999993</v>
      </c>
      <c r="I1241" s="53">
        <v>0</v>
      </c>
      <c r="J1241" s="53">
        <v>0</v>
      </c>
      <c r="K1241" s="53">
        <v>0</v>
      </c>
      <c r="L1241" s="53">
        <v>0</v>
      </c>
      <c r="M1241" s="53">
        <v>0</v>
      </c>
      <c r="N1241" s="53">
        <v>0</v>
      </c>
      <c r="O1241" s="53">
        <v>0</v>
      </c>
      <c r="P1241" s="53">
        <v>0</v>
      </c>
      <c r="Q1241" s="53">
        <v>0</v>
      </c>
      <c r="R1241" s="53">
        <v>0</v>
      </c>
    </row>
    <row r="1242" spans="1:18" x14ac:dyDescent="0.25">
      <c r="A1242" s="25" t="s">
        <v>366</v>
      </c>
      <c r="B1242" s="26">
        <v>2015</v>
      </c>
      <c r="C1242" s="74" t="s">
        <v>384</v>
      </c>
      <c r="D1242" s="27">
        <v>0</v>
      </c>
      <c r="E1242" s="53">
        <v>2066000000</v>
      </c>
      <c r="F1242" s="53">
        <v>2066000000</v>
      </c>
      <c r="G1242" s="53">
        <v>0</v>
      </c>
      <c r="H1242" s="53">
        <v>0</v>
      </c>
      <c r="I1242" s="53">
        <v>0</v>
      </c>
      <c r="J1242" s="53">
        <v>0</v>
      </c>
      <c r="K1242" s="53">
        <v>0</v>
      </c>
      <c r="L1242" s="53">
        <v>0</v>
      </c>
      <c r="M1242" s="53">
        <v>0</v>
      </c>
      <c r="N1242" s="53">
        <v>0</v>
      </c>
      <c r="O1242" s="53">
        <v>0</v>
      </c>
      <c r="P1242" s="53">
        <v>0</v>
      </c>
      <c r="Q1242" s="53">
        <v>0</v>
      </c>
      <c r="R1242" s="53">
        <v>0</v>
      </c>
    </row>
    <row r="1243" spans="1:18" x14ac:dyDescent="0.25">
      <c r="A1243" s="25" t="s">
        <v>421</v>
      </c>
      <c r="B1243" s="26">
        <v>2015</v>
      </c>
      <c r="C1243" s="74" t="s">
        <v>420</v>
      </c>
      <c r="D1243" s="27">
        <v>0</v>
      </c>
      <c r="E1243" s="53">
        <v>3156590.75</v>
      </c>
      <c r="F1243" s="53">
        <v>3156590.75</v>
      </c>
      <c r="G1243" s="53">
        <v>0</v>
      </c>
      <c r="H1243" s="53">
        <v>0</v>
      </c>
      <c r="I1243" s="53">
        <v>0</v>
      </c>
      <c r="J1243" s="53">
        <v>0</v>
      </c>
      <c r="K1243" s="53">
        <v>0</v>
      </c>
      <c r="L1243" s="53">
        <v>0</v>
      </c>
      <c r="M1243" s="53">
        <v>0</v>
      </c>
      <c r="N1243" s="53">
        <v>0</v>
      </c>
      <c r="O1243" s="53">
        <v>0</v>
      </c>
      <c r="P1243" s="53">
        <v>0</v>
      </c>
      <c r="Q1243" s="53">
        <v>0</v>
      </c>
      <c r="R1243" s="53">
        <v>3156589.45</v>
      </c>
    </row>
    <row r="1244" spans="1:18" x14ac:dyDescent="0.25">
      <c r="A1244" s="25" t="s">
        <v>49</v>
      </c>
      <c r="B1244" s="26">
        <v>2015</v>
      </c>
      <c r="C1244" s="74" t="s">
        <v>48</v>
      </c>
      <c r="D1244" s="27">
        <v>0</v>
      </c>
      <c r="E1244" s="53">
        <v>805000000000</v>
      </c>
      <c r="F1244" s="53">
        <v>805000000000</v>
      </c>
      <c r="G1244" s="53">
        <v>9953565380.4400005</v>
      </c>
      <c r="H1244" s="53">
        <v>16042244364.15</v>
      </c>
      <c r="I1244" s="53">
        <v>43052132466.139999</v>
      </c>
      <c r="J1244" s="53">
        <v>2495595971.9400001</v>
      </c>
      <c r="K1244" s="53">
        <v>14607555740.620001</v>
      </c>
      <c r="L1244" s="53">
        <v>25216582129.75</v>
      </c>
      <c r="M1244" s="53">
        <v>19126431858.580002</v>
      </c>
      <c r="N1244" s="53">
        <v>22243431537.150002</v>
      </c>
      <c r="O1244" s="53">
        <v>63200799653.949997</v>
      </c>
      <c r="P1244" s="53">
        <v>144633314697.79999</v>
      </c>
      <c r="Q1244" s="53">
        <v>112768625154.2</v>
      </c>
      <c r="R1244" s="53">
        <v>203643602796.64999</v>
      </c>
    </row>
    <row r="1245" spans="1:18" x14ac:dyDescent="0.25">
      <c r="A1245" s="25" t="s">
        <v>43</v>
      </c>
      <c r="B1245" s="26">
        <v>2015</v>
      </c>
      <c r="C1245" s="74" t="s">
        <v>42</v>
      </c>
      <c r="D1245" s="27">
        <v>0</v>
      </c>
      <c r="E1245" s="53">
        <v>2192432876813.8701</v>
      </c>
      <c r="F1245" s="53">
        <v>2192432876813.8701</v>
      </c>
      <c r="G1245" s="53">
        <v>263537415721.87</v>
      </c>
      <c r="H1245" s="53">
        <v>197099048475.29001</v>
      </c>
      <c r="I1245" s="53">
        <v>196951441841.17999</v>
      </c>
      <c r="J1245" s="53">
        <v>256556289189.79999</v>
      </c>
      <c r="K1245" s="53">
        <v>103550997016.58</v>
      </c>
      <c r="L1245" s="53">
        <v>151548116580.14999</v>
      </c>
      <c r="M1245" s="53">
        <v>188880975763.39999</v>
      </c>
      <c r="N1245" s="53">
        <v>128736792600.33</v>
      </c>
      <c r="O1245" s="53">
        <v>38229034865.900002</v>
      </c>
      <c r="P1245" s="53">
        <v>123818061628.97</v>
      </c>
      <c r="Q1245" s="53">
        <v>36064529739.980003</v>
      </c>
      <c r="R1245" s="53">
        <v>119655309285.23</v>
      </c>
    </row>
    <row r="1246" spans="1:18" x14ac:dyDescent="0.25">
      <c r="A1246" s="25" t="s">
        <v>47</v>
      </c>
      <c r="B1246" s="26">
        <v>2015</v>
      </c>
      <c r="C1246" s="74" t="s">
        <v>46</v>
      </c>
      <c r="D1246" s="27">
        <v>0</v>
      </c>
      <c r="E1246" s="53">
        <v>0</v>
      </c>
      <c r="F1246" s="53">
        <v>0</v>
      </c>
      <c r="G1246" s="53">
        <v>0</v>
      </c>
      <c r="H1246" s="53">
        <v>0</v>
      </c>
      <c r="I1246" s="53">
        <v>0</v>
      </c>
      <c r="J1246" s="53">
        <v>0</v>
      </c>
      <c r="K1246" s="53">
        <v>0</v>
      </c>
      <c r="L1246" s="53">
        <v>0</v>
      </c>
      <c r="M1246" s="53">
        <v>0</v>
      </c>
      <c r="N1246" s="53">
        <v>0</v>
      </c>
      <c r="O1246" s="53">
        <v>0</v>
      </c>
      <c r="P1246" s="53">
        <v>0</v>
      </c>
      <c r="Q1246" s="53">
        <v>0</v>
      </c>
      <c r="R1246" s="53">
        <v>0</v>
      </c>
    </row>
    <row r="1247" spans="1:18" x14ac:dyDescent="0.25">
      <c r="A1247" s="25" t="s">
        <v>45</v>
      </c>
      <c r="B1247" s="26">
        <v>2015</v>
      </c>
      <c r="C1247" s="74" t="s">
        <v>44</v>
      </c>
      <c r="D1247" s="27">
        <v>0</v>
      </c>
      <c r="E1247" s="53">
        <v>10000000000</v>
      </c>
      <c r="F1247" s="53">
        <v>10000000000</v>
      </c>
      <c r="G1247" s="53">
        <v>0</v>
      </c>
      <c r="H1247" s="53">
        <v>0</v>
      </c>
      <c r="I1247" s="53">
        <v>0</v>
      </c>
      <c r="J1247" s="53">
        <v>0</v>
      </c>
      <c r="K1247" s="53">
        <v>0</v>
      </c>
      <c r="L1247" s="53">
        <v>0</v>
      </c>
      <c r="M1247" s="53">
        <v>0</v>
      </c>
      <c r="N1247" s="53">
        <v>0</v>
      </c>
      <c r="O1247" s="53">
        <v>0</v>
      </c>
      <c r="P1247" s="53">
        <v>0</v>
      </c>
      <c r="Q1247" s="53">
        <v>0</v>
      </c>
      <c r="R1247" s="53">
        <v>0</v>
      </c>
    </row>
    <row r="1248" spans="1:18" x14ac:dyDescent="0.25">
      <c r="A1248" s="25" t="s">
        <v>41</v>
      </c>
      <c r="B1248" s="26">
        <v>2015</v>
      </c>
      <c r="C1248" s="74" t="s">
        <v>40</v>
      </c>
      <c r="D1248" s="27">
        <v>0</v>
      </c>
      <c r="E1248" s="54">
        <v>12143624119.549999</v>
      </c>
      <c r="F1248" s="53">
        <v>6687682000</v>
      </c>
      <c r="G1248" s="53">
        <v>0</v>
      </c>
      <c r="H1248" s="53">
        <v>0</v>
      </c>
      <c r="I1248" s="53">
        <v>0</v>
      </c>
      <c r="J1248" s="53">
        <v>1080620000</v>
      </c>
      <c r="K1248" s="53">
        <v>0</v>
      </c>
      <c r="L1248" s="53">
        <v>0</v>
      </c>
      <c r="M1248" s="53">
        <v>1760655000</v>
      </c>
      <c r="N1248" s="53">
        <v>0</v>
      </c>
      <c r="O1248" s="53">
        <v>2230277000</v>
      </c>
      <c r="P1248" s="53">
        <v>0</v>
      </c>
      <c r="Q1248" s="53">
        <v>0</v>
      </c>
      <c r="R1248" s="53">
        <v>1616130000</v>
      </c>
    </row>
    <row r="1249" spans="1:18" x14ac:dyDescent="0.25">
      <c r="A1249" s="25" t="s">
        <v>419</v>
      </c>
      <c r="B1249" s="26">
        <v>2015</v>
      </c>
      <c r="C1249" s="74" t="s">
        <v>418</v>
      </c>
      <c r="D1249" s="27">
        <v>0</v>
      </c>
      <c r="E1249" s="54">
        <v>0</v>
      </c>
      <c r="F1249" s="53">
        <v>0</v>
      </c>
      <c r="G1249" s="53">
        <v>0</v>
      </c>
      <c r="H1249" s="53">
        <v>0</v>
      </c>
      <c r="I1249" s="53">
        <v>0</v>
      </c>
      <c r="J1249" s="53">
        <v>0</v>
      </c>
      <c r="K1249" s="53">
        <v>0</v>
      </c>
      <c r="L1249" s="53">
        <v>0</v>
      </c>
      <c r="M1249" s="53">
        <v>0</v>
      </c>
      <c r="N1249" s="53">
        <v>0</v>
      </c>
      <c r="O1249" s="53">
        <v>0</v>
      </c>
      <c r="P1249" s="53">
        <v>0</v>
      </c>
      <c r="Q1249" s="53">
        <v>0</v>
      </c>
      <c r="R1249" s="53">
        <v>0</v>
      </c>
    </row>
    <row r="1250" spans="1:18" x14ac:dyDescent="0.25">
      <c r="A1250" s="25" t="s">
        <v>37</v>
      </c>
      <c r="B1250" s="26">
        <v>2015</v>
      </c>
      <c r="C1250" s="74" t="s">
        <v>36</v>
      </c>
      <c r="D1250" s="27">
        <v>0</v>
      </c>
      <c r="E1250" s="54">
        <v>1785251064.0599995</v>
      </c>
      <c r="F1250" s="53">
        <v>1500971082.8599999</v>
      </c>
      <c r="G1250" s="53">
        <v>130518268.47</v>
      </c>
      <c r="H1250" s="53">
        <v>21480780</v>
      </c>
      <c r="I1250" s="53">
        <v>58756276.460000001</v>
      </c>
      <c r="J1250" s="53">
        <v>291433222.69999999</v>
      </c>
      <c r="K1250" s="53">
        <v>97974192.469999999</v>
      </c>
      <c r="L1250" s="53">
        <v>152917082.61000001</v>
      </c>
      <c r="M1250" s="53">
        <v>34560573.109999999</v>
      </c>
      <c r="N1250" s="53">
        <v>242331961.24000001</v>
      </c>
      <c r="O1250" s="53">
        <v>0</v>
      </c>
      <c r="P1250" s="53">
        <v>163396542.16999999</v>
      </c>
      <c r="Q1250" s="53">
        <v>270846090.48000002</v>
      </c>
      <c r="R1250" s="53">
        <v>36756093.149999999</v>
      </c>
    </row>
    <row r="1251" spans="1:18" x14ac:dyDescent="0.25">
      <c r="A1251" s="25" t="s">
        <v>35</v>
      </c>
      <c r="B1251" s="26">
        <v>2015</v>
      </c>
      <c r="C1251" s="74" t="s">
        <v>34</v>
      </c>
      <c r="D1251" s="27">
        <v>0</v>
      </c>
      <c r="E1251" s="54">
        <v>75919670000</v>
      </c>
      <c r="F1251" s="53">
        <v>52063046565.290001</v>
      </c>
      <c r="G1251" s="53">
        <v>10841700000</v>
      </c>
      <c r="H1251" s="53">
        <v>0</v>
      </c>
      <c r="I1251" s="53">
        <v>10774600000</v>
      </c>
      <c r="J1251" s="53">
        <v>8830546565.2900009</v>
      </c>
      <c r="K1251" s="53">
        <v>0</v>
      </c>
      <c r="L1251" s="53">
        <v>0</v>
      </c>
      <c r="M1251" s="53">
        <v>10814400000</v>
      </c>
      <c r="N1251" s="53">
        <v>0</v>
      </c>
      <c r="O1251" s="53">
        <v>10801800000</v>
      </c>
      <c r="P1251" s="53">
        <v>0</v>
      </c>
      <c r="Q1251" s="53">
        <v>0</v>
      </c>
      <c r="R1251" s="53">
        <v>0</v>
      </c>
    </row>
    <row r="1252" spans="1:18" x14ac:dyDescent="0.25">
      <c r="A1252" s="25" t="s">
        <v>33</v>
      </c>
      <c r="B1252" s="26">
        <v>2015</v>
      </c>
      <c r="C1252" s="74" t="s">
        <v>32</v>
      </c>
      <c r="D1252" s="27">
        <v>0</v>
      </c>
      <c r="E1252" s="54">
        <v>29027891178.269997</v>
      </c>
      <c r="F1252" s="53">
        <v>6264086016.0500002</v>
      </c>
      <c r="G1252" s="53">
        <v>13904622.199999999</v>
      </c>
      <c r="H1252" s="53">
        <v>174732048.09</v>
      </c>
      <c r="I1252" s="53">
        <v>128038187.7</v>
      </c>
      <c r="J1252" s="53">
        <v>134351075.13999999</v>
      </c>
      <c r="K1252" s="53">
        <v>68465081.659999996</v>
      </c>
      <c r="L1252" s="53">
        <v>1993787219.6400001</v>
      </c>
      <c r="M1252" s="53">
        <v>221615749.72999999</v>
      </c>
      <c r="N1252" s="53">
        <v>581426825.35000002</v>
      </c>
      <c r="O1252" s="53">
        <v>213569370.41</v>
      </c>
      <c r="P1252" s="53">
        <v>403350796.06</v>
      </c>
      <c r="Q1252" s="53">
        <v>819519278.01999998</v>
      </c>
      <c r="R1252" s="53">
        <v>1511325762.05</v>
      </c>
    </row>
    <row r="1253" spans="1:18" x14ac:dyDescent="0.25">
      <c r="A1253" s="25" t="s">
        <v>31</v>
      </c>
      <c r="B1253" s="26">
        <v>2015</v>
      </c>
      <c r="C1253" s="74" t="s">
        <v>30</v>
      </c>
      <c r="D1253" s="27">
        <v>0</v>
      </c>
      <c r="E1253" s="54">
        <v>8315600540</v>
      </c>
      <c r="F1253" s="53">
        <v>2271881932.5999999</v>
      </c>
      <c r="G1253" s="53">
        <v>0</v>
      </c>
      <c r="H1253" s="53">
        <v>0</v>
      </c>
      <c r="I1253" s="53">
        <v>0</v>
      </c>
      <c r="J1253" s="53">
        <v>430248000</v>
      </c>
      <c r="K1253" s="53">
        <v>0</v>
      </c>
      <c r="L1253" s="53">
        <v>0</v>
      </c>
      <c r="M1253" s="53">
        <v>0</v>
      </c>
      <c r="N1253" s="53">
        <v>0</v>
      </c>
      <c r="O1253" s="53">
        <v>1395309960.95</v>
      </c>
      <c r="P1253" s="53">
        <v>0</v>
      </c>
      <c r="Q1253" s="53">
        <v>446323971.64999998</v>
      </c>
      <c r="R1253" s="53">
        <v>0</v>
      </c>
    </row>
    <row r="1254" spans="1:18" x14ac:dyDescent="0.25">
      <c r="A1254" s="25" t="s">
        <v>29</v>
      </c>
      <c r="B1254" s="26">
        <v>2015</v>
      </c>
      <c r="C1254" s="74" t="s">
        <v>28</v>
      </c>
      <c r="D1254" s="27">
        <v>0</v>
      </c>
      <c r="E1254" s="54">
        <v>60970870394.440002</v>
      </c>
      <c r="F1254" s="53">
        <v>16208597345.33</v>
      </c>
      <c r="G1254" s="53">
        <v>0</v>
      </c>
      <c r="H1254" s="53">
        <v>0</v>
      </c>
      <c r="I1254" s="53">
        <v>16208597345.33</v>
      </c>
      <c r="J1254" s="53">
        <v>0</v>
      </c>
      <c r="K1254" s="53">
        <v>0</v>
      </c>
      <c r="L1254" s="53">
        <v>0</v>
      </c>
      <c r="M1254" s="53">
        <v>0</v>
      </c>
      <c r="N1254" s="53">
        <v>0</v>
      </c>
      <c r="O1254" s="53">
        <v>0</v>
      </c>
      <c r="P1254" s="53">
        <v>0</v>
      </c>
      <c r="Q1254" s="53">
        <v>0</v>
      </c>
      <c r="R1254" s="53">
        <v>0</v>
      </c>
    </row>
    <row r="1255" spans="1:18" x14ac:dyDescent="0.25">
      <c r="A1255" s="25" t="s">
        <v>27</v>
      </c>
      <c r="B1255" s="26">
        <v>2015</v>
      </c>
      <c r="C1255" s="74" t="s">
        <v>26</v>
      </c>
      <c r="D1255" s="27">
        <v>0</v>
      </c>
      <c r="E1255" s="54">
        <v>19399340698.490002</v>
      </c>
      <c r="F1255" s="53">
        <v>490799244.73000002</v>
      </c>
      <c r="G1255" s="53">
        <v>5663684.9900000002</v>
      </c>
      <c r="H1255" s="53">
        <v>5365786.99</v>
      </c>
      <c r="I1255" s="53">
        <v>5305664.04</v>
      </c>
      <c r="J1255" s="53">
        <v>4991298.62</v>
      </c>
      <c r="K1255" s="53">
        <v>5022617.25</v>
      </c>
      <c r="L1255" s="53">
        <v>16643743.18</v>
      </c>
      <c r="M1255" s="53">
        <v>33972339.200000003</v>
      </c>
      <c r="N1255" s="53">
        <v>-36574392.299999997</v>
      </c>
      <c r="O1255" s="53">
        <v>5045573.25</v>
      </c>
      <c r="P1255" s="53">
        <v>298666784.04000002</v>
      </c>
      <c r="Q1255" s="53">
        <v>24872284.170000002</v>
      </c>
      <c r="R1255" s="53">
        <v>121823861.3</v>
      </c>
    </row>
    <row r="1256" spans="1:18" x14ac:dyDescent="0.25">
      <c r="A1256" s="25" t="s">
        <v>25</v>
      </c>
      <c r="B1256" s="26">
        <v>2015</v>
      </c>
      <c r="C1256" s="74" t="s">
        <v>24</v>
      </c>
      <c r="D1256" s="27">
        <v>0</v>
      </c>
      <c r="E1256" s="54">
        <v>214692000000</v>
      </c>
      <c r="F1256" s="53">
        <v>0</v>
      </c>
      <c r="G1256" s="53">
        <v>0</v>
      </c>
      <c r="H1256" s="53">
        <v>0</v>
      </c>
      <c r="I1256" s="53">
        <v>0</v>
      </c>
      <c r="J1256" s="53">
        <v>0</v>
      </c>
      <c r="K1256" s="53">
        <v>0</v>
      </c>
      <c r="L1256" s="53">
        <v>0</v>
      </c>
      <c r="M1256" s="53">
        <v>0</v>
      </c>
      <c r="N1256" s="53">
        <v>0</v>
      </c>
      <c r="O1256" s="53">
        <v>0</v>
      </c>
      <c r="P1256" s="53">
        <v>0</v>
      </c>
      <c r="Q1256" s="53">
        <v>0</v>
      </c>
      <c r="R1256" s="53">
        <v>0</v>
      </c>
    </row>
    <row r="1257" spans="1:18" x14ac:dyDescent="0.25">
      <c r="A1257" s="25" t="s">
        <v>23</v>
      </c>
      <c r="B1257" s="26">
        <v>2015</v>
      </c>
      <c r="C1257" s="74" t="s">
        <v>22</v>
      </c>
      <c r="D1257" s="27">
        <v>0</v>
      </c>
      <c r="E1257" s="54">
        <v>26836500000</v>
      </c>
      <c r="F1257" s="53">
        <v>0</v>
      </c>
      <c r="G1257" s="53">
        <v>0</v>
      </c>
      <c r="H1257" s="53">
        <v>0</v>
      </c>
      <c r="I1257" s="53">
        <v>0</v>
      </c>
      <c r="J1257" s="53">
        <v>0</v>
      </c>
      <c r="K1257" s="53">
        <v>0</v>
      </c>
      <c r="L1257" s="53">
        <v>0</v>
      </c>
      <c r="M1257" s="53">
        <v>0</v>
      </c>
      <c r="N1257" s="53">
        <v>0</v>
      </c>
      <c r="O1257" s="53">
        <v>0</v>
      </c>
      <c r="P1257" s="53">
        <v>0</v>
      </c>
      <c r="Q1257" s="53">
        <v>0</v>
      </c>
      <c r="R1257" s="53">
        <v>0</v>
      </c>
    </row>
    <row r="1258" spans="1:18" x14ac:dyDescent="0.25">
      <c r="A1258" s="25" t="s">
        <v>6</v>
      </c>
      <c r="B1258" s="26">
        <v>2015</v>
      </c>
      <c r="C1258" s="74" t="s">
        <v>4</v>
      </c>
      <c r="D1258" s="27">
        <v>0</v>
      </c>
      <c r="E1258" s="54">
        <v>53052957835.120003</v>
      </c>
      <c r="F1258" s="53">
        <v>0</v>
      </c>
      <c r="G1258" s="53">
        <v>0</v>
      </c>
      <c r="H1258" s="53">
        <v>0</v>
      </c>
      <c r="I1258" s="53">
        <v>0</v>
      </c>
      <c r="J1258" s="53">
        <v>0</v>
      </c>
      <c r="K1258" s="53">
        <v>0</v>
      </c>
      <c r="L1258" s="53">
        <v>0</v>
      </c>
      <c r="M1258" s="53">
        <v>0</v>
      </c>
      <c r="N1258" s="53">
        <v>0</v>
      </c>
      <c r="O1258" s="53">
        <v>0</v>
      </c>
      <c r="P1258" s="53">
        <v>0</v>
      </c>
      <c r="Q1258" s="53">
        <v>0</v>
      </c>
      <c r="R1258" s="53">
        <v>0</v>
      </c>
    </row>
    <row r="1259" spans="1:18" x14ac:dyDescent="0.25">
      <c r="A1259" s="25" t="s">
        <v>5</v>
      </c>
      <c r="B1259" s="26">
        <v>2015</v>
      </c>
      <c r="C1259" s="74" t="s">
        <v>4</v>
      </c>
      <c r="D1259" s="27">
        <v>0</v>
      </c>
      <c r="E1259" s="54">
        <v>158937200000</v>
      </c>
      <c r="F1259" s="53">
        <v>0</v>
      </c>
      <c r="G1259" s="53">
        <v>0</v>
      </c>
      <c r="H1259" s="53">
        <v>0</v>
      </c>
      <c r="I1259" s="53">
        <v>0</v>
      </c>
      <c r="J1259" s="53">
        <v>0</v>
      </c>
      <c r="K1259" s="53">
        <v>0</v>
      </c>
      <c r="L1259" s="53">
        <v>0</v>
      </c>
      <c r="M1259" s="53">
        <v>0</v>
      </c>
      <c r="N1259" s="53">
        <v>0</v>
      </c>
      <c r="O1259" s="53">
        <v>0</v>
      </c>
      <c r="P1259" s="53">
        <v>0</v>
      </c>
      <c r="Q1259" s="53">
        <v>0</v>
      </c>
      <c r="R1259" s="53">
        <v>0</v>
      </c>
    </row>
    <row r="1260" spans="1:18" x14ac:dyDescent="0.25">
      <c r="A1260" s="25" t="s">
        <v>383</v>
      </c>
      <c r="B1260" s="26">
        <v>2015</v>
      </c>
      <c r="C1260" s="74" t="s">
        <v>382</v>
      </c>
      <c r="D1260" s="27">
        <v>0</v>
      </c>
      <c r="E1260" s="54">
        <v>2676505037.52</v>
      </c>
      <c r="F1260" s="53">
        <v>0</v>
      </c>
      <c r="G1260" s="53">
        <v>0</v>
      </c>
      <c r="H1260" s="53">
        <v>0</v>
      </c>
      <c r="I1260" s="53">
        <v>0</v>
      </c>
      <c r="J1260" s="53">
        <v>0</v>
      </c>
      <c r="K1260" s="53">
        <v>0</v>
      </c>
      <c r="L1260" s="53">
        <v>0</v>
      </c>
      <c r="M1260" s="53">
        <v>0</v>
      </c>
      <c r="N1260" s="53">
        <v>0</v>
      </c>
      <c r="O1260" s="53">
        <v>0</v>
      </c>
      <c r="P1260" s="53">
        <v>0</v>
      </c>
      <c r="Q1260" s="53">
        <v>0</v>
      </c>
      <c r="R1260" s="53">
        <v>0</v>
      </c>
    </row>
    <row r="1261" spans="1:18" x14ac:dyDescent="0.25">
      <c r="A1261" s="25" t="s">
        <v>381</v>
      </c>
      <c r="B1261" s="26">
        <v>2015</v>
      </c>
      <c r="C1261" s="74" t="s">
        <v>380</v>
      </c>
      <c r="D1261" s="27">
        <v>0</v>
      </c>
      <c r="E1261" s="54">
        <v>1255923907.46</v>
      </c>
      <c r="F1261" s="53">
        <v>133680780.78</v>
      </c>
      <c r="G1261" s="53">
        <v>0</v>
      </c>
      <c r="H1261" s="53">
        <v>0</v>
      </c>
      <c r="I1261" s="53">
        <v>0</v>
      </c>
      <c r="J1261" s="53">
        <v>0</v>
      </c>
      <c r="K1261" s="53">
        <v>0</v>
      </c>
      <c r="L1261" s="53">
        <v>0</v>
      </c>
      <c r="M1261" s="53">
        <v>0</v>
      </c>
      <c r="N1261" s="53">
        <v>0</v>
      </c>
      <c r="O1261" s="53">
        <v>133680780.78</v>
      </c>
      <c r="P1261" s="53">
        <v>0</v>
      </c>
      <c r="Q1261" s="53">
        <v>0</v>
      </c>
      <c r="R1261" s="53">
        <v>0</v>
      </c>
    </row>
    <row r="1262" spans="1:18" x14ac:dyDescent="0.25">
      <c r="A1262" s="25" t="s">
        <v>15</v>
      </c>
      <c r="B1262" s="26">
        <v>2015</v>
      </c>
      <c r="C1262" s="74" t="s">
        <v>14</v>
      </c>
      <c r="D1262" s="27">
        <v>0</v>
      </c>
      <c r="E1262" s="54">
        <v>17485079619.900002</v>
      </c>
      <c r="F1262" s="53">
        <v>0</v>
      </c>
      <c r="G1262" s="53">
        <v>0</v>
      </c>
      <c r="H1262" s="53">
        <v>0</v>
      </c>
      <c r="I1262" s="53">
        <v>0</v>
      </c>
      <c r="J1262" s="53">
        <v>0</v>
      </c>
      <c r="K1262" s="53">
        <v>0</v>
      </c>
      <c r="L1262" s="53">
        <v>0</v>
      </c>
      <c r="M1262" s="53">
        <v>0</v>
      </c>
      <c r="N1262" s="53">
        <v>0</v>
      </c>
      <c r="O1262" s="53">
        <v>0</v>
      </c>
      <c r="P1262" s="53">
        <v>0</v>
      </c>
      <c r="Q1262" s="53">
        <v>0</v>
      </c>
      <c r="R1262" s="53">
        <v>0</v>
      </c>
    </row>
    <row r="1263" spans="1:18" x14ac:dyDescent="0.25">
      <c r="A1263" s="25" t="s">
        <v>417</v>
      </c>
      <c r="B1263" s="26">
        <v>2015</v>
      </c>
      <c r="C1263" s="74" t="s">
        <v>416</v>
      </c>
      <c r="D1263" s="27">
        <v>0</v>
      </c>
      <c r="E1263" s="54">
        <v>0</v>
      </c>
      <c r="F1263" s="53">
        <v>0</v>
      </c>
      <c r="G1263" s="53">
        <v>0</v>
      </c>
      <c r="H1263" s="53">
        <v>0</v>
      </c>
      <c r="I1263" s="53">
        <v>0</v>
      </c>
      <c r="J1263" s="53">
        <v>0</v>
      </c>
      <c r="K1263" s="53">
        <v>0</v>
      </c>
      <c r="L1263" s="53">
        <v>0</v>
      </c>
      <c r="M1263" s="53">
        <v>0</v>
      </c>
      <c r="N1263" s="53">
        <v>0</v>
      </c>
      <c r="O1263" s="53">
        <v>0</v>
      </c>
      <c r="P1263" s="53">
        <v>0</v>
      </c>
      <c r="Q1263" s="53">
        <v>0</v>
      </c>
      <c r="R1263" s="53">
        <v>0</v>
      </c>
    </row>
    <row r="1264" spans="1:18" x14ac:dyDescent="0.25">
      <c r="A1264" s="25" t="s">
        <v>13</v>
      </c>
      <c r="B1264" s="26">
        <v>2015</v>
      </c>
      <c r="C1264" s="74" t="s">
        <v>11</v>
      </c>
      <c r="D1264" s="27">
        <v>0</v>
      </c>
      <c r="E1264" s="54">
        <v>93894352420.830002</v>
      </c>
      <c r="F1264" s="53">
        <v>7789481800</v>
      </c>
      <c r="G1264" s="53">
        <v>0</v>
      </c>
      <c r="H1264" s="53">
        <v>0</v>
      </c>
      <c r="I1264" s="53">
        <v>0</v>
      </c>
      <c r="J1264" s="53">
        <v>0</v>
      </c>
      <c r="K1264" s="53">
        <v>0</v>
      </c>
      <c r="L1264" s="53">
        <v>0</v>
      </c>
      <c r="M1264" s="53">
        <v>1080338580</v>
      </c>
      <c r="N1264" s="53">
        <v>392628060</v>
      </c>
      <c r="O1264" s="53">
        <v>287931930</v>
      </c>
      <c r="P1264" s="53">
        <v>0</v>
      </c>
      <c r="Q1264" s="53">
        <v>520424460</v>
      </c>
      <c r="R1264" s="53">
        <v>5508158770</v>
      </c>
    </row>
    <row r="1265" spans="1:18" x14ac:dyDescent="0.25">
      <c r="A1265" s="25" t="s">
        <v>10</v>
      </c>
      <c r="B1265" s="26">
        <v>2015</v>
      </c>
      <c r="C1265" s="74" t="s">
        <v>9</v>
      </c>
      <c r="D1265" s="27">
        <v>0</v>
      </c>
      <c r="E1265" s="54">
        <v>45649353646.769997</v>
      </c>
      <c r="F1265" s="53">
        <v>20396838256.060001</v>
      </c>
      <c r="G1265" s="53">
        <v>0</v>
      </c>
      <c r="H1265" s="53">
        <v>0</v>
      </c>
      <c r="I1265" s="53">
        <v>6902036675.5100002</v>
      </c>
      <c r="J1265" s="53">
        <v>433457301.58999997</v>
      </c>
      <c r="K1265" s="53">
        <v>1161301647.8</v>
      </c>
      <c r="L1265" s="53">
        <v>1326261844.8</v>
      </c>
      <c r="M1265" s="53">
        <v>1839546867.4400001</v>
      </c>
      <c r="N1265" s="53">
        <v>1333640308.05</v>
      </c>
      <c r="O1265" s="53">
        <v>521617948.86000001</v>
      </c>
      <c r="P1265" s="53">
        <v>975418793.16999996</v>
      </c>
      <c r="Q1265" s="53">
        <v>1248497998.46</v>
      </c>
      <c r="R1265" s="53">
        <v>4655058870.3800001</v>
      </c>
    </row>
    <row r="1266" spans="1:18" x14ac:dyDescent="0.25">
      <c r="A1266" s="25" t="s">
        <v>8</v>
      </c>
      <c r="B1266" s="26">
        <v>2015</v>
      </c>
      <c r="C1266" s="74" t="s">
        <v>7</v>
      </c>
      <c r="D1266" s="27">
        <v>0</v>
      </c>
      <c r="E1266" s="54">
        <v>18321870198.849998</v>
      </c>
      <c r="F1266" s="53">
        <v>5488695328.8699999</v>
      </c>
      <c r="G1266" s="53">
        <v>0</v>
      </c>
      <c r="H1266" s="53">
        <v>551260013.87</v>
      </c>
      <c r="I1266" s="53">
        <v>233850864.03999999</v>
      </c>
      <c r="J1266" s="53">
        <v>517133423.91000003</v>
      </c>
      <c r="K1266" s="53">
        <v>1117299857.0999999</v>
      </c>
      <c r="L1266" s="53">
        <v>0</v>
      </c>
      <c r="M1266" s="53">
        <v>916204445.25999999</v>
      </c>
      <c r="N1266" s="53">
        <v>44507946.380000003</v>
      </c>
      <c r="O1266" s="53">
        <v>741742804.97000003</v>
      </c>
      <c r="P1266" s="53">
        <v>0</v>
      </c>
      <c r="Q1266" s="53">
        <v>0</v>
      </c>
      <c r="R1266" s="53">
        <v>1366695973.3399999</v>
      </c>
    </row>
    <row r="1267" spans="1:18" x14ac:dyDescent="0.25">
      <c r="A1267" s="25" t="s">
        <v>3</v>
      </c>
      <c r="B1267" s="26">
        <v>2015</v>
      </c>
      <c r="C1267" s="74" t="s">
        <v>0</v>
      </c>
      <c r="D1267" s="27">
        <v>0</v>
      </c>
      <c r="E1267" s="54">
        <v>1049322919.49</v>
      </c>
      <c r="F1267" s="53">
        <v>248759650.37</v>
      </c>
      <c r="G1267" s="53">
        <v>0</v>
      </c>
      <c r="H1267" s="53">
        <v>20833706.59</v>
      </c>
      <c r="I1267" s="53">
        <v>301265849.17000002</v>
      </c>
      <c r="J1267" s="53">
        <v>0</v>
      </c>
      <c r="K1267" s="53">
        <v>16222305.32</v>
      </c>
      <c r="L1267" s="53">
        <v>0</v>
      </c>
      <c r="M1267" s="53">
        <v>0</v>
      </c>
      <c r="N1267" s="53">
        <v>-106091740.41</v>
      </c>
      <c r="O1267" s="53">
        <v>0</v>
      </c>
      <c r="P1267" s="53">
        <v>16529529.699999999</v>
      </c>
      <c r="Q1267" s="53">
        <v>0</v>
      </c>
      <c r="R1267" s="53">
        <v>0</v>
      </c>
    </row>
    <row r="1268" spans="1:18" x14ac:dyDescent="0.25">
      <c r="A1268" s="25" t="s">
        <v>415</v>
      </c>
      <c r="B1268" s="26">
        <v>2015</v>
      </c>
      <c r="C1268" s="74" t="s">
        <v>414</v>
      </c>
      <c r="D1268" s="27">
        <v>0</v>
      </c>
      <c r="E1268" s="53">
        <v>534350000000</v>
      </c>
      <c r="F1268" s="53">
        <v>534350000000</v>
      </c>
      <c r="G1268" s="53">
        <v>0</v>
      </c>
      <c r="H1268" s="53">
        <v>0</v>
      </c>
      <c r="I1268" s="53">
        <v>0</v>
      </c>
      <c r="J1268" s="53">
        <v>0</v>
      </c>
      <c r="K1268" s="53">
        <v>534350000000</v>
      </c>
      <c r="L1268" s="53">
        <v>0</v>
      </c>
      <c r="M1268" s="53">
        <v>0</v>
      </c>
      <c r="N1268" s="53">
        <v>0</v>
      </c>
      <c r="O1268" s="53">
        <v>0</v>
      </c>
      <c r="P1268" s="53">
        <v>0</v>
      </c>
      <c r="Q1268" s="53">
        <v>0</v>
      </c>
      <c r="R1268" s="53">
        <v>0</v>
      </c>
    </row>
    <row r="1269" spans="1:18" x14ac:dyDescent="0.25">
      <c r="A1269" s="25" t="s">
        <v>413</v>
      </c>
      <c r="B1269" s="26">
        <v>2015</v>
      </c>
      <c r="C1269" s="74" t="s">
        <v>412</v>
      </c>
      <c r="D1269" s="27">
        <v>0</v>
      </c>
      <c r="E1269" s="53">
        <v>40470502793.129997</v>
      </c>
      <c r="F1269" s="53">
        <v>40470502793.129997</v>
      </c>
      <c r="G1269" s="53">
        <v>0</v>
      </c>
      <c r="H1269" s="53">
        <v>0</v>
      </c>
      <c r="I1269" s="53">
        <v>0</v>
      </c>
      <c r="J1269" s="53">
        <v>0</v>
      </c>
      <c r="K1269" s="53">
        <v>40470502793.129997</v>
      </c>
      <c r="L1269" s="53">
        <v>0</v>
      </c>
      <c r="M1269" s="53">
        <v>0</v>
      </c>
      <c r="N1269" s="53">
        <v>0</v>
      </c>
      <c r="O1269" s="53">
        <v>0</v>
      </c>
      <c r="P1269" s="53">
        <v>0</v>
      </c>
      <c r="Q1269" s="53">
        <v>0</v>
      </c>
      <c r="R1269" s="53">
        <v>0</v>
      </c>
    </row>
    <row r="1270" spans="1:18" x14ac:dyDescent="0.25">
      <c r="A1270" s="25" t="s">
        <v>360</v>
      </c>
      <c r="B1270" s="26">
        <v>2016</v>
      </c>
      <c r="C1270" s="74" t="s">
        <v>359</v>
      </c>
      <c r="D1270" s="27">
        <v>0</v>
      </c>
      <c r="E1270" s="53">
        <v>0</v>
      </c>
      <c r="F1270" s="53">
        <v>0</v>
      </c>
      <c r="G1270" s="53">
        <v>18103624116.799999</v>
      </c>
      <c r="H1270" s="53">
        <v>16920203141.059999</v>
      </c>
      <c r="I1270" s="53">
        <v>20451638802.189999</v>
      </c>
      <c r="J1270" s="53">
        <v>18331721479.450001</v>
      </c>
      <c r="K1270" s="53">
        <v>20110795300.450001</v>
      </c>
      <c r="L1270" s="53">
        <v>0</v>
      </c>
      <c r="M1270" s="53">
        <v>0</v>
      </c>
      <c r="N1270" s="53">
        <v>0</v>
      </c>
      <c r="O1270" s="53">
        <v>0</v>
      </c>
      <c r="P1270" s="53">
        <v>0</v>
      </c>
      <c r="Q1270" s="53">
        <v>0</v>
      </c>
      <c r="R1270" s="53">
        <v>0</v>
      </c>
    </row>
    <row r="1271" spans="1:18" x14ac:dyDescent="0.25">
      <c r="A1271" s="25" t="s">
        <v>358</v>
      </c>
      <c r="B1271" s="26">
        <v>2016</v>
      </c>
      <c r="C1271" s="74" t="s">
        <v>357</v>
      </c>
      <c r="D1271" s="27">
        <v>0</v>
      </c>
      <c r="E1271" s="53">
        <v>0</v>
      </c>
      <c r="F1271" s="53">
        <v>0</v>
      </c>
      <c r="G1271" s="53">
        <v>12684093993.360001</v>
      </c>
      <c r="H1271" s="53">
        <v>11087367660.08</v>
      </c>
      <c r="I1271" s="53">
        <v>8894498987.5900002</v>
      </c>
      <c r="J1271" s="53">
        <v>15318224707.83</v>
      </c>
      <c r="K1271" s="53">
        <v>11528587277.5</v>
      </c>
      <c r="L1271" s="53">
        <v>0</v>
      </c>
      <c r="M1271" s="53">
        <v>0</v>
      </c>
      <c r="N1271" s="53">
        <v>0</v>
      </c>
      <c r="O1271" s="53">
        <v>0</v>
      </c>
      <c r="P1271" s="53">
        <v>0</v>
      </c>
      <c r="Q1271" s="53">
        <v>0</v>
      </c>
      <c r="R1271" s="53">
        <v>0</v>
      </c>
    </row>
    <row r="1272" spans="1:18" x14ac:dyDescent="0.25">
      <c r="A1272" s="25" t="s">
        <v>356</v>
      </c>
      <c r="B1272" s="26">
        <v>2016</v>
      </c>
      <c r="C1272" s="74" t="s">
        <v>355</v>
      </c>
      <c r="D1272" s="27">
        <v>0</v>
      </c>
      <c r="E1272" s="53">
        <v>0</v>
      </c>
      <c r="F1272" s="53">
        <v>0</v>
      </c>
      <c r="G1272" s="53">
        <v>1660744439.4200001</v>
      </c>
      <c r="H1272" s="53">
        <v>689342496</v>
      </c>
      <c r="I1272" s="53">
        <v>4828888114.5500002</v>
      </c>
      <c r="J1272" s="53">
        <v>2871660327.3299999</v>
      </c>
      <c r="K1272" s="53">
        <v>949592769.13000107</v>
      </c>
      <c r="L1272" s="53">
        <v>0</v>
      </c>
      <c r="M1272" s="53">
        <v>0</v>
      </c>
      <c r="N1272" s="53">
        <v>0</v>
      </c>
      <c r="O1272" s="53">
        <v>0</v>
      </c>
      <c r="P1272" s="53">
        <v>0</v>
      </c>
      <c r="Q1272" s="53">
        <v>0</v>
      </c>
      <c r="R1272" s="53">
        <v>0</v>
      </c>
    </row>
    <row r="1273" spans="1:18" x14ac:dyDescent="0.25">
      <c r="A1273" s="25" t="s">
        <v>353</v>
      </c>
      <c r="B1273" s="26">
        <v>2016</v>
      </c>
      <c r="C1273" s="74" t="s">
        <v>352</v>
      </c>
      <c r="D1273" s="27">
        <v>0</v>
      </c>
      <c r="E1273" s="53">
        <v>0</v>
      </c>
      <c r="F1273" s="53">
        <v>0</v>
      </c>
      <c r="G1273" s="53">
        <v>8703807353.5100002</v>
      </c>
      <c r="H1273" s="53">
        <v>3454296798.9000001</v>
      </c>
      <c r="I1273" s="53">
        <v>15332348553.92</v>
      </c>
      <c r="J1273" s="53">
        <v>5075021905.2200003</v>
      </c>
      <c r="K1273" s="53">
        <v>5090335572.0299988</v>
      </c>
      <c r="L1273" s="53">
        <v>0</v>
      </c>
      <c r="M1273" s="53">
        <v>0</v>
      </c>
      <c r="N1273" s="53">
        <v>0</v>
      </c>
      <c r="O1273" s="53">
        <v>0</v>
      </c>
      <c r="P1273" s="53">
        <v>0</v>
      </c>
      <c r="Q1273" s="53">
        <v>0</v>
      </c>
      <c r="R1273" s="53">
        <v>0</v>
      </c>
    </row>
    <row r="1274" spans="1:18" x14ac:dyDescent="0.25">
      <c r="A1274" s="25" t="s">
        <v>351</v>
      </c>
      <c r="B1274" s="26">
        <v>2016</v>
      </c>
      <c r="C1274" s="74" t="s">
        <v>350</v>
      </c>
      <c r="D1274" s="27">
        <v>0</v>
      </c>
      <c r="E1274" s="53">
        <v>0</v>
      </c>
      <c r="F1274" s="53">
        <v>0</v>
      </c>
      <c r="G1274" s="53">
        <v>17835194322.169998</v>
      </c>
      <c r="H1274" s="53">
        <v>16988942890.17</v>
      </c>
      <c r="I1274" s="53">
        <v>128342355363.50999</v>
      </c>
      <c r="J1274" s="53">
        <v>20043230257.77</v>
      </c>
      <c r="K1274" s="53">
        <v>12363186545.200001</v>
      </c>
      <c r="L1274" s="53">
        <v>0</v>
      </c>
      <c r="M1274" s="53">
        <v>0</v>
      </c>
      <c r="N1274" s="53">
        <v>0</v>
      </c>
      <c r="O1274" s="53">
        <v>0</v>
      </c>
      <c r="P1274" s="53">
        <v>0</v>
      </c>
      <c r="Q1274" s="53">
        <v>0</v>
      </c>
      <c r="R1274" s="53">
        <v>0</v>
      </c>
    </row>
    <row r="1275" spans="1:18" x14ac:dyDescent="0.25">
      <c r="A1275" s="25" t="s">
        <v>348</v>
      </c>
      <c r="B1275" s="26">
        <v>2016</v>
      </c>
      <c r="C1275" s="74" t="s">
        <v>344</v>
      </c>
      <c r="D1275" s="27">
        <v>0</v>
      </c>
      <c r="E1275" s="53">
        <v>0</v>
      </c>
      <c r="F1275" s="53">
        <v>0</v>
      </c>
      <c r="G1275" s="53">
        <v>23790581</v>
      </c>
      <c r="H1275" s="53">
        <v>299824200</v>
      </c>
      <c r="I1275" s="53">
        <v>49669273</v>
      </c>
      <c r="J1275" s="53">
        <v>29271037</v>
      </c>
      <c r="K1275" s="53">
        <v>25728144</v>
      </c>
      <c r="L1275" s="53">
        <v>0</v>
      </c>
      <c r="M1275" s="53">
        <v>0</v>
      </c>
      <c r="N1275" s="53">
        <v>0</v>
      </c>
      <c r="O1275" s="53">
        <v>0</v>
      </c>
      <c r="P1275" s="53">
        <v>0</v>
      </c>
      <c r="Q1275" s="53">
        <v>0</v>
      </c>
      <c r="R1275" s="53">
        <v>0</v>
      </c>
    </row>
    <row r="1276" spans="1:18" x14ac:dyDescent="0.25">
      <c r="A1276" s="25" t="s">
        <v>347</v>
      </c>
      <c r="B1276" s="26">
        <v>2016</v>
      </c>
      <c r="C1276" s="74" t="s">
        <v>342</v>
      </c>
      <c r="D1276" s="27">
        <v>0</v>
      </c>
      <c r="E1276" s="53">
        <v>0</v>
      </c>
      <c r="F1276" s="53">
        <v>0</v>
      </c>
      <c r="G1276" s="53">
        <v>3855269586.4499998</v>
      </c>
      <c r="H1276" s="53">
        <v>1909838747.4000001</v>
      </c>
      <c r="I1276" s="53">
        <v>2075742178.8800001</v>
      </c>
      <c r="J1276" s="53">
        <v>3141325932.98</v>
      </c>
      <c r="K1276" s="53">
        <v>1535713580.4100018</v>
      </c>
      <c r="L1276" s="53">
        <v>0</v>
      </c>
      <c r="M1276" s="53">
        <v>0</v>
      </c>
      <c r="N1276" s="53">
        <v>0</v>
      </c>
      <c r="O1276" s="53">
        <v>0</v>
      </c>
      <c r="P1276" s="53">
        <v>0</v>
      </c>
      <c r="Q1276" s="53">
        <v>0</v>
      </c>
      <c r="R1276" s="53">
        <v>0</v>
      </c>
    </row>
    <row r="1277" spans="1:18" x14ac:dyDescent="0.25">
      <c r="A1277" s="25" t="s">
        <v>345</v>
      </c>
      <c r="B1277" s="26">
        <v>2016</v>
      </c>
      <c r="C1277" s="74" t="s">
        <v>344</v>
      </c>
      <c r="D1277" s="27">
        <v>0</v>
      </c>
      <c r="E1277" s="53">
        <v>0</v>
      </c>
      <c r="F1277" s="53">
        <v>0</v>
      </c>
      <c r="G1277" s="53">
        <v>4709900337.0200005</v>
      </c>
      <c r="H1277" s="53">
        <v>2402434427.8899999</v>
      </c>
      <c r="I1277" s="53">
        <v>960247872.27999997</v>
      </c>
      <c r="J1277" s="53">
        <v>6624001771.21</v>
      </c>
      <c r="K1277" s="53">
        <v>2209449644.5500011</v>
      </c>
      <c r="L1277" s="53">
        <v>0</v>
      </c>
      <c r="M1277" s="53">
        <v>0</v>
      </c>
      <c r="N1277" s="53">
        <v>0</v>
      </c>
      <c r="O1277" s="53">
        <v>0</v>
      </c>
      <c r="P1277" s="53">
        <v>0</v>
      </c>
      <c r="Q1277" s="53">
        <v>0</v>
      </c>
      <c r="R1277" s="53">
        <v>0</v>
      </c>
    </row>
    <row r="1278" spans="1:18" x14ac:dyDescent="0.25">
      <c r="A1278" s="25" t="s">
        <v>343</v>
      </c>
      <c r="B1278" s="26">
        <v>2016</v>
      </c>
      <c r="C1278" s="74" t="s">
        <v>342</v>
      </c>
      <c r="D1278" s="27">
        <v>0</v>
      </c>
      <c r="E1278" s="53">
        <v>0</v>
      </c>
      <c r="F1278" s="53">
        <v>0</v>
      </c>
      <c r="G1278" s="53">
        <v>1907827051.23</v>
      </c>
      <c r="H1278" s="53">
        <v>1306240992.8299999</v>
      </c>
      <c r="I1278" s="53">
        <v>1225736942.3900001</v>
      </c>
      <c r="J1278" s="53">
        <v>1547292973.99</v>
      </c>
      <c r="K1278" s="53">
        <v>1587847206.9199991</v>
      </c>
      <c r="L1278" s="53">
        <v>0</v>
      </c>
      <c r="M1278" s="53">
        <v>0</v>
      </c>
      <c r="N1278" s="53">
        <v>0</v>
      </c>
      <c r="O1278" s="53">
        <v>0</v>
      </c>
      <c r="P1278" s="53">
        <v>0</v>
      </c>
      <c r="Q1278" s="53">
        <v>0</v>
      </c>
      <c r="R1278" s="53">
        <v>0</v>
      </c>
    </row>
    <row r="1279" spans="1:18" x14ac:dyDescent="0.25">
      <c r="A1279" s="25" t="s">
        <v>340</v>
      </c>
      <c r="B1279" s="26">
        <v>2016</v>
      </c>
      <c r="C1279" s="74" t="s">
        <v>339</v>
      </c>
      <c r="D1279" s="27">
        <v>0</v>
      </c>
      <c r="E1279" s="53">
        <v>0</v>
      </c>
      <c r="F1279" s="53">
        <v>0</v>
      </c>
      <c r="G1279" s="53">
        <v>17907110607.389999</v>
      </c>
      <c r="H1279" s="53">
        <v>8883932236.5300007</v>
      </c>
      <c r="I1279" s="53">
        <v>15389693242.719999</v>
      </c>
      <c r="J1279" s="53">
        <v>11451303383.98</v>
      </c>
      <c r="K1279" s="53">
        <v>10140434355.700005</v>
      </c>
      <c r="L1279" s="53">
        <v>0</v>
      </c>
      <c r="M1279" s="53">
        <v>0</v>
      </c>
      <c r="N1279" s="53">
        <v>0</v>
      </c>
      <c r="O1279" s="53">
        <v>0</v>
      </c>
      <c r="P1279" s="53">
        <v>0</v>
      </c>
      <c r="Q1279" s="53">
        <v>0</v>
      </c>
      <c r="R1279" s="53">
        <v>0</v>
      </c>
    </row>
    <row r="1280" spans="1:18" x14ac:dyDescent="0.25">
      <c r="A1280" s="25" t="s">
        <v>335</v>
      </c>
      <c r="B1280" s="26">
        <v>2016</v>
      </c>
      <c r="C1280" s="74" t="s">
        <v>334</v>
      </c>
      <c r="D1280" s="27">
        <v>0</v>
      </c>
      <c r="E1280" s="53">
        <v>0</v>
      </c>
      <c r="F1280" s="53">
        <v>0</v>
      </c>
      <c r="G1280" s="53">
        <v>3309696341</v>
      </c>
      <c r="H1280" s="53">
        <v>225810284.58000001</v>
      </c>
      <c r="I1280" s="53">
        <v>108573637</v>
      </c>
      <c r="J1280" s="53">
        <v>66043363</v>
      </c>
      <c r="K1280" s="53">
        <v>64356928</v>
      </c>
      <c r="L1280" s="53">
        <v>0</v>
      </c>
      <c r="M1280" s="53">
        <v>0</v>
      </c>
      <c r="N1280" s="53">
        <v>0</v>
      </c>
      <c r="O1280" s="53">
        <v>0</v>
      </c>
      <c r="P1280" s="53">
        <v>0</v>
      </c>
      <c r="Q1280" s="53">
        <v>0</v>
      </c>
      <c r="R1280" s="53">
        <v>0</v>
      </c>
    </row>
    <row r="1281" spans="1:18" x14ac:dyDescent="0.25">
      <c r="A1281" s="25" t="s">
        <v>332</v>
      </c>
      <c r="B1281" s="26">
        <v>2016</v>
      </c>
      <c r="C1281" s="74" t="s">
        <v>331</v>
      </c>
      <c r="D1281" s="27">
        <v>0</v>
      </c>
      <c r="E1281" s="53">
        <v>0</v>
      </c>
      <c r="F1281" s="53">
        <v>0</v>
      </c>
      <c r="G1281" s="53">
        <v>9985468977</v>
      </c>
      <c r="H1281" s="53">
        <v>3263002717</v>
      </c>
      <c r="I1281" s="53">
        <v>2950698533</v>
      </c>
      <c r="J1281" s="53">
        <v>2539977000</v>
      </c>
      <c r="K1281" s="53">
        <v>2552930360</v>
      </c>
      <c r="L1281" s="53">
        <v>0</v>
      </c>
      <c r="M1281" s="53">
        <v>0</v>
      </c>
      <c r="N1281" s="53">
        <v>0</v>
      </c>
      <c r="O1281" s="53">
        <v>0</v>
      </c>
      <c r="P1281" s="53">
        <v>0</v>
      </c>
      <c r="Q1281" s="53">
        <v>0</v>
      </c>
      <c r="R1281" s="53">
        <v>0</v>
      </c>
    </row>
    <row r="1282" spans="1:18" x14ac:dyDescent="0.25">
      <c r="A1282" s="25" t="s">
        <v>329</v>
      </c>
      <c r="B1282" s="26">
        <v>2016</v>
      </c>
      <c r="C1282" s="74" t="s">
        <v>328</v>
      </c>
      <c r="D1282" s="27">
        <v>0</v>
      </c>
      <c r="E1282" s="53">
        <v>0</v>
      </c>
      <c r="F1282" s="53">
        <v>0</v>
      </c>
      <c r="G1282" s="53">
        <v>14043221</v>
      </c>
      <c r="H1282" s="53">
        <v>4558370</v>
      </c>
      <c r="I1282" s="53">
        <v>4002842</v>
      </c>
      <c r="J1282" s="53">
        <v>3190790</v>
      </c>
      <c r="K1282" s="53">
        <v>2853294</v>
      </c>
      <c r="L1282" s="53">
        <v>0</v>
      </c>
      <c r="M1282" s="53">
        <v>0</v>
      </c>
      <c r="N1282" s="53">
        <v>0</v>
      </c>
      <c r="O1282" s="53">
        <v>0</v>
      </c>
      <c r="P1282" s="53">
        <v>0</v>
      </c>
      <c r="Q1282" s="53">
        <v>0</v>
      </c>
      <c r="R1282" s="53">
        <v>0</v>
      </c>
    </row>
    <row r="1283" spans="1:18" x14ac:dyDescent="0.25">
      <c r="A1283" s="25" t="s">
        <v>325</v>
      </c>
      <c r="B1283" s="26">
        <v>2016</v>
      </c>
      <c r="C1283" s="74" t="s">
        <v>324</v>
      </c>
      <c r="D1283" s="27">
        <v>0</v>
      </c>
      <c r="E1283" s="53">
        <v>0</v>
      </c>
      <c r="F1283" s="53">
        <v>0</v>
      </c>
      <c r="G1283" s="53">
        <v>20793122.879999999</v>
      </c>
      <c r="H1283" s="53">
        <v>14334006.98</v>
      </c>
      <c r="I1283" s="53">
        <v>16206934.189999999</v>
      </c>
      <c r="J1283" s="53">
        <v>128988295.56</v>
      </c>
      <c r="K1283" s="53">
        <v>93374787.159999996</v>
      </c>
      <c r="L1283" s="53">
        <v>0</v>
      </c>
      <c r="M1283" s="53">
        <v>0</v>
      </c>
      <c r="N1283" s="53">
        <v>0</v>
      </c>
      <c r="O1283" s="53">
        <v>0</v>
      </c>
      <c r="P1283" s="53">
        <v>0</v>
      </c>
      <c r="Q1283" s="53">
        <v>0</v>
      </c>
      <c r="R1283" s="53">
        <v>0</v>
      </c>
    </row>
    <row r="1284" spans="1:18" x14ac:dyDescent="0.25">
      <c r="A1284" s="25" t="s">
        <v>378</v>
      </c>
      <c r="B1284" s="26">
        <v>2016</v>
      </c>
      <c r="C1284" s="74" t="s">
        <v>411</v>
      </c>
      <c r="D1284" s="27">
        <v>0</v>
      </c>
      <c r="E1284" s="53">
        <v>0</v>
      </c>
      <c r="F1284" s="53">
        <v>0</v>
      </c>
      <c r="G1284" s="53">
        <v>1155165145.1600001</v>
      </c>
      <c r="H1284" s="53">
        <v>690268693.65999997</v>
      </c>
      <c r="I1284" s="53">
        <v>556063083.15999997</v>
      </c>
      <c r="J1284" s="53">
        <v>510075761.88999999</v>
      </c>
      <c r="K1284" s="53">
        <v>991463228.47000027</v>
      </c>
      <c r="L1284" s="53">
        <v>0</v>
      </c>
      <c r="M1284" s="53">
        <v>0</v>
      </c>
      <c r="N1284" s="53">
        <v>0</v>
      </c>
      <c r="O1284" s="53">
        <v>0</v>
      </c>
      <c r="P1284" s="53">
        <v>0</v>
      </c>
      <c r="Q1284" s="53">
        <v>0</v>
      </c>
      <c r="R1284" s="53">
        <v>0</v>
      </c>
    </row>
    <row r="1285" spans="1:18" x14ac:dyDescent="0.25">
      <c r="A1285" s="25" t="s">
        <v>320</v>
      </c>
      <c r="B1285" s="26">
        <v>2016</v>
      </c>
      <c r="C1285" s="74" t="s">
        <v>319</v>
      </c>
      <c r="D1285" s="27">
        <v>0</v>
      </c>
      <c r="E1285" s="53">
        <v>0</v>
      </c>
      <c r="F1285" s="53">
        <v>0</v>
      </c>
      <c r="G1285" s="53">
        <v>2441317489</v>
      </c>
      <c r="H1285" s="53">
        <v>2787113725</v>
      </c>
      <c r="I1285" s="53">
        <v>2787938562</v>
      </c>
      <c r="J1285" s="53">
        <v>2860988871.4200001</v>
      </c>
      <c r="K1285" s="53">
        <v>3306485695</v>
      </c>
      <c r="L1285" s="53">
        <v>0</v>
      </c>
      <c r="M1285" s="53">
        <v>0</v>
      </c>
      <c r="N1285" s="53">
        <v>0</v>
      </c>
      <c r="O1285" s="53">
        <v>0</v>
      </c>
      <c r="P1285" s="53">
        <v>0</v>
      </c>
      <c r="Q1285" s="53">
        <v>0</v>
      </c>
      <c r="R1285" s="53">
        <v>0</v>
      </c>
    </row>
    <row r="1286" spans="1:18" x14ac:dyDescent="0.25">
      <c r="A1286" s="25" t="s">
        <v>317</v>
      </c>
      <c r="B1286" s="26">
        <v>2016</v>
      </c>
      <c r="C1286" s="74" t="s">
        <v>316</v>
      </c>
      <c r="D1286" s="27">
        <v>0</v>
      </c>
      <c r="E1286" s="53">
        <v>0</v>
      </c>
      <c r="F1286" s="53">
        <v>0</v>
      </c>
      <c r="G1286" s="53">
        <v>1842826657</v>
      </c>
      <c r="H1286" s="53">
        <v>2121797202</v>
      </c>
      <c r="I1286" s="53">
        <v>1947310330</v>
      </c>
      <c r="J1286" s="53">
        <v>1940561229</v>
      </c>
      <c r="K1286" s="53">
        <v>2118592969</v>
      </c>
      <c r="L1286" s="53">
        <v>0</v>
      </c>
      <c r="M1286" s="53">
        <v>0</v>
      </c>
      <c r="N1286" s="53">
        <v>0</v>
      </c>
      <c r="O1286" s="53">
        <v>0</v>
      </c>
      <c r="P1286" s="53">
        <v>0</v>
      </c>
      <c r="Q1286" s="53">
        <v>0</v>
      </c>
      <c r="R1286" s="53">
        <v>0</v>
      </c>
    </row>
    <row r="1287" spans="1:18" x14ac:dyDescent="0.25">
      <c r="A1287" s="25" t="s">
        <v>313</v>
      </c>
      <c r="B1287" s="26">
        <v>2016</v>
      </c>
      <c r="C1287" s="74" t="s">
        <v>312</v>
      </c>
      <c r="D1287" s="27">
        <v>0</v>
      </c>
      <c r="E1287" s="53">
        <v>0</v>
      </c>
      <c r="F1287" s="53">
        <v>0</v>
      </c>
      <c r="G1287" s="53">
        <v>75720092416.020004</v>
      </c>
      <c r="H1287" s="53">
        <v>61629933457.440002</v>
      </c>
      <c r="I1287" s="53">
        <v>64321647919.839996</v>
      </c>
      <c r="J1287" s="53">
        <v>61052925769.809998</v>
      </c>
      <c r="K1287" s="53">
        <v>58693779392.789993</v>
      </c>
      <c r="L1287" s="53">
        <v>0</v>
      </c>
      <c r="M1287" s="53">
        <v>0</v>
      </c>
      <c r="N1287" s="53">
        <v>0</v>
      </c>
      <c r="O1287" s="53">
        <v>0</v>
      </c>
      <c r="P1287" s="53">
        <v>0</v>
      </c>
      <c r="Q1287" s="53">
        <v>0</v>
      </c>
      <c r="R1287" s="53">
        <v>0</v>
      </c>
    </row>
    <row r="1288" spans="1:18" x14ac:dyDescent="0.25">
      <c r="A1288" s="25" t="s">
        <v>310</v>
      </c>
      <c r="B1288" s="26">
        <v>2016</v>
      </c>
      <c r="C1288" s="74" t="s">
        <v>309</v>
      </c>
      <c r="D1288" s="27">
        <v>0</v>
      </c>
      <c r="E1288" s="53">
        <v>0</v>
      </c>
      <c r="F1288" s="53">
        <v>0</v>
      </c>
      <c r="G1288" s="53">
        <v>48837928916.550003</v>
      </c>
      <c r="H1288" s="53">
        <v>49255168382.389999</v>
      </c>
      <c r="I1288" s="53">
        <v>55044887287.970001</v>
      </c>
      <c r="J1288" s="53">
        <v>56545893891.860001</v>
      </c>
      <c r="K1288" s="53">
        <v>53052811363.720001</v>
      </c>
      <c r="L1288" s="53">
        <v>0</v>
      </c>
      <c r="M1288" s="53">
        <v>0</v>
      </c>
      <c r="N1288" s="53">
        <v>0</v>
      </c>
      <c r="O1288" s="53">
        <v>0</v>
      </c>
      <c r="P1288" s="53">
        <v>0</v>
      </c>
      <c r="Q1288" s="53">
        <v>0</v>
      </c>
      <c r="R1288" s="53">
        <v>0</v>
      </c>
    </row>
    <row r="1289" spans="1:18" x14ac:dyDescent="0.25">
      <c r="A1289" s="25" t="s">
        <v>306</v>
      </c>
      <c r="B1289" s="26">
        <v>2016</v>
      </c>
      <c r="C1289" s="74" t="s">
        <v>305</v>
      </c>
      <c r="D1289" s="27">
        <v>0</v>
      </c>
      <c r="E1289" s="53">
        <v>0</v>
      </c>
      <c r="F1289" s="53">
        <v>0</v>
      </c>
      <c r="G1289" s="53">
        <v>3428200464.0500002</v>
      </c>
      <c r="H1289" s="53">
        <v>879553314.74000001</v>
      </c>
      <c r="I1289" s="53">
        <v>1265688308.22</v>
      </c>
      <c r="J1289" s="53">
        <v>4481713440.9799995</v>
      </c>
      <c r="K1289" s="53">
        <v>1055052638.6000004</v>
      </c>
      <c r="L1289" s="53">
        <v>0</v>
      </c>
      <c r="M1289" s="53">
        <v>0</v>
      </c>
      <c r="N1289" s="53">
        <v>0</v>
      </c>
      <c r="O1289" s="53">
        <v>0</v>
      </c>
      <c r="P1289" s="53">
        <v>0</v>
      </c>
      <c r="Q1289" s="53">
        <v>0</v>
      </c>
      <c r="R1289" s="53">
        <v>0</v>
      </c>
    </row>
    <row r="1290" spans="1:18" x14ac:dyDescent="0.25">
      <c r="A1290" s="25" t="s">
        <v>303</v>
      </c>
      <c r="B1290" s="26">
        <v>2016</v>
      </c>
      <c r="C1290" s="74" t="s">
        <v>302</v>
      </c>
      <c r="D1290" s="27">
        <v>0</v>
      </c>
      <c r="E1290" s="53">
        <v>0</v>
      </c>
      <c r="F1290" s="53">
        <v>0</v>
      </c>
      <c r="G1290" s="53">
        <v>16271516103.690001</v>
      </c>
      <c r="H1290" s="53">
        <v>16491483392.549999</v>
      </c>
      <c r="I1290" s="53">
        <v>23129032569.509998</v>
      </c>
      <c r="J1290" s="53">
        <v>22650074182.91</v>
      </c>
      <c r="K1290" s="53">
        <v>18782940193.549999</v>
      </c>
      <c r="L1290" s="53">
        <v>0</v>
      </c>
      <c r="M1290" s="53">
        <v>0</v>
      </c>
      <c r="N1290" s="53">
        <v>0</v>
      </c>
      <c r="O1290" s="53">
        <v>0</v>
      </c>
      <c r="P1290" s="53">
        <v>0</v>
      </c>
      <c r="Q1290" s="53">
        <v>0</v>
      </c>
      <c r="R1290" s="53">
        <v>0</v>
      </c>
    </row>
    <row r="1291" spans="1:18" x14ac:dyDescent="0.25">
      <c r="A1291" s="25" t="s">
        <v>298</v>
      </c>
      <c r="B1291" s="26">
        <v>2016</v>
      </c>
      <c r="C1291" s="74" t="s">
        <v>281</v>
      </c>
      <c r="D1291" s="27">
        <v>0</v>
      </c>
      <c r="E1291" s="53">
        <v>0</v>
      </c>
      <c r="F1291" s="53">
        <v>0</v>
      </c>
      <c r="G1291" s="53">
        <v>16390755711</v>
      </c>
      <c r="H1291" s="53">
        <v>30176569176</v>
      </c>
      <c r="I1291" s="53">
        <v>26674021581</v>
      </c>
      <c r="J1291" s="53">
        <v>25597637836</v>
      </c>
      <c r="K1291" s="53">
        <v>19210983111</v>
      </c>
      <c r="L1291" s="53">
        <v>0</v>
      </c>
      <c r="M1291" s="53">
        <v>0</v>
      </c>
      <c r="N1291" s="53">
        <v>0</v>
      </c>
      <c r="O1291" s="53">
        <v>0</v>
      </c>
      <c r="P1291" s="53">
        <v>0</v>
      </c>
      <c r="Q1291" s="53">
        <v>0</v>
      </c>
      <c r="R1291" s="53">
        <v>0</v>
      </c>
    </row>
    <row r="1292" spans="1:18" x14ac:dyDescent="0.25">
      <c r="A1292" s="25" t="s">
        <v>297</v>
      </c>
      <c r="B1292" s="26">
        <v>2016</v>
      </c>
      <c r="C1292" s="74" t="s">
        <v>287</v>
      </c>
      <c r="D1292" s="27">
        <v>0</v>
      </c>
      <c r="E1292" s="53">
        <v>0</v>
      </c>
      <c r="F1292" s="53">
        <v>0</v>
      </c>
      <c r="G1292" s="53">
        <v>16839396118.41</v>
      </c>
      <c r="H1292" s="53">
        <v>16514868780.559999</v>
      </c>
      <c r="I1292" s="53">
        <v>10803374038.34</v>
      </c>
      <c r="J1292" s="53">
        <v>21520934032.52</v>
      </c>
      <c r="K1292" s="53">
        <v>14983882160.970001</v>
      </c>
      <c r="L1292" s="53">
        <v>0</v>
      </c>
      <c r="M1292" s="53">
        <v>0</v>
      </c>
      <c r="N1292" s="53">
        <v>0</v>
      </c>
      <c r="O1292" s="53">
        <v>0</v>
      </c>
      <c r="P1292" s="53">
        <v>0</v>
      </c>
      <c r="Q1292" s="53">
        <v>0</v>
      </c>
      <c r="R1292" s="53">
        <v>0</v>
      </c>
    </row>
    <row r="1293" spans="1:18" x14ac:dyDescent="0.25">
      <c r="A1293" s="25" t="s">
        <v>295</v>
      </c>
      <c r="B1293" s="26">
        <v>2016</v>
      </c>
      <c r="C1293" s="74" t="s">
        <v>281</v>
      </c>
      <c r="D1293" s="27">
        <v>0</v>
      </c>
      <c r="E1293" s="53">
        <v>0</v>
      </c>
      <c r="F1293" s="53">
        <v>0</v>
      </c>
      <c r="G1293" s="53">
        <v>3921326018.7399998</v>
      </c>
      <c r="H1293" s="53">
        <v>2478717270.5500002</v>
      </c>
      <c r="I1293" s="53">
        <v>2826199615.0999999</v>
      </c>
      <c r="J1293" s="53">
        <v>2567706048.8299999</v>
      </c>
      <c r="K1293" s="53">
        <v>2287655391.039999</v>
      </c>
      <c r="L1293" s="53">
        <v>0</v>
      </c>
      <c r="M1293" s="53">
        <v>0</v>
      </c>
      <c r="N1293" s="53">
        <v>0</v>
      </c>
      <c r="O1293" s="53">
        <v>0</v>
      </c>
      <c r="P1293" s="53">
        <v>0</v>
      </c>
      <c r="Q1293" s="53">
        <v>0</v>
      </c>
      <c r="R1293" s="53">
        <v>0</v>
      </c>
    </row>
    <row r="1294" spans="1:18" x14ac:dyDescent="0.25">
      <c r="A1294" s="25" t="s">
        <v>294</v>
      </c>
      <c r="B1294" s="26">
        <v>2016</v>
      </c>
      <c r="C1294" s="74" t="s">
        <v>287</v>
      </c>
      <c r="D1294" s="27">
        <v>0</v>
      </c>
      <c r="E1294" s="53">
        <v>0</v>
      </c>
      <c r="F1294" s="53">
        <v>0</v>
      </c>
      <c r="G1294" s="53">
        <v>698220327.07000005</v>
      </c>
      <c r="H1294" s="53">
        <v>961443217.83000004</v>
      </c>
      <c r="I1294" s="53">
        <v>1041603444.85</v>
      </c>
      <c r="J1294" s="53">
        <v>716603632.93000007</v>
      </c>
      <c r="K1294" s="53">
        <v>802648628.50999975</v>
      </c>
      <c r="L1294" s="53">
        <v>0</v>
      </c>
      <c r="M1294" s="53">
        <v>0</v>
      </c>
      <c r="N1294" s="53">
        <v>0</v>
      </c>
      <c r="O1294" s="53">
        <v>0</v>
      </c>
      <c r="P1294" s="53">
        <v>0</v>
      </c>
      <c r="Q1294" s="53">
        <v>0</v>
      </c>
      <c r="R1294" s="53">
        <v>0</v>
      </c>
    </row>
    <row r="1295" spans="1:18" x14ac:dyDescent="0.25">
      <c r="A1295" s="25" t="s">
        <v>292</v>
      </c>
      <c r="B1295" s="26">
        <v>2016</v>
      </c>
      <c r="C1295" s="74" t="s">
        <v>281</v>
      </c>
      <c r="D1295" s="27">
        <v>0</v>
      </c>
      <c r="E1295" s="53">
        <v>0</v>
      </c>
      <c r="F1295" s="53">
        <v>0</v>
      </c>
      <c r="G1295" s="53">
        <v>3723816637.71</v>
      </c>
      <c r="H1295" s="53">
        <v>2813532790.2199998</v>
      </c>
      <c r="I1295" s="53">
        <v>2933276358.6300001</v>
      </c>
      <c r="J1295" s="53">
        <v>2959965849.1900001</v>
      </c>
      <c r="K1295" s="53">
        <v>3154287884.0400009</v>
      </c>
      <c r="L1295" s="53">
        <v>0</v>
      </c>
      <c r="M1295" s="53">
        <v>0</v>
      </c>
      <c r="N1295" s="53">
        <v>0</v>
      </c>
      <c r="O1295" s="53">
        <v>0</v>
      </c>
      <c r="P1295" s="53">
        <v>0</v>
      </c>
      <c r="Q1295" s="53">
        <v>0</v>
      </c>
      <c r="R1295" s="53">
        <v>0</v>
      </c>
    </row>
    <row r="1296" spans="1:18" x14ac:dyDescent="0.25">
      <c r="A1296" s="25" t="s">
        <v>291</v>
      </c>
      <c r="B1296" s="26">
        <v>2016</v>
      </c>
      <c r="C1296" s="74" t="s">
        <v>287</v>
      </c>
      <c r="D1296" s="27">
        <v>0</v>
      </c>
      <c r="E1296" s="53">
        <v>0</v>
      </c>
      <c r="F1296" s="53">
        <v>0</v>
      </c>
      <c r="G1296" s="53">
        <v>257626218.06</v>
      </c>
      <c r="H1296" s="53">
        <v>282942207.44999999</v>
      </c>
      <c r="I1296" s="53">
        <v>309371537.63</v>
      </c>
      <c r="J1296" s="53">
        <v>343458469.46999997</v>
      </c>
      <c r="K1296" s="53">
        <v>338410024.00999999</v>
      </c>
      <c r="L1296" s="53">
        <v>0</v>
      </c>
      <c r="M1296" s="53">
        <v>0</v>
      </c>
      <c r="N1296" s="53">
        <v>0</v>
      </c>
      <c r="O1296" s="53">
        <v>0</v>
      </c>
      <c r="P1296" s="53">
        <v>0</v>
      </c>
      <c r="Q1296" s="53">
        <v>0</v>
      </c>
      <c r="R1296" s="53">
        <v>0</v>
      </c>
    </row>
    <row r="1297" spans="1:18" x14ac:dyDescent="0.25">
      <c r="A1297" s="25" t="s">
        <v>289</v>
      </c>
      <c r="B1297" s="26">
        <v>2016</v>
      </c>
      <c r="C1297" s="74" t="s">
        <v>287</v>
      </c>
      <c r="D1297" s="27">
        <v>0</v>
      </c>
      <c r="E1297" s="53">
        <v>0</v>
      </c>
      <c r="F1297" s="53">
        <v>0</v>
      </c>
      <c r="G1297" s="53">
        <v>238576394.90000001</v>
      </c>
      <c r="H1297" s="53">
        <v>258309717.66999999</v>
      </c>
      <c r="I1297" s="53">
        <v>266994331.33000001</v>
      </c>
      <c r="J1297" s="53">
        <v>301707107.26999998</v>
      </c>
      <c r="K1297" s="53">
        <v>189413562.60000002</v>
      </c>
      <c r="L1297" s="53">
        <v>0</v>
      </c>
      <c r="M1297" s="53">
        <v>0</v>
      </c>
      <c r="N1297" s="53">
        <v>0</v>
      </c>
      <c r="O1297" s="53">
        <v>0</v>
      </c>
      <c r="P1297" s="53">
        <v>0</v>
      </c>
      <c r="Q1297" s="53">
        <v>0</v>
      </c>
      <c r="R1297" s="53">
        <v>0</v>
      </c>
    </row>
    <row r="1298" spans="1:18" x14ac:dyDescent="0.25">
      <c r="A1298" s="25" t="s">
        <v>286</v>
      </c>
      <c r="B1298" s="26">
        <v>2016</v>
      </c>
      <c r="C1298" s="74" t="s">
        <v>285</v>
      </c>
      <c r="D1298" s="27">
        <v>0</v>
      </c>
      <c r="E1298" s="53">
        <v>0</v>
      </c>
      <c r="F1298" s="53">
        <v>0</v>
      </c>
      <c r="G1298" s="53">
        <v>24495728.390000001</v>
      </c>
      <c r="H1298" s="53">
        <v>24802360.77</v>
      </c>
      <c r="I1298" s="53">
        <v>0</v>
      </c>
      <c r="J1298" s="53">
        <v>51737237.060000002</v>
      </c>
      <c r="K1298" s="53">
        <v>27303076.030000001</v>
      </c>
      <c r="L1298" s="53">
        <v>0</v>
      </c>
      <c r="M1298" s="53">
        <v>0</v>
      </c>
      <c r="N1298" s="53">
        <v>0</v>
      </c>
      <c r="O1298" s="53">
        <v>0</v>
      </c>
      <c r="P1298" s="53">
        <v>0</v>
      </c>
      <c r="Q1298" s="53">
        <v>0</v>
      </c>
      <c r="R1298" s="53">
        <v>0</v>
      </c>
    </row>
    <row r="1299" spans="1:18" x14ac:dyDescent="0.25">
      <c r="A1299" s="25" t="s">
        <v>283</v>
      </c>
      <c r="B1299" s="26">
        <v>2016</v>
      </c>
      <c r="C1299" s="74" t="s">
        <v>282</v>
      </c>
      <c r="D1299" s="27">
        <v>0</v>
      </c>
      <c r="E1299" s="53">
        <v>0</v>
      </c>
      <c r="F1299" s="53">
        <v>0</v>
      </c>
      <c r="G1299" s="53">
        <v>3515117892.3000002</v>
      </c>
      <c r="H1299" s="53">
        <v>99478800</v>
      </c>
      <c r="I1299" s="53">
        <v>628440853</v>
      </c>
      <c r="J1299" s="53">
        <v>5854833635</v>
      </c>
      <c r="K1299" s="53">
        <v>307819051.40000153</v>
      </c>
      <c r="L1299" s="53">
        <v>0</v>
      </c>
      <c r="M1299" s="53">
        <v>0</v>
      </c>
      <c r="N1299" s="53">
        <v>0</v>
      </c>
      <c r="O1299" s="53">
        <v>0</v>
      </c>
      <c r="P1299" s="53">
        <v>0</v>
      </c>
      <c r="Q1299" s="53">
        <v>0</v>
      </c>
      <c r="R1299" s="53">
        <v>0</v>
      </c>
    </row>
    <row r="1300" spans="1:18" x14ac:dyDescent="0.25">
      <c r="A1300" s="25" t="s">
        <v>280</v>
      </c>
      <c r="B1300" s="26">
        <v>2016</v>
      </c>
      <c r="C1300" s="74" t="s">
        <v>279</v>
      </c>
      <c r="D1300" s="27">
        <v>0</v>
      </c>
      <c r="E1300" s="53">
        <v>0</v>
      </c>
      <c r="F1300" s="53">
        <v>0</v>
      </c>
      <c r="G1300" s="53">
        <v>1156017845.8399999</v>
      </c>
      <c r="H1300" s="53">
        <v>854176800</v>
      </c>
      <c r="I1300" s="53">
        <v>3051412522.7399998</v>
      </c>
      <c r="J1300" s="53">
        <v>143402847.19999999</v>
      </c>
      <c r="K1300" s="53">
        <v>1639113360</v>
      </c>
      <c r="L1300" s="53">
        <v>0</v>
      </c>
      <c r="M1300" s="53">
        <v>0</v>
      </c>
      <c r="N1300" s="53">
        <v>0</v>
      </c>
      <c r="O1300" s="53">
        <v>0</v>
      </c>
      <c r="P1300" s="53">
        <v>0</v>
      </c>
      <c r="Q1300" s="53">
        <v>0</v>
      </c>
      <c r="R1300" s="53">
        <v>0</v>
      </c>
    </row>
    <row r="1301" spans="1:18" x14ac:dyDescent="0.25">
      <c r="A1301" s="25" t="s">
        <v>276</v>
      </c>
      <c r="B1301" s="26">
        <v>2016</v>
      </c>
      <c r="C1301" s="74" t="s">
        <v>275</v>
      </c>
      <c r="D1301" s="27">
        <v>0</v>
      </c>
      <c r="E1301" s="53">
        <v>0</v>
      </c>
      <c r="F1301" s="53">
        <v>0</v>
      </c>
      <c r="G1301" s="53">
        <v>113840198.75</v>
      </c>
      <c r="H1301" s="53">
        <v>106284516.68000001</v>
      </c>
      <c r="I1301" s="53">
        <v>102362961.75</v>
      </c>
      <c r="J1301" s="53">
        <v>84735826.239999995</v>
      </c>
      <c r="K1301" s="53">
        <v>115726608.10999995</v>
      </c>
      <c r="L1301" s="53">
        <v>0</v>
      </c>
      <c r="M1301" s="53">
        <v>0</v>
      </c>
      <c r="N1301" s="53">
        <v>0</v>
      </c>
      <c r="O1301" s="53">
        <v>0</v>
      </c>
      <c r="P1301" s="53">
        <v>0</v>
      </c>
      <c r="Q1301" s="53">
        <v>0</v>
      </c>
      <c r="R1301" s="53">
        <v>0</v>
      </c>
    </row>
    <row r="1302" spans="1:18" x14ac:dyDescent="0.25">
      <c r="A1302" s="25" t="s">
        <v>274</v>
      </c>
      <c r="B1302" s="26">
        <v>2016</v>
      </c>
      <c r="C1302" s="74" t="s">
        <v>273</v>
      </c>
      <c r="D1302" s="27">
        <v>0</v>
      </c>
      <c r="E1302" s="53">
        <v>0</v>
      </c>
      <c r="F1302" s="53">
        <v>0</v>
      </c>
      <c r="G1302" s="53">
        <v>0</v>
      </c>
      <c r="H1302" s="53">
        <v>0</v>
      </c>
      <c r="I1302" s="53">
        <v>11525309</v>
      </c>
      <c r="J1302" s="53">
        <v>0</v>
      </c>
      <c r="K1302" s="53">
        <v>0</v>
      </c>
      <c r="L1302" s="53">
        <v>0</v>
      </c>
      <c r="M1302" s="53">
        <v>0</v>
      </c>
      <c r="N1302" s="53">
        <v>0</v>
      </c>
      <c r="O1302" s="53">
        <v>0</v>
      </c>
      <c r="P1302" s="53">
        <v>0</v>
      </c>
      <c r="Q1302" s="53">
        <v>0</v>
      </c>
      <c r="R1302" s="53">
        <v>0</v>
      </c>
    </row>
    <row r="1303" spans="1:18" x14ac:dyDescent="0.25">
      <c r="A1303" s="25" t="s">
        <v>268</v>
      </c>
      <c r="B1303" s="26">
        <v>2016</v>
      </c>
      <c r="C1303" s="74" t="s">
        <v>267</v>
      </c>
      <c r="D1303" s="27">
        <v>0</v>
      </c>
      <c r="E1303" s="53">
        <v>0</v>
      </c>
      <c r="F1303" s="53">
        <v>0</v>
      </c>
      <c r="G1303" s="53">
        <v>11474229008.610001</v>
      </c>
      <c r="H1303" s="53">
        <v>11833556382.24</v>
      </c>
      <c r="I1303" s="53">
        <v>11439653217.9</v>
      </c>
      <c r="J1303" s="53">
        <v>11260447570.039999</v>
      </c>
      <c r="K1303" s="53">
        <v>14482735989.140001</v>
      </c>
      <c r="L1303" s="53">
        <v>0</v>
      </c>
      <c r="M1303" s="53">
        <v>0</v>
      </c>
      <c r="N1303" s="53">
        <v>0</v>
      </c>
      <c r="O1303" s="53">
        <v>0</v>
      </c>
      <c r="P1303" s="53">
        <v>0</v>
      </c>
      <c r="Q1303" s="53">
        <v>0</v>
      </c>
      <c r="R1303" s="53">
        <v>0</v>
      </c>
    </row>
    <row r="1304" spans="1:18" x14ac:dyDescent="0.25">
      <c r="A1304" s="25" t="s">
        <v>264</v>
      </c>
      <c r="B1304" s="26">
        <v>2016</v>
      </c>
      <c r="C1304" s="74" t="s">
        <v>263</v>
      </c>
      <c r="D1304" s="27">
        <v>0</v>
      </c>
      <c r="E1304" s="53">
        <v>0</v>
      </c>
      <c r="F1304" s="53">
        <v>0</v>
      </c>
      <c r="G1304" s="53">
        <v>2024687482.5599999</v>
      </c>
      <c r="H1304" s="53">
        <v>1982937393.2</v>
      </c>
      <c r="I1304" s="53">
        <v>2108770296.96</v>
      </c>
      <c r="J1304" s="53">
        <v>2185012061.25</v>
      </c>
      <c r="K1304" s="53">
        <v>2186937225.52</v>
      </c>
      <c r="L1304" s="53">
        <v>0</v>
      </c>
      <c r="M1304" s="53">
        <v>0</v>
      </c>
      <c r="N1304" s="53">
        <v>0</v>
      </c>
      <c r="O1304" s="53">
        <v>0</v>
      </c>
      <c r="P1304" s="53">
        <v>0</v>
      </c>
      <c r="Q1304" s="53">
        <v>0</v>
      </c>
      <c r="R1304" s="53">
        <v>0</v>
      </c>
    </row>
    <row r="1305" spans="1:18" x14ac:dyDescent="0.25">
      <c r="A1305" s="25" t="s">
        <v>260</v>
      </c>
      <c r="B1305" s="26">
        <v>2016</v>
      </c>
      <c r="C1305" s="74" t="s">
        <v>259</v>
      </c>
      <c r="D1305" s="27">
        <v>0</v>
      </c>
      <c r="E1305" s="53">
        <v>0</v>
      </c>
      <c r="F1305" s="53">
        <v>0</v>
      </c>
      <c r="G1305" s="53">
        <v>207372728.41</v>
      </c>
      <c r="H1305" s="53">
        <v>233371678.03999999</v>
      </c>
      <c r="I1305" s="53">
        <v>281237922.72000003</v>
      </c>
      <c r="J1305" s="53">
        <v>294067427.04000002</v>
      </c>
      <c r="K1305" s="53">
        <v>303132761.38999999</v>
      </c>
      <c r="L1305" s="53">
        <v>0</v>
      </c>
      <c r="M1305" s="53">
        <v>0</v>
      </c>
      <c r="N1305" s="53">
        <v>0</v>
      </c>
      <c r="O1305" s="53">
        <v>0</v>
      </c>
      <c r="P1305" s="53">
        <v>0</v>
      </c>
      <c r="Q1305" s="53">
        <v>0</v>
      </c>
      <c r="R1305" s="53">
        <v>0</v>
      </c>
    </row>
    <row r="1306" spans="1:18" x14ac:dyDescent="0.25">
      <c r="A1306" s="25" t="s">
        <v>258</v>
      </c>
      <c r="B1306" s="26">
        <v>2016</v>
      </c>
      <c r="C1306" s="74" t="s">
        <v>257</v>
      </c>
      <c r="D1306" s="27">
        <v>0</v>
      </c>
      <c r="E1306" s="53">
        <v>0</v>
      </c>
      <c r="F1306" s="53">
        <v>0</v>
      </c>
      <c r="G1306" s="53">
        <v>11738628.93</v>
      </c>
      <c r="H1306" s="53">
        <v>13475907</v>
      </c>
      <c r="I1306" s="53">
        <v>16186197</v>
      </c>
      <c r="J1306" s="53">
        <v>16850457</v>
      </c>
      <c r="K1306" s="53">
        <v>17215011.000000007</v>
      </c>
      <c r="L1306" s="53">
        <v>0</v>
      </c>
      <c r="M1306" s="53">
        <v>0</v>
      </c>
      <c r="N1306" s="53">
        <v>0</v>
      </c>
      <c r="O1306" s="53">
        <v>0</v>
      </c>
      <c r="P1306" s="53">
        <v>0</v>
      </c>
      <c r="Q1306" s="53">
        <v>0</v>
      </c>
      <c r="R1306" s="53">
        <v>0</v>
      </c>
    </row>
    <row r="1307" spans="1:18" x14ac:dyDescent="0.25">
      <c r="A1307" s="25" t="s">
        <v>256</v>
      </c>
      <c r="B1307" s="26">
        <v>2016</v>
      </c>
      <c r="C1307" s="74" t="s">
        <v>255</v>
      </c>
      <c r="D1307" s="27">
        <v>0</v>
      </c>
      <c r="E1307" s="53">
        <v>0</v>
      </c>
      <c r="F1307" s="53">
        <v>0</v>
      </c>
      <c r="G1307" s="53">
        <v>122885392.5</v>
      </c>
      <c r="H1307" s="53">
        <v>134838764.5</v>
      </c>
      <c r="I1307" s="53">
        <v>132486300.25</v>
      </c>
      <c r="J1307" s="53">
        <v>152560025.25</v>
      </c>
      <c r="K1307" s="53">
        <v>141500872.5</v>
      </c>
      <c r="L1307" s="53">
        <v>0</v>
      </c>
      <c r="M1307" s="53">
        <v>0</v>
      </c>
      <c r="N1307" s="53">
        <v>0</v>
      </c>
      <c r="O1307" s="53">
        <v>0</v>
      </c>
      <c r="P1307" s="53">
        <v>0</v>
      </c>
      <c r="Q1307" s="53">
        <v>0</v>
      </c>
      <c r="R1307" s="53">
        <v>0</v>
      </c>
    </row>
    <row r="1308" spans="1:18" x14ac:dyDescent="0.25">
      <c r="A1308" s="25" t="s">
        <v>253</v>
      </c>
      <c r="B1308" s="26">
        <v>2016</v>
      </c>
      <c r="C1308" s="74" t="s">
        <v>252</v>
      </c>
      <c r="D1308" s="27">
        <v>0</v>
      </c>
      <c r="E1308" s="53">
        <v>0</v>
      </c>
      <c r="F1308" s="53">
        <v>0</v>
      </c>
      <c r="G1308" s="53">
        <v>4103527073.9400001</v>
      </c>
      <c r="H1308" s="53">
        <v>3610724100.3699999</v>
      </c>
      <c r="I1308" s="53">
        <v>4616617056.5299997</v>
      </c>
      <c r="J1308" s="53">
        <v>3437534391.3899999</v>
      </c>
      <c r="K1308" s="53">
        <v>3070536964.4599972</v>
      </c>
      <c r="L1308" s="53">
        <v>0</v>
      </c>
      <c r="M1308" s="53">
        <v>0</v>
      </c>
      <c r="N1308" s="53">
        <v>0</v>
      </c>
      <c r="O1308" s="53">
        <v>0</v>
      </c>
      <c r="P1308" s="53">
        <v>0</v>
      </c>
      <c r="Q1308" s="53">
        <v>0</v>
      </c>
      <c r="R1308" s="53">
        <v>0</v>
      </c>
    </row>
    <row r="1309" spans="1:18" x14ac:dyDescent="0.25">
      <c r="A1309" s="25" t="s">
        <v>251</v>
      </c>
      <c r="B1309" s="26">
        <v>2016</v>
      </c>
      <c r="C1309" s="74" t="s">
        <v>250</v>
      </c>
      <c r="D1309" s="27">
        <v>0</v>
      </c>
      <c r="E1309" s="53">
        <v>0</v>
      </c>
      <c r="F1309" s="53">
        <v>0</v>
      </c>
      <c r="G1309" s="53">
        <v>225586096.44999999</v>
      </c>
      <c r="H1309" s="53">
        <v>174836526.25</v>
      </c>
      <c r="I1309" s="53">
        <v>253473084.69999999</v>
      </c>
      <c r="J1309" s="53">
        <v>153557134.65000001</v>
      </c>
      <c r="K1309" s="53">
        <v>176969554.5</v>
      </c>
      <c r="L1309" s="53">
        <v>0</v>
      </c>
      <c r="M1309" s="53">
        <v>0</v>
      </c>
      <c r="N1309" s="53">
        <v>0</v>
      </c>
      <c r="O1309" s="53">
        <v>0</v>
      </c>
      <c r="P1309" s="53">
        <v>0</v>
      </c>
      <c r="Q1309" s="53">
        <v>0</v>
      </c>
      <c r="R1309" s="53">
        <v>0</v>
      </c>
    </row>
    <row r="1310" spans="1:18" x14ac:dyDescent="0.25">
      <c r="A1310" s="25" t="s">
        <v>249</v>
      </c>
      <c r="B1310" s="26">
        <v>2016</v>
      </c>
      <c r="C1310" s="74" t="s">
        <v>248</v>
      </c>
      <c r="D1310" s="27">
        <v>0</v>
      </c>
      <c r="E1310" s="53">
        <v>0</v>
      </c>
      <c r="F1310" s="53">
        <v>0</v>
      </c>
      <c r="G1310" s="53">
        <v>141317255.66999999</v>
      </c>
      <c r="H1310" s="53">
        <v>338802295.68000001</v>
      </c>
      <c r="I1310" s="53">
        <v>750915773.63</v>
      </c>
      <c r="J1310" s="53">
        <v>180880567</v>
      </c>
      <c r="K1310" s="53">
        <v>655432952.36999989</v>
      </c>
      <c r="L1310" s="53">
        <v>0</v>
      </c>
      <c r="M1310" s="53">
        <v>0</v>
      </c>
      <c r="N1310" s="53">
        <v>0</v>
      </c>
      <c r="O1310" s="53">
        <v>0</v>
      </c>
      <c r="P1310" s="53">
        <v>0</v>
      </c>
      <c r="Q1310" s="53">
        <v>0</v>
      </c>
      <c r="R1310" s="53">
        <v>0</v>
      </c>
    </row>
    <row r="1311" spans="1:18" x14ac:dyDescent="0.25">
      <c r="A1311" s="25" t="s">
        <v>246</v>
      </c>
      <c r="B1311" s="26">
        <v>2016</v>
      </c>
      <c r="C1311" s="74" t="s">
        <v>245</v>
      </c>
      <c r="D1311" s="27">
        <v>0</v>
      </c>
      <c r="E1311" s="53">
        <v>0</v>
      </c>
      <c r="F1311" s="53">
        <v>0</v>
      </c>
      <c r="G1311" s="53">
        <v>94432949.769999996</v>
      </c>
      <c r="H1311" s="53">
        <v>94188783.640000001</v>
      </c>
      <c r="I1311" s="53">
        <v>91138700.579999998</v>
      </c>
      <c r="J1311" s="53">
        <v>0</v>
      </c>
      <c r="K1311" s="53">
        <v>0</v>
      </c>
      <c r="L1311" s="53">
        <v>0</v>
      </c>
      <c r="M1311" s="53">
        <v>0</v>
      </c>
      <c r="N1311" s="53">
        <v>0</v>
      </c>
      <c r="O1311" s="53">
        <v>0</v>
      </c>
      <c r="P1311" s="53">
        <v>0</v>
      </c>
      <c r="Q1311" s="53">
        <v>0</v>
      </c>
      <c r="R1311" s="53">
        <v>0</v>
      </c>
    </row>
    <row r="1312" spans="1:18" x14ac:dyDescent="0.25">
      <c r="A1312" s="25" t="s">
        <v>244</v>
      </c>
      <c r="B1312" s="26">
        <v>2016</v>
      </c>
      <c r="C1312" s="74" t="s">
        <v>243</v>
      </c>
      <c r="D1312" s="27">
        <v>0</v>
      </c>
      <c r="E1312" s="53">
        <v>0</v>
      </c>
      <c r="F1312" s="53">
        <v>0</v>
      </c>
      <c r="G1312" s="53">
        <v>453201523.16000003</v>
      </c>
      <c r="H1312" s="53">
        <v>517303870.74000001</v>
      </c>
      <c r="I1312" s="53">
        <v>454345502.27999997</v>
      </c>
      <c r="J1312" s="53">
        <v>10271620.92</v>
      </c>
      <c r="K1312" s="53">
        <v>14359756.799999952</v>
      </c>
      <c r="L1312" s="53">
        <v>0</v>
      </c>
      <c r="M1312" s="53">
        <v>0</v>
      </c>
      <c r="N1312" s="53">
        <v>0</v>
      </c>
      <c r="O1312" s="53">
        <v>0</v>
      </c>
      <c r="P1312" s="53">
        <v>0</v>
      </c>
      <c r="Q1312" s="53">
        <v>0</v>
      </c>
      <c r="R1312" s="53">
        <v>0</v>
      </c>
    </row>
    <row r="1313" spans="1:18" x14ac:dyDescent="0.25">
      <c r="A1313" s="25" t="s">
        <v>242</v>
      </c>
      <c r="B1313" s="26">
        <v>2016</v>
      </c>
      <c r="C1313" s="74" t="s">
        <v>241</v>
      </c>
      <c r="D1313" s="27">
        <v>0</v>
      </c>
      <c r="E1313" s="53">
        <v>0</v>
      </c>
      <c r="F1313" s="53">
        <v>0</v>
      </c>
      <c r="G1313" s="53">
        <v>728648922.71000004</v>
      </c>
      <c r="H1313" s="53">
        <v>884146892.28999996</v>
      </c>
      <c r="I1313" s="53">
        <v>1092441820.3499999</v>
      </c>
      <c r="J1313" s="53">
        <v>9929095.0600000005</v>
      </c>
      <c r="K1313" s="53">
        <v>13771796.019999981</v>
      </c>
      <c r="L1313" s="53">
        <v>0</v>
      </c>
      <c r="M1313" s="53">
        <v>0</v>
      </c>
      <c r="N1313" s="53">
        <v>0</v>
      </c>
      <c r="O1313" s="53">
        <v>0</v>
      </c>
      <c r="P1313" s="53">
        <v>0</v>
      </c>
      <c r="Q1313" s="53">
        <v>0</v>
      </c>
      <c r="R1313" s="53">
        <v>0</v>
      </c>
    </row>
    <row r="1314" spans="1:18" x14ac:dyDescent="0.25">
      <c r="A1314" s="25" t="s">
        <v>240</v>
      </c>
      <c r="B1314" s="26">
        <v>2016</v>
      </c>
      <c r="C1314" s="74" t="s">
        <v>239</v>
      </c>
      <c r="D1314" s="27">
        <v>0</v>
      </c>
      <c r="E1314" s="53">
        <v>0</v>
      </c>
      <c r="F1314" s="53">
        <v>0</v>
      </c>
      <c r="G1314" s="53">
        <v>121266606.41</v>
      </c>
      <c r="H1314" s="53">
        <v>87217583.569999993</v>
      </c>
      <c r="I1314" s="53">
        <v>121038914.09</v>
      </c>
      <c r="J1314" s="53">
        <v>124461113.75</v>
      </c>
      <c r="K1314" s="53">
        <v>136933469.22000003</v>
      </c>
      <c r="L1314" s="53">
        <v>0</v>
      </c>
      <c r="M1314" s="53">
        <v>0</v>
      </c>
      <c r="N1314" s="53">
        <v>0</v>
      </c>
      <c r="O1314" s="53">
        <v>0</v>
      </c>
      <c r="P1314" s="53">
        <v>0</v>
      </c>
      <c r="Q1314" s="53">
        <v>0</v>
      </c>
      <c r="R1314" s="53">
        <v>0</v>
      </c>
    </row>
    <row r="1315" spans="1:18" x14ac:dyDescent="0.25">
      <c r="A1315" s="25" t="s">
        <v>236</v>
      </c>
      <c r="B1315" s="26">
        <v>2016</v>
      </c>
      <c r="C1315" s="74" t="s">
        <v>235</v>
      </c>
      <c r="D1315" s="27">
        <v>0</v>
      </c>
      <c r="E1315" s="53">
        <v>0</v>
      </c>
      <c r="F1315" s="53">
        <v>0</v>
      </c>
      <c r="G1315" s="53">
        <v>222693877.74000001</v>
      </c>
      <c r="H1315" s="53">
        <v>317406232.44999999</v>
      </c>
      <c r="I1315" s="53">
        <v>242723671.72999999</v>
      </c>
      <c r="J1315" s="53">
        <v>104941090.64</v>
      </c>
      <c r="K1315" s="53">
        <v>624493608.31000006</v>
      </c>
      <c r="L1315" s="53">
        <v>0</v>
      </c>
      <c r="M1315" s="53">
        <v>0</v>
      </c>
      <c r="N1315" s="53">
        <v>0</v>
      </c>
      <c r="O1315" s="53">
        <v>0</v>
      </c>
      <c r="P1315" s="53">
        <v>0</v>
      </c>
      <c r="Q1315" s="53">
        <v>0</v>
      </c>
      <c r="R1315" s="53">
        <v>0</v>
      </c>
    </row>
    <row r="1316" spans="1:18" x14ac:dyDescent="0.25">
      <c r="A1316" s="25" t="s">
        <v>234</v>
      </c>
      <c r="B1316" s="26">
        <v>2016</v>
      </c>
      <c r="C1316" s="74" t="s">
        <v>233</v>
      </c>
      <c r="D1316" s="27">
        <v>0</v>
      </c>
      <c r="E1316" s="53">
        <v>0</v>
      </c>
      <c r="F1316" s="53">
        <v>0</v>
      </c>
      <c r="G1316" s="53">
        <v>11596.25</v>
      </c>
      <c r="H1316" s="53">
        <v>13618</v>
      </c>
      <c r="I1316" s="53">
        <v>27328.67</v>
      </c>
      <c r="J1316" s="53">
        <v>19889.98</v>
      </c>
      <c r="K1316" s="53">
        <v>18355.88</v>
      </c>
      <c r="L1316" s="53">
        <v>0</v>
      </c>
      <c r="M1316" s="53">
        <v>0</v>
      </c>
      <c r="N1316" s="53">
        <v>0</v>
      </c>
      <c r="O1316" s="53">
        <v>0</v>
      </c>
      <c r="P1316" s="53">
        <v>0</v>
      </c>
      <c r="Q1316" s="53">
        <v>0</v>
      </c>
      <c r="R1316" s="53">
        <v>0</v>
      </c>
    </row>
    <row r="1317" spans="1:18" x14ac:dyDescent="0.25">
      <c r="A1317" s="25" t="s">
        <v>230</v>
      </c>
      <c r="B1317" s="26">
        <v>2016</v>
      </c>
      <c r="C1317" s="74" t="s">
        <v>229</v>
      </c>
      <c r="D1317" s="27">
        <v>0</v>
      </c>
      <c r="E1317" s="53">
        <v>0</v>
      </c>
      <c r="F1317" s="53">
        <v>0</v>
      </c>
      <c r="G1317" s="53">
        <v>3318895179.6900001</v>
      </c>
      <c r="H1317" s="53">
        <v>1551624812.53</v>
      </c>
      <c r="I1317" s="53">
        <v>2068159231.5599999</v>
      </c>
      <c r="J1317" s="53">
        <v>2474185585.4400001</v>
      </c>
      <c r="K1317" s="53">
        <v>2445434530.4300003</v>
      </c>
      <c r="L1317" s="53">
        <v>0</v>
      </c>
      <c r="M1317" s="53">
        <v>0</v>
      </c>
      <c r="N1317" s="53">
        <v>0</v>
      </c>
      <c r="O1317" s="53">
        <v>0</v>
      </c>
      <c r="P1317" s="53">
        <v>0</v>
      </c>
      <c r="Q1317" s="53">
        <v>0</v>
      </c>
      <c r="R1317" s="53">
        <v>0</v>
      </c>
    </row>
    <row r="1318" spans="1:18" x14ac:dyDescent="0.25">
      <c r="A1318" s="25" t="s">
        <v>377</v>
      </c>
      <c r="B1318" s="26">
        <v>2016</v>
      </c>
      <c r="C1318" s="74" t="s">
        <v>410</v>
      </c>
      <c r="D1318" s="27">
        <v>0</v>
      </c>
      <c r="E1318" s="53">
        <v>0</v>
      </c>
      <c r="F1318" s="53">
        <v>0</v>
      </c>
      <c r="G1318" s="53">
        <v>50227226.409999996</v>
      </c>
      <c r="H1318" s="53">
        <v>38535159.460000001</v>
      </c>
      <c r="I1318" s="53">
        <v>188174970.36000001</v>
      </c>
      <c r="J1318" s="53">
        <v>246621352.91999999</v>
      </c>
      <c r="K1318" s="53">
        <v>71691504.860000014</v>
      </c>
      <c r="L1318" s="53">
        <v>0</v>
      </c>
      <c r="M1318" s="53">
        <v>0</v>
      </c>
      <c r="N1318" s="53">
        <v>0</v>
      </c>
      <c r="O1318" s="53">
        <v>0</v>
      </c>
      <c r="P1318" s="53">
        <v>0</v>
      </c>
      <c r="Q1318" s="53">
        <v>0</v>
      </c>
      <c r="R1318" s="53">
        <v>0</v>
      </c>
    </row>
    <row r="1319" spans="1:18" x14ac:dyDescent="0.25">
      <c r="A1319" s="25" t="s">
        <v>228</v>
      </c>
      <c r="B1319" s="26">
        <v>2016</v>
      </c>
      <c r="C1319" s="74" t="s">
        <v>227</v>
      </c>
      <c r="D1319" s="27">
        <v>0</v>
      </c>
      <c r="E1319" s="53">
        <v>0</v>
      </c>
      <c r="F1319" s="53">
        <v>0</v>
      </c>
      <c r="G1319" s="53">
        <v>2091286608.02</v>
      </c>
      <c r="H1319" s="53">
        <v>2119962201.0999999</v>
      </c>
      <c r="I1319" s="53">
        <v>2202874930.7199998</v>
      </c>
      <c r="J1319" s="53">
        <v>148165678.16999999</v>
      </c>
      <c r="K1319" s="53">
        <v>2181612432.2199993</v>
      </c>
      <c r="L1319" s="53">
        <v>0</v>
      </c>
      <c r="M1319" s="53">
        <v>0</v>
      </c>
      <c r="N1319" s="53">
        <v>0</v>
      </c>
      <c r="O1319" s="53">
        <v>0</v>
      </c>
      <c r="P1319" s="53">
        <v>0</v>
      </c>
      <c r="Q1319" s="53">
        <v>0</v>
      </c>
      <c r="R1319" s="53">
        <v>0</v>
      </c>
    </row>
    <row r="1320" spans="1:18" x14ac:dyDescent="0.25">
      <c r="A1320" s="25" t="s">
        <v>226</v>
      </c>
      <c r="B1320" s="26">
        <v>2016</v>
      </c>
      <c r="C1320" s="74" t="s">
        <v>225</v>
      </c>
      <c r="D1320" s="27">
        <v>0</v>
      </c>
      <c r="E1320" s="53">
        <v>0</v>
      </c>
      <c r="F1320" s="53">
        <v>0</v>
      </c>
      <c r="G1320" s="53">
        <v>1303721907.3</v>
      </c>
      <c r="H1320" s="53">
        <v>1174453191.4300001</v>
      </c>
      <c r="I1320" s="53">
        <v>1239274618.1300001</v>
      </c>
      <c r="J1320" s="53">
        <v>2416146271.7199998</v>
      </c>
      <c r="K1320" s="53">
        <v>1183002791.6100001</v>
      </c>
      <c r="L1320" s="53">
        <v>0</v>
      </c>
      <c r="M1320" s="53">
        <v>0</v>
      </c>
      <c r="N1320" s="53">
        <v>0</v>
      </c>
      <c r="O1320" s="53">
        <v>0</v>
      </c>
      <c r="P1320" s="53">
        <v>0</v>
      </c>
      <c r="Q1320" s="53">
        <v>0</v>
      </c>
      <c r="R1320" s="53">
        <v>0</v>
      </c>
    </row>
    <row r="1321" spans="1:18" x14ac:dyDescent="0.25">
      <c r="A1321" s="25" t="s">
        <v>222</v>
      </c>
      <c r="B1321" s="26">
        <v>2016</v>
      </c>
      <c r="C1321" s="74" t="s">
        <v>221</v>
      </c>
      <c r="D1321" s="27">
        <v>0</v>
      </c>
      <c r="E1321" s="53">
        <v>0</v>
      </c>
      <c r="F1321" s="53">
        <v>0</v>
      </c>
      <c r="G1321" s="53">
        <v>263911.98</v>
      </c>
      <c r="H1321" s="53">
        <v>193402.82</v>
      </c>
      <c r="I1321" s="53">
        <v>394381.66</v>
      </c>
      <c r="J1321" s="53">
        <v>214133.79</v>
      </c>
      <c r="K1321" s="53">
        <v>290503.44999999995</v>
      </c>
      <c r="L1321" s="53">
        <v>0</v>
      </c>
      <c r="M1321" s="53">
        <v>0</v>
      </c>
      <c r="N1321" s="53">
        <v>0</v>
      </c>
      <c r="O1321" s="53">
        <v>0</v>
      </c>
      <c r="P1321" s="53">
        <v>0</v>
      </c>
      <c r="Q1321" s="53">
        <v>0</v>
      </c>
      <c r="R1321" s="53">
        <v>0</v>
      </c>
    </row>
    <row r="1322" spans="1:18" x14ac:dyDescent="0.25">
      <c r="A1322" s="25" t="s">
        <v>409</v>
      </c>
      <c r="B1322" s="26">
        <v>2016</v>
      </c>
      <c r="C1322" s="74" t="s">
        <v>408</v>
      </c>
      <c r="D1322" s="27">
        <v>0</v>
      </c>
      <c r="E1322" s="53">
        <v>0</v>
      </c>
      <c r="F1322" s="53">
        <v>0</v>
      </c>
      <c r="G1322" s="53">
        <v>4915727.24</v>
      </c>
      <c r="H1322" s="53">
        <v>2780635.11</v>
      </c>
      <c r="I1322" s="53">
        <v>4783217.6500000004</v>
      </c>
      <c r="J1322" s="53">
        <v>3010417.56</v>
      </c>
      <c r="K1322" s="53">
        <v>3112214.6399999987</v>
      </c>
      <c r="L1322" s="53">
        <v>0</v>
      </c>
      <c r="M1322" s="53">
        <v>0</v>
      </c>
      <c r="N1322" s="53">
        <v>0</v>
      </c>
      <c r="O1322" s="53">
        <v>0</v>
      </c>
      <c r="P1322" s="53">
        <v>0</v>
      </c>
      <c r="Q1322" s="53">
        <v>0</v>
      </c>
      <c r="R1322" s="53">
        <v>0</v>
      </c>
    </row>
    <row r="1323" spans="1:18" x14ac:dyDescent="0.25">
      <c r="A1323" s="25" t="s">
        <v>219</v>
      </c>
      <c r="B1323" s="26">
        <v>2016</v>
      </c>
      <c r="C1323" s="74" t="s">
        <v>408</v>
      </c>
      <c r="D1323" s="27">
        <v>0</v>
      </c>
      <c r="E1323" s="53">
        <v>0</v>
      </c>
      <c r="F1323" s="53">
        <v>0</v>
      </c>
      <c r="G1323" s="53">
        <v>0</v>
      </c>
      <c r="H1323" s="53">
        <v>0</v>
      </c>
      <c r="I1323" s="53">
        <v>0</v>
      </c>
      <c r="J1323" s="53">
        <v>0</v>
      </c>
      <c r="K1323" s="53">
        <v>0</v>
      </c>
      <c r="L1323" s="53">
        <v>0</v>
      </c>
      <c r="M1323" s="53">
        <v>0</v>
      </c>
      <c r="N1323" s="53">
        <v>0</v>
      </c>
      <c r="O1323" s="53">
        <v>0</v>
      </c>
      <c r="P1323" s="53">
        <v>0</v>
      </c>
      <c r="Q1323" s="53">
        <v>0</v>
      </c>
      <c r="R1323" s="53">
        <v>0</v>
      </c>
    </row>
    <row r="1324" spans="1:18" x14ac:dyDescent="0.25">
      <c r="A1324" s="25" t="s">
        <v>217</v>
      </c>
      <c r="B1324" s="26">
        <v>2016</v>
      </c>
      <c r="C1324" s="74" t="s">
        <v>216</v>
      </c>
      <c r="D1324" s="27">
        <v>0</v>
      </c>
      <c r="E1324" s="53">
        <v>0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3">
        <v>0</v>
      </c>
      <c r="L1324" s="53">
        <v>0</v>
      </c>
      <c r="M1324" s="53">
        <v>0</v>
      </c>
      <c r="N1324" s="53">
        <v>0</v>
      </c>
      <c r="O1324" s="53">
        <v>0</v>
      </c>
      <c r="P1324" s="53">
        <v>0</v>
      </c>
      <c r="Q1324" s="53">
        <v>0</v>
      </c>
      <c r="R1324" s="53">
        <v>0</v>
      </c>
    </row>
    <row r="1325" spans="1:18" x14ac:dyDescent="0.25">
      <c r="A1325" s="25" t="s">
        <v>215</v>
      </c>
      <c r="B1325" s="26">
        <v>2016</v>
      </c>
      <c r="C1325" s="74" t="s">
        <v>214</v>
      </c>
      <c r="D1325" s="27">
        <v>0</v>
      </c>
      <c r="E1325" s="53">
        <v>0</v>
      </c>
      <c r="F1325" s="53">
        <v>0</v>
      </c>
      <c r="G1325" s="53">
        <v>720000</v>
      </c>
      <c r="H1325" s="53">
        <v>4101985</v>
      </c>
      <c r="I1325" s="53">
        <v>770000</v>
      </c>
      <c r="J1325" s="53">
        <v>751000</v>
      </c>
      <c r="K1325" s="53">
        <v>1145232.5</v>
      </c>
      <c r="L1325" s="53">
        <v>0</v>
      </c>
      <c r="M1325" s="53">
        <v>0</v>
      </c>
      <c r="N1325" s="53">
        <v>0</v>
      </c>
      <c r="O1325" s="53">
        <v>0</v>
      </c>
      <c r="P1325" s="53">
        <v>0</v>
      </c>
      <c r="Q1325" s="53">
        <v>0</v>
      </c>
      <c r="R1325" s="53">
        <v>0</v>
      </c>
    </row>
    <row r="1326" spans="1:18" x14ac:dyDescent="0.25">
      <c r="A1326" s="25" t="s">
        <v>213</v>
      </c>
      <c r="B1326" s="26">
        <v>2016</v>
      </c>
      <c r="C1326" s="74" t="s">
        <v>212</v>
      </c>
      <c r="D1326" s="27">
        <v>0</v>
      </c>
      <c r="E1326" s="53">
        <v>0</v>
      </c>
      <c r="F1326" s="53">
        <v>0</v>
      </c>
      <c r="G1326" s="53">
        <v>1228983.6100000001</v>
      </c>
      <c r="H1326" s="53">
        <v>4339957.92</v>
      </c>
      <c r="I1326" s="53">
        <v>1712322.54</v>
      </c>
      <c r="J1326" s="53">
        <v>264424.58</v>
      </c>
      <c r="K1326" s="53">
        <v>8811621.9199999999</v>
      </c>
      <c r="L1326" s="53">
        <v>0</v>
      </c>
      <c r="M1326" s="53">
        <v>0</v>
      </c>
      <c r="N1326" s="53">
        <v>0</v>
      </c>
      <c r="O1326" s="53">
        <v>0</v>
      </c>
      <c r="P1326" s="53">
        <v>0</v>
      </c>
      <c r="Q1326" s="53">
        <v>0</v>
      </c>
      <c r="R1326" s="53">
        <v>0</v>
      </c>
    </row>
    <row r="1327" spans="1:18" x14ac:dyDescent="0.25">
      <c r="A1327" s="25" t="s">
        <v>211</v>
      </c>
      <c r="B1327" s="26">
        <v>2016</v>
      </c>
      <c r="C1327" s="74" t="s">
        <v>210</v>
      </c>
      <c r="D1327" s="27">
        <v>0</v>
      </c>
      <c r="E1327" s="53">
        <v>0</v>
      </c>
      <c r="F1327" s="53">
        <v>0</v>
      </c>
      <c r="G1327" s="53">
        <v>1444300</v>
      </c>
      <c r="H1327" s="53">
        <v>15317162.800000001</v>
      </c>
      <c r="I1327" s="53">
        <v>2011247.99</v>
      </c>
      <c r="J1327" s="53">
        <v>0</v>
      </c>
      <c r="K1327" s="53">
        <v>1193121.6300000027</v>
      </c>
      <c r="L1327" s="53">
        <v>0</v>
      </c>
      <c r="M1327" s="53">
        <v>0</v>
      </c>
      <c r="N1327" s="53">
        <v>0</v>
      </c>
      <c r="O1327" s="53">
        <v>0</v>
      </c>
      <c r="P1327" s="53">
        <v>0</v>
      </c>
      <c r="Q1327" s="53">
        <v>0</v>
      </c>
      <c r="R1327" s="53">
        <v>0</v>
      </c>
    </row>
    <row r="1328" spans="1:18" x14ac:dyDescent="0.25">
      <c r="A1328" s="25" t="s">
        <v>209</v>
      </c>
      <c r="B1328" s="26">
        <v>2016</v>
      </c>
      <c r="C1328" s="74" t="s">
        <v>208</v>
      </c>
      <c r="D1328" s="27">
        <v>0</v>
      </c>
      <c r="E1328" s="53">
        <v>0</v>
      </c>
      <c r="F1328" s="53">
        <v>0</v>
      </c>
      <c r="G1328" s="53">
        <v>40666</v>
      </c>
      <c r="H1328" s="53">
        <v>5332502.21</v>
      </c>
      <c r="I1328" s="53">
        <v>616594.35</v>
      </c>
      <c r="J1328" s="53">
        <v>355355.86</v>
      </c>
      <c r="K1328" s="53">
        <v>2141796.62</v>
      </c>
      <c r="L1328" s="53">
        <v>0</v>
      </c>
      <c r="M1328" s="53">
        <v>0</v>
      </c>
      <c r="N1328" s="53">
        <v>0</v>
      </c>
      <c r="O1328" s="53">
        <v>0</v>
      </c>
      <c r="P1328" s="53">
        <v>0</v>
      </c>
      <c r="Q1328" s="53">
        <v>0</v>
      </c>
      <c r="R1328" s="53">
        <v>0</v>
      </c>
    </row>
    <row r="1329" spans="1:18" x14ac:dyDescent="0.25">
      <c r="A1329" s="25" t="s">
        <v>407</v>
      </c>
      <c r="B1329" s="26">
        <v>2016</v>
      </c>
      <c r="C1329" s="74" t="s">
        <v>406</v>
      </c>
      <c r="D1329" s="27">
        <v>0</v>
      </c>
      <c r="E1329" s="53">
        <v>0</v>
      </c>
      <c r="F1329" s="53">
        <v>0</v>
      </c>
      <c r="G1329" s="53">
        <v>0</v>
      </c>
      <c r="H1329" s="53">
        <v>138520.37</v>
      </c>
      <c r="I1329" s="53">
        <v>0</v>
      </c>
      <c r="J1329" s="53">
        <v>0</v>
      </c>
      <c r="K1329" s="53">
        <v>0</v>
      </c>
      <c r="L1329" s="53">
        <v>0</v>
      </c>
      <c r="M1329" s="53">
        <v>0</v>
      </c>
      <c r="N1329" s="53">
        <v>0</v>
      </c>
      <c r="O1329" s="53">
        <v>0</v>
      </c>
      <c r="P1329" s="53">
        <v>0</v>
      </c>
      <c r="Q1329" s="53">
        <v>0</v>
      </c>
      <c r="R1329" s="53">
        <v>0</v>
      </c>
    </row>
    <row r="1330" spans="1:18" x14ac:dyDescent="0.25">
      <c r="A1330" s="25" t="s">
        <v>207</v>
      </c>
      <c r="B1330" s="26">
        <v>2016</v>
      </c>
      <c r="C1330" s="74" t="s">
        <v>206</v>
      </c>
      <c r="D1330" s="27">
        <v>0</v>
      </c>
      <c r="E1330" s="53">
        <v>0</v>
      </c>
      <c r="F1330" s="53">
        <v>0</v>
      </c>
      <c r="G1330" s="53">
        <v>229223676.81</v>
      </c>
      <c r="H1330" s="53">
        <v>0</v>
      </c>
      <c r="I1330" s="53">
        <v>0</v>
      </c>
      <c r="J1330" s="53">
        <v>0</v>
      </c>
      <c r="K1330" s="53">
        <v>0</v>
      </c>
      <c r="L1330" s="53">
        <v>0</v>
      </c>
      <c r="M1330" s="53">
        <v>0</v>
      </c>
      <c r="N1330" s="53">
        <v>0</v>
      </c>
      <c r="O1330" s="53">
        <v>0</v>
      </c>
      <c r="P1330" s="53">
        <v>0</v>
      </c>
      <c r="Q1330" s="53">
        <v>0</v>
      </c>
      <c r="R1330" s="53">
        <v>0</v>
      </c>
    </row>
    <row r="1331" spans="1:18" x14ac:dyDescent="0.25">
      <c r="A1331" s="25" t="s">
        <v>205</v>
      </c>
      <c r="B1331" s="26">
        <v>2016</v>
      </c>
      <c r="C1331" s="74" t="s">
        <v>204</v>
      </c>
      <c r="D1331" s="27">
        <v>0</v>
      </c>
      <c r="E1331" s="53">
        <v>0</v>
      </c>
      <c r="F1331" s="53">
        <v>0</v>
      </c>
      <c r="G1331" s="53">
        <v>146216941.00999999</v>
      </c>
      <c r="H1331" s="53">
        <v>41784320</v>
      </c>
      <c r="I1331" s="53">
        <v>40449120</v>
      </c>
      <c r="J1331" s="53">
        <v>60263040</v>
      </c>
      <c r="K1331" s="53">
        <v>43019840</v>
      </c>
      <c r="L1331" s="53">
        <v>0</v>
      </c>
      <c r="M1331" s="53">
        <v>0</v>
      </c>
      <c r="N1331" s="53">
        <v>0</v>
      </c>
      <c r="O1331" s="53">
        <v>0</v>
      </c>
      <c r="P1331" s="53">
        <v>0</v>
      </c>
      <c r="Q1331" s="53">
        <v>0</v>
      </c>
      <c r="R1331" s="53">
        <v>0</v>
      </c>
    </row>
    <row r="1332" spans="1:18" x14ac:dyDescent="0.25">
      <c r="A1332" s="25" t="s">
        <v>374</v>
      </c>
      <c r="B1332" s="26">
        <v>2016</v>
      </c>
      <c r="C1332" s="74" t="s">
        <v>405</v>
      </c>
      <c r="D1332" s="27">
        <v>0</v>
      </c>
      <c r="E1332" s="53">
        <v>0</v>
      </c>
      <c r="F1332" s="53">
        <v>0</v>
      </c>
      <c r="G1332" s="53">
        <v>1000</v>
      </c>
      <c r="H1332" s="53">
        <v>17600</v>
      </c>
      <c r="I1332" s="53">
        <v>0</v>
      </c>
      <c r="J1332" s="53">
        <v>600</v>
      </c>
      <c r="K1332" s="53">
        <v>400</v>
      </c>
      <c r="L1332" s="53">
        <v>0</v>
      </c>
      <c r="M1332" s="53">
        <v>0</v>
      </c>
      <c r="N1332" s="53">
        <v>0</v>
      </c>
      <c r="O1332" s="53">
        <v>0</v>
      </c>
      <c r="P1332" s="53">
        <v>0</v>
      </c>
      <c r="Q1332" s="53">
        <v>0</v>
      </c>
      <c r="R1332" s="53">
        <v>0</v>
      </c>
    </row>
    <row r="1333" spans="1:18" x14ac:dyDescent="0.25">
      <c r="A1333" s="25" t="s">
        <v>203</v>
      </c>
      <c r="B1333" s="26">
        <v>2016</v>
      </c>
      <c r="C1333" s="74" t="s">
        <v>202</v>
      </c>
      <c r="D1333" s="27">
        <v>0</v>
      </c>
      <c r="E1333" s="53">
        <v>0</v>
      </c>
      <c r="F1333" s="53">
        <v>0</v>
      </c>
      <c r="G1333" s="53">
        <v>337335709.02999997</v>
      </c>
      <c r="H1333" s="53">
        <v>146833891.41</v>
      </c>
      <c r="I1333" s="53">
        <v>70661265.890000001</v>
      </c>
      <c r="J1333" s="53">
        <v>53974999.089999996</v>
      </c>
      <c r="K1333" s="53">
        <v>46502355.540000103</v>
      </c>
      <c r="L1333" s="53">
        <v>0</v>
      </c>
      <c r="M1333" s="53">
        <v>0</v>
      </c>
      <c r="N1333" s="53">
        <v>0</v>
      </c>
      <c r="O1333" s="53">
        <v>0</v>
      </c>
      <c r="P1333" s="53">
        <v>0</v>
      </c>
      <c r="Q1333" s="53">
        <v>0</v>
      </c>
      <c r="R1333" s="53">
        <v>0</v>
      </c>
    </row>
    <row r="1334" spans="1:18" x14ac:dyDescent="0.25">
      <c r="A1334" s="25" t="s">
        <v>200</v>
      </c>
      <c r="B1334" s="26">
        <v>2016</v>
      </c>
      <c r="C1334" s="74" t="s">
        <v>199</v>
      </c>
      <c r="D1334" s="27">
        <v>0</v>
      </c>
      <c r="E1334" s="53">
        <v>0</v>
      </c>
      <c r="F1334" s="53">
        <v>0</v>
      </c>
      <c r="G1334" s="53">
        <v>3961321.86</v>
      </c>
      <c r="H1334" s="53">
        <v>3065658</v>
      </c>
      <c r="I1334" s="53">
        <v>2365966</v>
      </c>
      <c r="J1334" s="53">
        <v>3968338</v>
      </c>
      <c r="K1334" s="53">
        <v>1892093.7000000002</v>
      </c>
      <c r="L1334" s="53">
        <v>0</v>
      </c>
      <c r="M1334" s="53">
        <v>0</v>
      </c>
      <c r="N1334" s="53">
        <v>0</v>
      </c>
      <c r="O1334" s="53">
        <v>0</v>
      </c>
      <c r="P1334" s="53">
        <v>0</v>
      </c>
      <c r="Q1334" s="53">
        <v>0</v>
      </c>
      <c r="R1334" s="53">
        <v>0</v>
      </c>
    </row>
    <row r="1335" spans="1:18" x14ac:dyDescent="0.25">
      <c r="A1335" s="25" t="s">
        <v>198</v>
      </c>
      <c r="B1335" s="26">
        <v>2016</v>
      </c>
      <c r="C1335" s="74" t="s">
        <v>197</v>
      </c>
      <c r="D1335" s="27">
        <v>0</v>
      </c>
      <c r="E1335" s="53">
        <v>0</v>
      </c>
      <c r="F1335" s="53">
        <v>0</v>
      </c>
      <c r="G1335" s="53">
        <v>292800</v>
      </c>
      <c r="H1335" s="53">
        <v>154170</v>
      </c>
      <c r="I1335" s="53">
        <v>412891</v>
      </c>
      <c r="J1335" s="53">
        <v>108919.44</v>
      </c>
      <c r="K1335" s="53">
        <v>239728.75</v>
      </c>
      <c r="L1335" s="53">
        <v>0</v>
      </c>
      <c r="M1335" s="53">
        <v>0</v>
      </c>
      <c r="N1335" s="53">
        <v>0</v>
      </c>
      <c r="O1335" s="53">
        <v>0</v>
      </c>
      <c r="P1335" s="53">
        <v>0</v>
      </c>
      <c r="Q1335" s="53">
        <v>0</v>
      </c>
      <c r="R1335" s="53">
        <v>0</v>
      </c>
    </row>
    <row r="1336" spans="1:18" x14ac:dyDescent="0.25">
      <c r="A1336" s="25" t="s">
        <v>196</v>
      </c>
      <c r="B1336" s="26">
        <v>2016</v>
      </c>
      <c r="C1336" s="74" t="s">
        <v>195</v>
      </c>
      <c r="D1336" s="27">
        <v>0</v>
      </c>
      <c r="E1336" s="53">
        <v>0</v>
      </c>
      <c r="F1336" s="53">
        <v>0</v>
      </c>
      <c r="G1336" s="53">
        <v>7950542.5999999996</v>
      </c>
      <c r="H1336" s="53">
        <v>9095528.2599999998</v>
      </c>
      <c r="I1336" s="53">
        <v>10524907.779999999</v>
      </c>
      <c r="J1336" s="53">
        <v>9379502.1199999992</v>
      </c>
      <c r="K1336" s="53">
        <v>7912632.0999999996</v>
      </c>
      <c r="L1336" s="53">
        <v>0</v>
      </c>
      <c r="M1336" s="53">
        <v>0</v>
      </c>
      <c r="N1336" s="53">
        <v>0</v>
      </c>
      <c r="O1336" s="53">
        <v>0</v>
      </c>
      <c r="P1336" s="53">
        <v>0</v>
      </c>
      <c r="Q1336" s="53">
        <v>0</v>
      </c>
      <c r="R1336" s="53">
        <v>0</v>
      </c>
    </row>
    <row r="1337" spans="1:18" x14ac:dyDescent="0.25">
      <c r="A1337" s="25" t="s">
        <v>194</v>
      </c>
      <c r="B1337" s="26">
        <v>2016</v>
      </c>
      <c r="C1337" s="74" t="s">
        <v>193</v>
      </c>
      <c r="D1337" s="27">
        <v>0</v>
      </c>
      <c r="E1337" s="53">
        <v>0</v>
      </c>
      <c r="F1337" s="53">
        <v>0</v>
      </c>
      <c r="G1337" s="53">
        <v>3103938</v>
      </c>
      <c r="H1337" s="53">
        <v>2765508</v>
      </c>
      <c r="I1337" s="53">
        <v>4451549</v>
      </c>
      <c r="J1337" s="53">
        <v>4721809.5</v>
      </c>
      <c r="K1337" s="53">
        <v>3546574</v>
      </c>
      <c r="L1337" s="53">
        <v>0</v>
      </c>
      <c r="M1337" s="53">
        <v>0</v>
      </c>
      <c r="N1337" s="53">
        <v>0</v>
      </c>
      <c r="O1337" s="53">
        <v>0</v>
      </c>
      <c r="P1337" s="53">
        <v>0</v>
      </c>
      <c r="Q1337" s="53">
        <v>0</v>
      </c>
      <c r="R1337" s="53">
        <v>0</v>
      </c>
    </row>
    <row r="1338" spans="1:18" x14ac:dyDescent="0.25">
      <c r="A1338" s="25" t="s">
        <v>191</v>
      </c>
      <c r="B1338" s="26">
        <v>2016</v>
      </c>
      <c r="C1338" s="74" t="s">
        <v>190</v>
      </c>
      <c r="D1338" s="27">
        <v>0</v>
      </c>
      <c r="E1338" s="53">
        <v>0</v>
      </c>
      <c r="F1338" s="53">
        <v>0</v>
      </c>
      <c r="G1338" s="53">
        <v>0</v>
      </c>
      <c r="H1338" s="53">
        <v>0</v>
      </c>
      <c r="I1338" s="53">
        <v>0</v>
      </c>
      <c r="J1338" s="53">
        <v>0</v>
      </c>
      <c r="K1338" s="53">
        <v>901944.54</v>
      </c>
      <c r="L1338" s="53">
        <v>0</v>
      </c>
      <c r="M1338" s="53">
        <v>0</v>
      </c>
      <c r="N1338" s="53">
        <v>0</v>
      </c>
      <c r="O1338" s="53">
        <v>0</v>
      </c>
      <c r="P1338" s="53">
        <v>0</v>
      </c>
      <c r="Q1338" s="53">
        <v>0</v>
      </c>
      <c r="R1338" s="53">
        <v>0</v>
      </c>
    </row>
    <row r="1339" spans="1:18" x14ac:dyDescent="0.25">
      <c r="A1339" s="25" t="s">
        <v>189</v>
      </c>
      <c r="B1339" s="26">
        <v>2016</v>
      </c>
      <c r="C1339" s="74" t="s">
        <v>188</v>
      </c>
      <c r="D1339" s="27">
        <v>0</v>
      </c>
      <c r="E1339" s="53">
        <v>0</v>
      </c>
      <c r="F1339" s="53">
        <v>0</v>
      </c>
      <c r="G1339" s="53">
        <v>0</v>
      </c>
      <c r="H1339" s="53">
        <v>0</v>
      </c>
      <c r="I1339" s="53">
        <v>0</v>
      </c>
      <c r="J1339" s="53">
        <v>0</v>
      </c>
      <c r="K1339" s="53">
        <v>59840097.68</v>
      </c>
      <c r="L1339" s="53">
        <v>0</v>
      </c>
      <c r="M1339" s="53">
        <v>0</v>
      </c>
      <c r="N1339" s="53">
        <v>0</v>
      </c>
      <c r="O1339" s="53">
        <v>0</v>
      </c>
      <c r="P1339" s="53">
        <v>0</v>
      </c>
      <c r="Q1339" s="53">
        <v>0</v>
      </c>
      <c r="R1339" s="53">
        <v>0</v>
      </c>
    </row>
    <row r="1340" spans="1:18" x14ac:dyDescent="0.25">
      <c r="A1340" s="25" t="s">
        <v>187</v>
      </c>
      <c r="B1340" s="26">
        <v>2016</v>
      </c>
      <c r="C1340" s="74" t="s">
        <v>186</v>
      </c>
      <c r="D1340" s="27">
        <v>0</v>
      </c>
      <c r="E1340" s="53">
        <v>0</v>
      </c>
      <c r="F1340" s="53">
        <v>0</v>
      </c>
      <c r="G1340" s="53">
        <v>2004420.2</v>
      </c>
      <c r="H1340" s="53">
        <v>1020000</v>
      </c>
      <c r="I1340" s="53">
        <v>1360220.34</v>
      </c>
      <c r="J1340" s="53">
        <v>2010444.8399999999</v>
      </c>
      <c r="K1340" s="53">
        <v>1880187.5</v>
      </c>
      <c r="L1340" s="53">
        <v>0</v>
      </c>
      <c r="M1340" s="53">
        <v>0</v>
      </c>
      <c r="N1340" s="53">
        <v>0</v>
      </c>
      <c r="O1340" s="53">
        <v>0</v>
      </c>
      <c r="P1340" s="53">
        <v>0</v>
      </c>
      <c r="Q1340" s="53">
        <v>0</v>
      </c>
      <c r="R1340" s="53">
        <v>0</v>
      </c>
    </row>
    <row r="1341" spans="1:18" x14ac:dyDescent="0.25">
      <c r="A1341" s="25" t="s">
        <v>185</v>
      </c>
      <c r="B1341" s="26">
        <v>2016</v>
      </c>
      <c r="C1341" s="74" t="s">
        <v>184</v>
      </c>
      <c r="D1341" s="27">
        <v>0</v>
      </c>
      <c r="E1341" s="53">
        <v>0</v>
      </c>
      <c r="F1341" s="53">
        <v>0</v>
      </c>
      <c r="G1341" s="53">
        <v>1750000</v>
      </c>
      <c r="H1341" s="53">
        <v>19852000</v>
      </c>
      <c r="I1341" s="53">
        <v>234000</v>
      </c>
      <c r="J1341" s="53">
        <v>3838000</v>
      </c>
      <c r="K1341" s="53">
        <v>6000</v>
      </c>
      <c r="L1341" s="53">
        <v>0</v>
      </c>
      <c r="M1341" s="53">
        <v>0</v>
      </c>
      <c r="N1341" s="53">
        <v>0</v>
      </c>
      <c r="O1341" s="53">
        <v>0</v>
      </c>
      <c r="P1341" s="53">
        <v>0</v>
      </c>
      <c r="Q1341" s="53">
        <v>0</v>
      </c>
      <c r="R1341" s="53">
        <v>0</v>
      </c>
    </row>
    <row r="1342" spans="1:18" x14ac:dyDescent="0.25">
      <c r="A1342" s="25" t="s">
        <v>183</v>
      </c>
      <c r="B1342" s="26">
        <v>2016</v>
      </c>
      <c r="C1342" s="74" t="s">
        <v>182</v>
      </c>
      <c r="D1342" s="27">
        <v>0</v>
      </c>
      <c r="E1342" s="53">
        <v>0</v>
      </c>
      <c r="F1342" s="53">
        <v>0</v>
      </c>
      <c r="G1342" s="53">
        <v>17978654</v>
      </c>
      <c r="H1342" s="53">
        <v>1302550</v>
      </c>
      <c r="I1342" s="53">
        <v>20000</v>
      </c>
      <c r="J1342" s="53">
        <v>2521250</v>
      </c>
      <c r="K1342" s="53">
        <v>4433400</v>
      </c>
      <c r="L1342" s="53">
        <v>0</v>
      </c>
      <c r="M1342" s="53">
        <v>0</v>
      </c>
      <c r="N1342" s="53">
        <v>0</v>
      </c>
      <c r="O1342" s="53">
        <v>0</v>
      </c>
      <c r="P1342" s="53">
        <v>0</v>
      </c>
      <c r="Q1342" s="53">
        <v>0</v>
      </c>
      <c r="R1342" s="53">
        <v>0</v>
      </c>
    </row>
    <row r="1343" spans="1:18" x14ac:dyDescent="0.25">
      <c r="A1343" s="25" t="s">
        <v>178</v>
      </c>
      <c r="B1343" s="26">
        <v>2016</v>
      </c>
      <c r="C1343" s="74" t="s">
        <v>177</v>
      </c>
      <c r="D1343" s="27">
        <v>0</v>
      </c>
      <c r="E1343" s="53">
        <v>0</v>
      </c>
      <c r="F1343" s="53">
        <v>0</v>
      </c>
      <c r="G1343" s="53">
        <v>0</v>
      </c>
      <c r="H1343" s="53">
        <v>0</v>
      </c>
      <c r="I1343" s="53">
        <v>6259265025.2399998</v>
      </c>
      <c r="J1343" s="53">
        <v>0</v>
      </c>
      <c r="K1343" s="53">
        <v>0</v>
      </c>
      <c r="L1343" s="53">
        <v>0</v>
      </c>
      <c r="M1343" s="53">
        <v>0</v>
      </c>
      <c r="N1343" s="53">
        <v>0</v>
      </c>
      <c r="O1343" s="53">
        <v>0</v>
      </c>
      <c r="P1343" s="53">
        <v>0</v>
      </c>
      <c r="Q1343" s="53">
        <v>0</v>
      </c>
      <c r="R1343" s="53">
        <v>0</v>
      </c>
    </row>
    <row r="1344" spans="1:18" x14ac:dyDescent="0.25">
      <c r="A1344" s="25" t="s">
        <v>373</v>
      </c>
      <c r="B1344" s="26">
        <v>2016</v>
      </c>
      <c r="C1344" s="74" t="s">
        <v>404</v>
      </c>
      <c r="D1344" s="27">
        <v>0</v>
      </c>
      <c r="E1344" s="53">
        <v>0</v>
      </c>
      <c r="F1344" s="53">
        <v>0</v>
      </c>
      <c r="G1344" s="53">
        <v>0</v>
      </c>
      <c r="H1344" s="53">
        <v>0</v>
      </c>
      <c r="I1344" s="53">
        <v>0</v>
      </c>
      <c r="J1344" s="53">
        <v>0</v>
      </c>
      <c r="K1344" s="53">
        <v>760.71</v>
      </c>
      <c r="L1344" s="53">
        <v>0</v>
      </c>
      <c r="M1344" s="53">
        <v>0</v>
      </c>
      <c r="N1344" s="53">
        <v>0</v>
      </c>
      <c r="O1344" s="53">
        <v>0</v>
      </c>
      <c r="P1344" s="53">
        <v>0</v>
      </c>
      <c r="Q1344" s="53">
        <v>0</v>
      </c>
      <c r="R1344" s="53">
        <v>0</v>
      </c>
    </row>
    <row r="1345" spans="1:18" x14ac:dyDescent="0.25">
      <c r="A1345" s="25" t="s">
        <v>176</v>
      </c>
      <c r="B1345" s="26">
        <v>2016</v>
      </c>
      <c r="C1345" s="74" t="s">
        <v>175</v>
      </c>
      <c r="D1345" s="27">
        <v>0</v>
      </c>
      <c r="E1345" s="53">
        <v>0</v>
      </c>
      <c r="F1345" s="53">
        <v>0</v>
      </c>
      <c r="G1345" s="53">
        <v>15374395.880000001</v>
      </c>
      <c r="H1345" s="53">
        <v>13492987.720000001</v>
      </c>
      <c r="I1345" s="53">
        <v>9487900.8800000008</v>
      </c>
      <c r="J1345" s="53">
        <v>5106443.3600000003</v>
      </c>
      <c r="K1345" s="53">
        <v>1040956034.4499999</v>
      </c>
      <c r="L1345" s="53">
        <v>0</v>
      </c>
      <c r="M1345" s="53">
        <v>0</v>
      </c>
      <c r="N1345" s="53">
        <v>0</v>
      </c>
      <c r="O1345" s="53">
        <v>0</v>
      </c>
      <c r="P1345" s="53">
        <v>0</v>
      </c>
      <c r="Q1345" s="53">
        <v>0</v>
      </c>
      <c r="R1345" s="53">
        <v>0</v>
      </c>
    </row>
    <row r="1346" spans="1:18" x14ac:dyDescent="0.25">
      <c r="A1346" s="25" t="s">
        <v>174</v>
      </c>
      <c r="B1346" s="26">
        <v>2016</v>
      </c>
      <c r="C1346" s="74" t="s">
        <v>173</v>
      </c>
      <c r="D1346" s="27">
        <v>0</v>
      </c>
      <c r="E1346" s="53">
        <v>0</v>
      </c>
      <c r="F1346" s="53">
        <v>0</v>
      </c>
      <c r="G1346" s="53">
        <v>27041750.059999999</v>
      </c>
      <c r="H1346" s="53">
        <v>0</v>
      </c>
      <c r="I1346" s="53">
        <v>0</v>
      </c>
      <c r="J1346" s="53">
        <v>0</v>
      </c>
      <c r="K1346" s="53">
        <v>0</v>
      </c>
      <c r="L1346" s="53">
        <v>0</v>
      </c>
      <c r="M1346" s="53">
        <v>0</v>
      </c>
      <c r="N1346" s="53">
        <v>0</v>
      </c>
      <c r="O1346" s="53">
        <v>0</v>
      </c>
      <c r="P1346" s="53">
        <v>0</v>
      </c>
      <c r="Q1346" s="53">
        <v>0</v>
      </c>
      <c r="R1346" s="53">
        <v>0</v>
      </c>
    </row>
    <row r="1347" spans="1:18" x14ac:dyDescent="0.25">
      <c r="A1347" s="25" t="s">
        <v>172</v>
      </c>
      <c r="B1347" s="26">
        <v>2016</v>
      </c>
      <c r="C1347" s="74" t="s">
        <v>171</v>
      </c>
      <c r="D1347" s="27">
        <v>0</v>
      </c>
      <c r="E1347" s="53">
        <v>0</v>
      </c>
      <c r="F1347" s="53">
        <v>0</v>
      </c>
      <c r="G1347" s="53">
        <v>330086297</v>
      </c>
      <c r="H1347" s="53">
        <v>249996469</v>
      </c>
      <c r="I1347" s="53">
        <v>299713766</v>
      </c>
      <c r="J1347" s="53">
        <v>328717999</v>
      </c>
      <c r="K1347" s="53">
        <v>283107855.75</v>
      </c>
      <c r="L1347" s="53">
        <v>0</v>
      </c>
      <c r="M1347" s="53">
        <v>0</v>
      </c>
      <c r="N1347" s="53">
        <v>0</v>
      </c>
      <c r="O1347" s="53">
        <v>0</v>
      </c>
      <c r="P1347" s="53">
        <v>0</v>
      </c>
      <c r="Q1347" s="53">
        <v>0</v>
      </c>
      <c r="R1347" s="53">
        <v>0</v>
      </c>
    </row>
    <row r="1348" spans="1:18" x14ac:dyDescent="0.25">
      <c r="A1348" s="25" t="s">
        <v>170</v>
      </c>
      <c r="B1348" s="26">
        <v>2016</v>
      </c>
      <c r="C1348" s="74" t="s">
        <v>168</v>
      </c>
      <c r="D1348" s="27">
        <v>0</v>
      </c>
      <c r="E1348" s="53">
        <v>0</v>
      </c>
      <c r="F1348" s="53">
        <v>0</v>
      </c>
      <c r="G1348" s="53">
        <v>9458660.2400000002</v>
      </c>
      <c r="H1348" s="53">
        <v>22229323.780000001</v>
      </c>
      <c r="I1348" s="53">
        <v>23050798.710000001</v>
      </c>
      <c r="J1348" s="53">
        <v>77073039.310000002</v>
      </c>
      <c r="K1348" s="53">
        <v>111496435.86</v>
      </c>
      <c r="L1348" s="53">
        <v>0</v>
      </c>
      <c r="M1348" s="53">
        <v>0</v>
      </c>
      <c r="N1348" s="53">
        <v>0</v>
      </c>
      <c r="O1348" s="53">
        <v>0</v>
      </c>
      <c r="P1348" s="53">
        <v>0</v>
      </c>
      <c r="Q1348" s="53">
        <v>0</v>
      </c>
      <c r="R1348" s="53">
        <v>0</v>
      </c>
    </row>
    <row r="1349" spans="1:18" x14ac:dyDescent="0.25">
      <c r="A1349" s="25" t="s">
        <v>167</v>
      </c>
      <c r="B1349" s="26">
        <v>2016</v>
      </c>
      <c r="C1349" s="74" t="s">
        <v>166</v>
      </c>
      <c r="D1349" s="27">
        <v>0</v>
      </c>
      <c r="E1349" s="53">
        <v>0</v>
      </c>
      <c r="F1349" s="53">
        <v>0</v>
      </c>
      <c r="G1349" s="53">
        <v>451043460</v>
      </c>
      <c r="H1349" s="53">
        <v>649065097</v>
      </c>
      <c r="I1349" s="53">
        <v>420868792</v>
      </c>
      <c r="J1349" s="53">
        <v>471173396</v>
      </c>
      <c r="K1349" s="53">
        <v>634592623</v>
      </c>
      <c r="L1349" s="53">
        <v>0</v>
      </c>
      <c r="M1349" s="53">
        <v>0</v>
      </c>
      <c r="N1349" s="53">
        <v>0</v>
      </c>
      <c r="O1349" s="53">
        <v>0</v>
      </c>
      <c r="P1349" s="53">
        <v>0</v>
      </c>
      <c r="Q1349" s="53">
        <v>0</v>
      </c>
      <c r="R1349" s="53">
        <v>0</v>
      </c>
    </row>
    <row r="1350" spans="1:18" x14ac:dyDescent="0.25">
      <c r="A1350" s="25" t="s">
        <v>165</v>
      </c>
      <c r="B1350" s="26">
        <v>2016</v>
      </c>
      <c r="C1350" s="74" t="s">
        <v>164</v>
      </c>
      <c r="D1350" s="27">
        <v>0</v>
      </c>
      <c r="E1350" s="53">
        <v>0</v>
      </c>
      <c r="F1350" s="53">
        <v>0</v>
      </c>
      <c r="G1350" s="53">
        <v>700000</v>
      </c>
      <c r="H1350" s="53">
        <v>19775073.899999999</v>
      </c>
      <c r="I1350" s="53">
        <v>4068953.38</v>
      </c>
      <c r="J1350" s="53">
        <v>0</v>
      </c>
      <c r="K1350" s="53">
        <v>450000.00000000373</v>
      </c>
      <c r="L1350" s="53">
        <v>0</v>
      </c>
      <c r="M1350" s="53">
        <v>0</v>
      </c>
      <c r="N1350" s="53">
        <v>0</v>
      </c>
      <c r="O1350" s="53">
        <v>0</v>
      </c>
      <c r="P1350" s="53">
        <v>0</v>
      </c>
      <c r="Q1350" s="53">
        <v>0</v>
      </c>
      <c r="R1350" s="53">
        <v>0</v>
      </c>
    </row>
    <row r="1351" spans="1:18" x14ac:dyDescent="0.25">
      <c r="A1351" s="25" t="s">
        <v>163</v>
      </c>
      <c r="B1351" s="26">
        <v>2016</v>
      </c>
      <c r="C1351" s="74" t="s">
        <v>162</v>
      </c>
      <c r="D1351" s="27">
        <v>0</v>
      </c>
      <c r="E1351" s="53">
        <v>0</v>
      </c>
      <c r="F1351" s="53">
        <v>0</v>
      </c>
      <c r="G1351" s="53">
        <v>38732500</v>
      </c>
      <c r="H1351" s="53">
        <v>49644500</v>
      </c>
      <c r="I1351" s="53">
        <v>15677000</v>
      </c>
      <c r="J1351" s="53">
        <v>24725000</v>
      </c>
      <c r="K1351" s="53">
        <v>36166807.599999994</v>
      </c>
      <c r="L1351" s="53">
        <v>0</v>
      </c>
      <c r="M1351" s="53">
        <v>0</v>
      </c>
      <c r="N1351" s="53">
        <v>0</v>
      </c>
      <c r="O1351" s="53">
        <v>0</v>
      </c>
      <c r="P1351" s="53">
        <v>0</v>
      </c>
      <c r="Q1351" s="53">
        <v>0</v>
      </c>
      <c r="R1351" s="53">
        <v>0</v>
      </c>
    </row>
    <row r="1352" spans="1:18" x14ac:dyDescent="0.25">
      <c r="A1352" s="25" t="s">
        <v>161</v>
      </c>
      <c r="B1352" s="26">
        <v>2016</v>
      </c>
      <c r="C1352" s="74" t="s">
        <v>160</v>
      </c>
      <c r="D1352" s="27">
        <v>0</v>
      </c>
      <c r="E1352" s="53">
        <v>0</v>
      </c>
      <c r="F1352" s="53">
        <v>0</v>
      </c>
      <c r="G1352" s="53">
        <v>5347556.83</v>
      </c>
      <c r="H1352" s="53">
        <v>34711088.020000003</v>
      </c>
      <c r="I1352" s="53">
        <v>6272161.4500000002</v>
      </c>
      <c r="J1352" s="53">
        <v>3578128.04</v>
      </c>
      <c r="K1352" s="53">
        <v>232389477.30000001</v>
      </c>
      <c r="L1352" s="53">
        <v>0</v>
      </c>
      <c r="M1352" s="53">
        <v>0</v>
      </c>
      <c r="N1352" s="53">
        <v>0</v>
      </c>
      <c r="O1352" s="53">
        <v>0</v>
      </c>
      <c r="P1352" s="53">
        <v>0</v>
      </c>
      <c r="Q1352" s="53">
        <v>0</v>
      </c>
      <c r="R1352" s="53">
        <v>0</v>
      </c>
    </row>
    <row r="1353" spans="1:18" x14ac:dyDescent="0.25">
      <c r="A1353" s="25" t="s">
        <v>159</v>
      </c>
      <c r="B1353" s="26">
        <v>2016</v>
      </c>
      <c r="C1353" s="74" t="s">
        <v>158</v>
      </c>
      <c r="D1353" s="27">
        <v>0</v>
      </c>
      <c r="E1353" s="53">
        <v>0</v>
      </c>
      <c r="F1353" s="53">
        <v>0</v>
      </c>
      <c r="G1353" s="53">
        <v>0</v>
      </c>
      <c r="H1353" s="53">
        <v>92859131.840000004</v>
      </c>
      <c r="I1353" s="53">
        <v>-720</v>
      </c>
      <c r="J1353" s="53">
        <v>0</v>
      </c>
      <c r="K1353" s="53">
        <v>0</v>
      </c>
      <c r="L1353" s="53">
        <v>0</v>
      </c>
      <c r="M1353" s="53">
        <v>0</v>
      </c>
      <c r="N1353" s="53">
        <v>0</v>
      </c>
      <c r="O1353" s="53">
        <v>0</v>
      </c>
      <c r="P1353" s="53">
        <v>0</v>
      </c>
      <c r="Q1353" s="53">
        <v>0</v>
      </c>
      <c r="R1353" s="53">
        <v>0</v>
      </c>
    </row>
    <row r="1354" spans="1:18" x14ac:dyDescent="0.25">
      <c r="A1354" s="25" t="s">
        <v>157</v>
      </c>
      <c r="B1354" s="26">
        <v>2016</v>
      </c>
      <c r="C1354" s="74" t="s">
        <v>156</v>
      </c>
      <c r="D1354" s="27">
        <v>0</v>
      </c>
      <c r="E1354" s="53">
        <v>0</v>
      </c>
      <c r="F1354" s="53">
        <v>0</v>
      </c>
      <c r="G1354" s="53">
        <v>0</v>
      </c>
      <c r="H1354" s="53">
        <v>0</v>
      </c>
      <c r="I1354" s="53">
        <v>0</v>
      </c>
      <c r="J1354" s="53">
        <v>0</v>
      </c>
      <c r="K1354" s="53">
        <v>0</v>
      </c>
      <c r="L1354" s="53">
        <v>0</v>
      </c>
      <c r="M1354" s="53">
        <v>0</v>
      </c>
      <c r="N1354" s="53">
        <v>0</v>
      </c>
      <c r="O1354" s="53">
        <v>0</v>
      </c>
      <c r="P1354" s="53">
        <v>0</v>
      </c>
      <c r="Q1354" s="53">
        <v>0</v>
      </c>
      <c r="R1354" s="53">
        <v>0</v>
      </c>
    </row>
    <row r="1355" spans="1:18" x14ac:dyDescent="0.25">
      <c r="A1355" s="25" t="s">
        <v>153</v>
      </c>
      <c r="B1355" s="26">
        <v>2016</v>
      </c>
      <c r="C1355" s="74" t="s">
        <v>151</v>
      </c>
      <c r="D1355" s="27">
        <v>0</v>
      </c>
      <c r="E1355" s="53">
        <v>0</v>
      </c>
      <c r="F1355" s="53">
        <v>0</v>
      </c>
      <c r="G1355" s="53">
        <v>23151723.039999999</v>
      </c>
      <c r="H1355" s="53">
        <v>-9158852.4199999999</v>
      </c>
      <c r="I1355" s="53">
        <v>33652312.450000003</v>
      </c>
      <c r="J1355" s="53">
        <v>7717538.5199999996</v>
      </c>
      <c r="K1355" s="53">
        <v>9775835.2800000012</v>
      </c>
      <c r="L1355" s="53">
        <v>0</v>
      </c>
      <c r="M1355" s="53">
        <v>0</v>
      </c>
      <c r="N1355" s="53">
        <v>0</v>
      </c>
      <c r="O1355" s="53">
        <v>0</v>
      </c>
      <c r="P1355" s="53">
        <v>0</v>
      </c>
      <c r="Q1355" s="53">
        <v>0</v>
      </c>
      <c r="R1355" s="53">
        <v>0</v>
      </c>
    </row>
    <row r="1356" spans="1:18" x14ac:dyDescent="0.25">
      <c r="A1356" s="25" t="s">
        <v>150</v>
      </c>
      <c r="B1356" s="26">
        <v>2016</v>
      </c>
      <c r="C1356" s="74" t="s">
        <v>149</v>
      </c>
      <c r="D1356" s="27">
        <v>0</v>
      </c>
      <c r="E1356" s="53">
        <v>0</v>
      </c>
      <c r="F1356" s="53">
        <v>0</v>
      </c>
      <c r="G1356" s="53">
        <v>0</v>
      </c>
      <c r="H1356" s="53">
        <v>-278168</v>
      </c>
      <c r="I1356" s="53">
        <v>5923334.5700000003</v>
      </c>
      <c r="J1356" s="53">
        <v>4380011.09</v>
      </c>
      <c r="K1356" s="53">
        <v>8717640.75</v>
      </c>
      <c r="L1356" s="53">
        <v>0</v>
      </c>
      <c r="M1356" s="53">
        <v>0</v>
      </c>
      <c r="N1356" s="53">
        <v>0</v>
      </c>
      <c r="O1356" s="53">
        <v>0</v>
      </c>
      <c r="P1356" s="53">
        <v>0</v>
      </c>
      <c r="Q1356" s="53">
        <v>0</v>
      </c>
      <c r="R1356" s="53">
        <v>0</v>
      </c>
    </row>
    <row r="1357" spans="1:18" x14ac:dyDescent="0.25">
      <c r="A1357" s="25" t="s">
        <v>147</v>
      </c>
      <c r="B1357" s="26">
        <v>2016</v>
      </c>
      <c r="C1357" s="74" t="s">
        <v>146</v>
      </c>
      <c r="D1357" s="27">
        <v>0</v>
      </c>
      <c r="E1357" s="53">
        <v>0</v>
      </c>
      <c r="F1357" s="53">
        <v>0</v>
      </c>
      <c r="G1357" s="53">
        <v>49914349.729999997</v>
      </c>
      <c r="H1357" s="53">
        <v>2679292230.5</v>
      </c>
      <c r="I1357" s="53">
        <v>47082183</v>
      </c>
      <c r="J1357" s="53">
        <v>40812507.909999996</v>
      </c>
      <c r="K1357" s="53">
        <v>-907913737.66999984</v>
      </c>
      <c r="L1357" s="53">
        <v>0</v>
      </c>
      <c r="M1357" s="53">
        <v>0</v>
      </c>
      <c r="N1357" s="53">
        <v>0</v>
      </c>
      <c r="O1357" s="53">
        <v>0</v>
      </c>
      <c r="P1357" s="53">
        <v>0</v>
      </c>
      <c r="Q1357" s="53">
        <v>0</v>
      </c>
      <c r="R1357" s="53">
        <v>0</v>
      </c>
    </row>
    <row r="1358" spans="1:18" x14ac:dyDescent="0.25">
      <c r="A1358" s="25" t="s">
        <v>144</v>
      </c>
      <c r="B1358" s="26">
        <v>2016</v>
      </c>
      <c r="C1358" s="74" t="s">
        <v>143</v>
      </c>
      <c r="D1358" s="27">
        <v>0</v>
      </c>
      <c r="E1358" s="53">
        <v>0</v>
      </c>
      <c r="F1358" s="53">
        <v>0</v>
      </c>
      <c r="G1358" s="53">
        <v>196541258.31999999</v>
      </c>
      <c r="H1358" s="53">
        <v>221487671.91999999</v>
      </c>
      <c r="I1358" s="53">
        <v>257224285.03</v>
      </c>
      <c r="J1358" s="53">
        <v>376974638.65000004</v>
      </c>
      <c r="K1358" s="53">
        <v>435336536.67999995</v>
      </c>
      <c r="L1358" s="53">
        <v>0</v>
      </c>
      <c r="M1358" s="53">
        <v>0</v>
      </c>
      <c r="N1358" s="53">
        <v>0</v>
      </c>
      <c r="O1358" s="53">
        <v>0</v>
      </c>
      <c r="P1358" s="53">
        <v>0</v>
      </c>
      <c r="Q1358" s="53">
        <v>0</v>
      </c>
      <c r="R1358" s="53">
        <v>0</v>
      </c>
    </row>
    <row r="1359" spans="1:18" x14ac:dyDescent="0.25">
      <c r="A1359" s="25" t="s">
        <v>142</v>
      </c>
      <c r="B1359" s="26">
        <v>2016</v>
      </c>
      <c r="C1359" s="74" t="s">
        <v>141</v>
      </c>
      <c r="D1359" s="27">
        <v>0</v>
      </c>
      <c r="E1359" s="53">
        <v>0</v>
      </c>
      <c r="F1359" s="53">
        <v>0</v>
      </c>
      <c r="G1359" s="53">
        <v>127627599.91</v>
      </c>
      <c r="H1359" s="53">
        <v>263356707.53999999</v>
      </c>
      <c r="I1359" s="53">
        <v>366049151.72000003</v>
      </c>
      <c r="J1359" s="53">
        <v>110998707.75</v>
      </c>
      <c r="K1359" s="53">
        <v>254850471.69</v>
      </c>
      <c r="L1359" s="53">
        <v>0</v>
      </c>
      <c r="M1359" s="53">
        <v>0</v>
      </c>
      <c r="N1359" s="53">
        <v>0</v>
      </c>
      <c r="O1359" s="53">
        <v>0</v>
      </c>
      <c r="P1359" s="53">
        <v>0</v>
      </c>
      <c r="Q1359" s="53">
        <v>0</v>
      </c>
      <c r="R1359" s="53">
        <v>0</v>
      </c>
    </row>
    <row r="1360" spans="1:18" x14ac:dyDescent="0.25">
      <c r="A1360" s="25" t="s">
        <v>403</v>
      </c>
      <c r="B1360" s="26">
        <v>2016</v>
      </c>
      <c r="C1360" s="74" t="s">
        <v>400</v>
      </c>
      <c r="D1360" s="27">
        <v>0</v>
      </c>
      <c r="E1360" s="53">
        <v>0</v>
      </c>
      <c r="F1360" s="53">
        <v>0</v>
      </c>
      <c r="G1360" s="53">
        <v>0</v>
      </c>
      <c r="H1360" s="53">
        <v>0</v>
      </c>
      <c r="I1360" s="53">
        <v>0</v>
      </c>
      <c r="J1360" s="53">
        <v>0</v>
      </c>
      <c r="K1360" s="53">
        <v>0</v>
      </c>
      <c r="L1360" s="53">
        <v>0</v>
      </c>
      <c r="M1360" s="53">
        <v>0</v>
      </c>
      <c r="N1360" s="53">
        <v>0</v>
      </c>
      <c r="O1360" s="53">
        <v>0</v>
      </c>
      <c r="P1360" s="53">
        <v>0</v>
      </c>
      <c r="Q1360" s="53">
        <v>0</v>
      </c>
      <c r="R1360" s="53">
        <v>0</v>
      </c>
    </row>
    <row r="1361" spans="1:18" x14ac:dyDescent="0.25">
      <c r="A1361" s="25" t="s">
        <v>140</v>
      </c>
      <c r="B1361" s="26">
        <v>2016</v>
      </c>
      <c r="C1361" s="74" t="s">
        <v>139</v>
      </c>
      <c r="D1361" s="27">
        <v>0</v>
      </c>
      <c r="E1361" s="53">
        <v>0</v>
      </c>
      <c r="F1361" s="53">
        <v>0</v>
      </c>
      <c r="G1361" s="53">
        <v>0</v>
      </c>
      <c r="H1361" s="53">
        <v>0</v>
      </c>
      <c r="I1361" s="53">
        <v>229127855.08000001</v>
      </c>
      <c r="J1361" s="53">
        <v>0</v>
      </c>
      <c r="K1361" s="53">
        <v>1855514375</v>
      </c>
      <c r="L1361" s="53">
        <v>0</v>
      </c>
      <c r="M1361" s="53">
        <v>0</v>
      </c>
      <c r="N1361" s="53">
        <v>0</v>
      </c>
      <c r="O1361" s="53">
        <v>0</v>
      </c>
      <c r="P1361" s="53">
        <v>0</v>
      </c>
      <c r="Q1361" s="53">
        <v>0</v>
      </c>
      <c r="R1361" s="53">
        <v>0</v>
      </c>
    </row>
    <row r="1362" spans="1:18" x14ac:dyDescent="0.25">
      <c r="A1362" s="25" t="s">
        <v>372</v>
      </c>
      <c r="B1362" s="26">
        <v>2016</v>
      </c>
      <c r="C1362" s="74" t="s">
        <v>398</v>
      </c>
      <c r="D1362" s="27">
        <v>0</v>
      </c>
      <c r="E1362" s="53">
        <v>0</v>
      </c>
      <c r="F1362" s="53">
        <v>0</v>
      </c>
      <c r="G1362" s="53">
        <v>0</v>
      </c>
      <c r="H1362" s="53">
        <v>0</v>
      </c>
      <c r="I1362" s="53">
        <v>0</v>
      </c>
      <c r="J1362" s="53">
        <v>0</v>
      </c>
      <c r="K1362" s="53">
        <v>0</v>
      </c>
      <c r="L1362" s="53">
        <v>0</v>
      </c>
      <c r="M1362" s="53">
        <v>0</v>
      </c>
      <c r="N1362" s="53">
        <v>0</v>
      </c>
      <c r="O1362" s="53">
        <v>0</v>
      </c>
      <c r="P1362" s="53">
        <v>0</v>
      </c>
      <c r="Q1362" s="53">
        <v>0</v>
      </c>
      <c r="R1362" s="53">
        <v>0</v>
      </c>
    </row>
    <row r="1363" spans="1:18" x14ac:dyDescent="0.25">
      <c r="A1363" s="25" t="s">
        <v>138</v>
      </c>
      <c r="B1363" s="26">
        <v>2016</v>
      </c>
      <c r="C1363" s="74" t="s">
        <v>137</v>
      </c>
      <c r="D1363" s="27">
        <v>0</v>
      </c>
      <c r="E1363" s="53">
        <v>0</v>
      </c>
      <c r="F1363" s="53">
        <v>0</v>
      </c>
      <c r="G1363" s="53">
        <v>0</v>
      </c>
      <c r="H1363" s="53">
        <v>0</v>
      </c>
      <c r="I1363" s="53">
        <v>0</v>
      </c>
      <c r="J1363" s="53">
        <v>801125000</v>
      </c>
      <c r="K1363" s="53">
        <v>4272765000</v>
      </c>
      <c r="L1363" s="53">
        <v>0</v>
      </c>
      <c r="M1363" s="53">
        <v>0</v>
      </c>
      <c r="N1363" s="53">
        <v>0</v>
      </c>
      <c r="O1363" s="53">
        <v>0</v>
      </c>
      <c r="P1363" s="53">
        <v>0</v>
      </c>
      <c r="Q1363" s="53">
        <v>0</v>
      </c>
      <c r="R1363" s="53">
        <v>0</v>
      </c>
    </row>
    <row r="1364" spans="1:18" x14ac:dyDescent="0.25">
      <c r="A1364" s="25" t="s">
        <v>136</v>
      </c>
      <c r="B1364" s="26">
        <v>2016</v>
      </c>
      <c r="C1364" s="74" t="s">
        <v>135</v>
      </c>
      <c r="D1364" s="27">
        <v>0</v>
      </c>
      <c r="E1364" s="53">
        <v>0</v>
      </c>
      <c r="F1364" s="53">
        <v>0</v>
      </c>
      <c r="G1364" s="53">
        <v>0</v>
      </c>
      <c r="H1364" s="53">
        <v>1666666.67</v>
      </c>
      <c r="I1364" s="53">
        <v>0</v>
      </c>
      <c r="J1364" s="53">
        <v>331666666.67000002</v>
      </c>
      <c r="K1364" s="53">
        <v>333333333.32999992</v>
      </c>
      <c r="L1364" s="53">
        <v>0</v>
      </c>
      <c r="M1364" s="53">
        <v>0</v>
      </c>
      <c r="N1364" s="53">
        <v>0</v>
      </c>
      <c r="O1364" s="53">
        <v>0</v>
      </c>
      <c r="P1364" s="53">
        <v>0</v>
      </c>
      <c r="Q1364" s="53">
        <v>0</v>
      </c>
      <c r="R1364" s="53">
        <v>0</v>
      </c>
    </row>
    <row r="1365" spans="1:18" x14ac:dyDescent="0.25">
      <c r="A1365" s="25" t="s">
        <v>134</v>
      </c>
      <c r="B1365" s="26">
        <v>2016</v>
      </c>
      <c r="C1365" s="74" t="s">
        <v>133</v>
      </c>
      <c r="D1365" s="27">
        <v>0</v>
      </c>
      <c r="E1365" s="53">
        <v>0</v>
      </c>
      <c r="F1365" s="53">
        <v>0</v>
      </c>
      <c r="G1365" s="53">
        <v>0</v>
      </c>
      <c r="H1365" s="53">
        <v>7800581332.25</v>
      </c>
      <c r="I1365" s="53">
        <v>5000000000</v>
      </c>
      <c r="J1365" s="55"/>
      <c r="K1365" s="53">
        <v>12038429231.25</v>
      </c>
      <c r="L1365" s="53">
        <v>0</v>
      </c>
      <c r="M1365" s="53">
        <v>0</v>
      </c>
      <c r="N1365" s="53">
        <v>0</v>
      </c>
      <c r="O1365" s="53">
        <v>0</v>
      </c>
      <c r="P1365" s="53">
        <v>0</v>
      </c>
      <c r="Q1365" s="53">
        <v>0</v>
      </c>
      <c r="R1365" s="53">
        <v>0</v>
      </c>
    </row>
    <row r="1366" spans="1:18" x14ac:dyDescent="0.25">
      <c r="A1366" s="25" t="s">
        <v>132</v>
      </c>
      <c r="B1366" s="26">
        <v>2016</v>
      </c>
      <c r="C1366" s="74" t="s">
        <v>131</v>
      </c>
      <c r="D1366" s="27">
        <v>0</v>
      </c>
      <c r="E1366" s="53">
        <v>0</v>
      </c>
      <c r="F1366" s="53">
        <v>0</v>
      </c>
      <c r="G1366" s="53">
        <v>0</v>
      </c>
      <c r="H1366" s="53">
        <v>0</v>
      </c>
      <c r="I1366" s="53">
        <v>4623477801</v>
      </c>
      <c r="J1366" s="55"/>
      <c r="K1366" s="53">
        <v>11141948065.879999</v>
      </c>
      <c r="L1366" s="53">
        <v>0</v>
      </c>
      <c r="M1366" s="53">
        <v>0</v>
      </c>
      <c r="N1366" s="53">
        <v>0</v>
      </c>
      <c r="O1366" s="53">
        <v>0</v>
      </c>
      <c r="P1366" s="53">
        <v>0</v>
      </c>
      <c r="Q1366" s="53">
        <v>0</v>
      </c>
      <c r="R1366" s="53">
        <v>0</v>
      </c>
    </row>
    <row r="1367" spans="1:18" x14ac:dyDescent="0.25">
      <c r="A1367" s="25" t="s">
        <v>130</v>
      </c>
      <c r="B1367" s="26">
        <v>2016</v>
      </c>
      <c r="C1367" s="74" t="s">
        <v>129</v>
      </c>
      <c r="D1367" s="27">
        <v>0</v>
      </c>
      <c r="E1367" s="53">
        <v>0</v>
      </c>
      <c r="F1367" s="53">
        <v>0</v>
      </c>
      <c r="G1367" s="53">
        <v>0</v>
      </c>
      <c r="H1367" s="53">
        <v>4200000000</v>
      </c>
      <c r="I1367" s="53">
        <v>2877277000</v>
      </c>
      <c r="J1367" s="55"/>
      <c r="K1367" s="53">
        <v>8085819402.1499996</v>
      </c>
      <c r="L1367" s="53">
        <v>0</v>
      </c>
      <c r="M1367" s="53">
        <v>0</v>
      </c>
      <c r="N1367" s="53">
        <v>0</v>
      </c>
      <c r="O1367" s="53">
        <v>0</v>
      </c>
      <c r="P1367" s="53">
        <v>0</v>
      </c>
      <c r="Q1367" s="53">
        <v>0</v>
      </c>
      <c r="R1367" s="53">
        <v>0</v>
      </c>
    </row>
    <row r="1368" spans="1:18" x14ac:dyDescent="0.25">
      <c r="A1368" s="25" t="s">
        <v>128</v>
      </c>
      <c r="B1368" s="26">
        <v>2016</v>
      </c>
      <c r="C1368" s="74" t="s">
        <v>127</v>
      </c>
      <c r="D1368" s="27">
        <v>0</v>
      </c>
      <c r="E1368" s="53">
        <v>0</v>
      </c>
      <c r="F1368" s="53">
        <v>0</v>
      </c>
      <c r="G1368" s="53">
        <v>0</v>
      </c>
      <c r="H1368" s="53">
        <v>670125000</v>
      </c>
      <c r="I1368" s="53">
        <v>0</v>
      </c>
      <c r="J1368" s="53">
        <v>660750000</v>
      </c>
      <c r="K1368" s="53">
        <v>731750000</v>
      </c>
      <c r="L1368" s="53">
        <v>0</v>
      </c>
      <c r="M1368" s="53">
        <v>0</v>
      </c>
      <c r="N1368" s="53">
        <v>0</v>
      </c>
      <c r="O1368" s="53">
        <v>0</v>
      </c>
      <c r="P1368" s="53">
        <v>0</v>
      </c>
      <c r="Q1368" s="53">
        <v>0</v>
      </c>
      <c r="R1368" s="53">
        <v>0</v>
      </c>
    </row>
    <row r="1369" spans="1:18" x14ac:dyDescent="0.25">
      <c r="A1369" s="25" t="s">
        <v>126</v>
      </c>
      <c r="B1369" s="26">
        <v>2016</v>
      </c>
      <c r="C1369" s="74" t="s">
        <v>125</v>
      </c>
      <c r="D1369" s="27">
        <v>0</v>
      </c>
      <c r="E1369" s="53">
        <v>0</v>
      </c>
      <c r="F1369" s="53">
        <v>0</v>
      </c>
      <c r="G1369" s="53">
        <v>0</v>
      </c>
      <c r="H1369" s="53">
        <v>0</v>
      </c>
      <c r="I1369" s="53">
        <v>0</v>
      </c>
      <c r="J1369" s="53">
        <v>328201011</v>
      </c>
      <c r="K1369" s="53">
        <v>357145846</v>
      </c>
      <c r="L1369" s="53">
        <v>0</v>
      </c>
      <c r="M1369" s="53">
        <v>0</v>
      </c>
      <c r="N1369" s="53">
        <v>0</v>
      </c>
      <c r="O1369" s="53">
        <v>0</v>
      </c>
      <c r="P1369" s="53">
        <v>0</v>
      </c>
      <c r="Q1369" s="53">
        <v>0</v>
      </c>
      <c r="R1369" s="53">
        <v>0</v>
      </c>
    </row>
    <row r="1370" spans="1:18" x14ac:dyDescent="0.25">
      <c r="A1370" s="25" t="s">
        <v>122</v>
      </c>
      <c r="B1370" s="26">
        <v>2016</v>
      </c>
      <c r="C1370" s="74" t="s">
        <v>121</v>
      </c>
      <c r="D1370" s="27">
        <v>0</v>
      </c>
      <c r="E1370" s="53">
        <v>0</v>
      </c>
      <c r="F1370" s="53">
        <v>0</v>
      </c>
      <c r="G1370" s="53">
        <v>207309536.03</v>
      </c>
      <c r="H1370" s="53">
        <v>224204916.46000001</v>
      </c>
      <c r="I1370" s="53">
        <v>213886757.66</v>
      </c>
      <c r="J1370" s="53">
        <v>214852672.38</v>
      </c>
      <c r="K1370" s="53">
        <v>217307618.54999995</v>
      </c>
      <c r="L1370" s="53">
        <v>0</v>
      </c>
      <c r="M1370" s="53">
        <v>0</v>
      </c>
      <c r="N1370" s="53">
        <v>0</v>
      </c>
      <c r="O1370" s="53">
        <v>0</v>
      </c>
      <c r="P1370" s="53">
        <v>0</v>
      </c>
      <c r="Q1370" s="53">
        <v>0</v>
      </c>
      <c r="R1370" s="53">
        <v>0</v>
      </c>
    </row>
    <row r="1371" spans="1:18" x14ac:dyDescent="0.25">
      <c r="A1371" s="25" t="s">
        <v>120</v>
      </c>
      <c r="B1371" s="26">
        <v>2016</v>
      </c>
      <c r="C1371" s="74" t="s">
        <v>119</v>
      </c>
      <c r="D1371" s="27">
        <v>0</v>
      </c>
      <c r="E1371" s="53">
        <v>0</v>
      </c>
      <c r="F1371" s="53">
        <v>0</v>
      </c>
      <c r="G1371" s="53">
        <v>0</v>
      </c>
      <c r="H1371" s="53">
        <v>0</v>
      </c>
      <c r="I1371" s="53">
        <v>0</v>
      </c>
      <c r="J1371" s="53">
        <v>0</v>
      </c>
      <c r="K1371" s="53">
        <v>0</v>
      </c>
      <c r="L1371" s="53">
        <v>0</v>
      </c>
      <c r="M1371" s="53">
        <v>0</v>
      </c>
      <c r="N1371" s="53">
        <v>0</v>
      </c>
      <c r="O1371" s="53">
        <v>0</v>
      </c>
      <c r="P1371" s="53">
        <v>0</v>
      </c>
      <c r="Q1371" s="53">
        <v>0</v>
      </c>
      <c r="R1371" s="53">
        <v>0</v>
      </c>
    </row>
    <row r="1372" spans="1:18" x14ac:dyDescent="0.25">
      <c r="A1372" s="25" t="s">
        <v>118</v>
      </c>
      <c r="B1372" s="26">
        <v>2016</v>
      </c>
      <c r="C1372" s="74" t="s">
        <v>117</v>
      </c>
      <c r="D1372" s="27">
        <v>0</v>
      </c>
      <c r="E1372" s="53">
        <v>0</v>
      </c>
      <c r="F1372" s="53">
        <v>0</v>
      </c>
      <c r="G1372" s="53">
        <v>0</v>
      </c>
      <c r="H1372" s="53">
        <v>42343580.509999998</v>
      </c>
      <c r="I1372" s="53">
        <v>0</v>
      </c>
      <c r="J1372" s="53">
        <v>0</v>
      </c>
      <c r="K1372" s="53">
        <v>0</v>
      </c>
      <c r="L1372" s="53">
        <v>0</v>
      </c>
      <c r="M1372" s="53">
        <v>0</v>
      </c>
      <c r="N1372" s="53">
        <v>0</v>
      </c>
      <c r="O1372" s="53">
        <v>0</v>
      </c>
      <c r="P1372" s="53">
        <v>0</v>
      </c>
      <c r="Q1372" s="53">
        <v>0</v>
      </c>
      <c r="R1372" s="53">
        <v>0</v>
      </c>
    </row>
    <row r="1373" spans="1:18" x14ac:dyDescent="0.25">
      <c r="A1373" s="25" t="s">
        <v>397</v>
      </c>
      <c r="B1373" s="26">
        <v>2016</v>
      </c>
      <c r="C1373" s="74" t="s">
        <v>396</v>
      </c>
      <c r="D1373" s="27">
        <v>0</v>
      </c>
      <c r="E1373" s="53">
        <v>0</v>
      </c>
      <c r="F1373" s="53">
        <v>0</v>
      </c>
      <c r="G1373" s="53">
        <v>0</v>
      </c>
      <c r="H1373" s="53">
        <v>126332600</v>
      </c>
      <c r="I1373" s="53">
        <v>0</v>
      </c>
      <c r="J1373" s="53">
        <v>0</v>
      </c>
      <c r="K1373" s="53">
        <v>202088990.25999999</v>
      </c>
      <c r="L1373" s="53">
        <v>0</v>
      </c>
      <c r="M1373" s="53">
        <v>0</v>
      </c>
      <c r="N1373" s="53">
        <v>0</v>
      </c>
      <c r="O1373" s="53">
        <v>0</v>
      </c>
      <c r="P1373" s="53">
        <v>0</v>
      </c>
      <c r="Q1373" s="53">
        <v>0</v>
      </c>
      <c r="R1373" s="53">
        <v>0</v>
      </c>
    </row>
    <row r="1374" spans="1:18" x14ac:dyDescent="0.25">
      <c r="A1374" s="25" t="s">
        <v>115</v>
      </c>
      <c r="B1374" s="26">
        <v>2016</v>
      </c>
      <c r="C1374" s="74" t="s">
        <v>114</v>
      </c>
      <c r="D1374" s="27">
        <v>0</v>
      </c>
      <c r="E1374" s="53">
        <v>0</v>
      </c>
      <c r="F1374" s="53">
        <v>0</v>
      </c>
      <c r="G1374" s="53">
        <v>0</v>
      </c>
      <c r="H1374" s="53">
        <v>0</v>
      </c>
      <c r="I1374" s="53">
        <v>0</v>
      </c>
      <c r="J1374" s="53">
        <v>0</v>
      </c>
      <c r="K1374" s="53">
        <v>0</v>
      </c>
      <c r="L1374" s="53">
        <v>0</v>
      </c>
      <c r="M1374" s="53">
        <v>0</v>
      </c>
      <c r="N1374" s="53">
        <v>0</v>
      </c>
      <c r="O1374" s="53">
        <v>0</v>
      </c>
      <c r="P1374" s="53">
        <v>0</v>
      </c>
      <c r="Q1374" s="53">
        <v>0</v>
      </c>
      <c r="R1374" s="53">
        <v>0</v>
      </c>
    </row>
    <row r="1375" spans="1:18" x14ac:dyDescent="0.25">
      <c r="A1375" s="25" t="s">
        <v>113</v>
      </c>
      <c r="B1375" s="26">
        <v>2016</v>
      </c>
      <c r="C1375" s="74" t="s">
        <v>112</v>
      </c>
      <c r="D1375" s="27">
        <v>0</v>
      </c>
      <c r="E1375" s="53">
        <v>0</v>
      </c>
      <c r="F1375" s="53">
        <v>0</v>
      </c>
      <c r="G1375" s="53">
        <v>0</v>
      </c>
      <c r="H1375" s="53">
        <v>0</v>
      </c>
      <c r="I1375" s="53">
        <v>0</v>
      </c>
      <c r="J1375" s="53">
        <v>0</v>
      </c>
      <c r="K1375" s="53">
        <v>0</v>
      </c>
      <c r="L1375" s="53">
        <v>0</v>
      </c>
      <c r="M1375" s="53">
        <v>0</v>
      </c>
      <c r="N1375" s="53">
        <v>0</v>
      </c>
      <c r="O1375" s="53">
        <v>0</v>
      </c>
      <c r="P1375" s="53">
        <v>0</v>
      </c>
      <c r="Q1375" s="53">
        <v>0</v>
      </c>
      <c r="R1375" s="53">
        <v>0</v>
      </c>
    </row>
    <row r="1376" spans="1:18" x14ac:dyDescent="0.25">
      <c r="A1376" s="25" t="s">
        <v>111</v>
      </c>
      <c r="B1376" s="26">
        <v>2016</v>
      </c>
      <c r="C1376" s="74" t="s">
        <v>110</v>
      </c>
      <c r="D1376" s="27">
        <v>0</v>
      </c>
      <c r="E1376" s="53">
        <v>0</v>
      </c>
      <c r="F1376" s="53">
        <v>0</v>
      </c>
      <c r="G1376" s="53">
        <v>0</v>
      </c>
      <c r="H1376" s="53">
        <v>0</v>
      </c>
      <c r="I1376" s="53">
        <v>32900000</v>
      </c>
      <c r="J1376" s="53">
        <v>0</v>
      </c>
      <c r="K1376" s="53">
        <v>0</v>
      </c>
      <c r="L1376" s="53">
        <v>0</v>
      </c>
      <c r="M1376" s="53">
        <v>0</v>
      </c>
      <c r="N1376" s="53">
        <v>0</v>
      </c>
      <c r="O1376" s="53">
        <v>0</v>
      </c>
      <c r="P1376" s="53">
        <v>0</v>
      </c>
      <c r="Q1376" s="53">
        <v>0</v>
      </c>
      <c r="R1376" s="53">
        <v>0</v>
      </c>
    </row>
    <row r="1377" spans="1:18" x14ac:dyDescent="0.25">
      <c r="A1377" s="25" t="s">
        <v>109</v>
      </c>
      <c r="B1377" s="26">
        <v>2016</v>
      </c>
      <c r="C1377" s="74" t="s">
        <v>108</v>
      </c>
      <c r="D1377" s="27">
        <v>0</v>
      </c>
      <c r="E1377" s="53">
        <v>0</v>
      </c>
      <c r="F1377" s="53">
        <v>0</v>
      </c>
      <c r="G1377" s="53">
        <v>0</v>
      </c>
      <c r="H1377" s="53">
        <v>0</v>
      </c>
      <c r="I1377" s="53">
        <v>0</v>
      </c>
      <c r="J1377" s="53">
        <v>5100000</v>
      </c>
      <c r="K1377" s="53">
        <v>0</v>
      </c>
      <c r="L1377" s="53">
        <v>0</v>
      </c>
      <c r="M1377" s="53">
        <v>0</v>
      </c>
      <c r="N1377" s="53">
        <v>0</v>
      </c>
      <c r="O1377" s="53">
        <v>0</v>
      </c>
      <c r="P1377" s="53">
        <v>0</v>
      </c>
      <c r="Q1377" s="53">
        <v>0</v>
      </c>
      <c r="R1377" s="53">
        <v>0</v>
      </c>
    </row>
    <row r="1378" spans="1:18" x14ac:dyDescent="0.25">
      <c r="A1378" s="25" t="s">
        <v>107</v>
      </c>
      <c r="B1378" s="26">
        <v>2016</v>
      </c>
      <c r="C1378" s="74" t="s">
        <v>106</v>
      </c>
      <c r="D1378" s="27">
        <v>0</v>
      </c>
      <c r="E1378" s="53">
        <v>0</v>
      </c>
      <c r="F1378" s="53">
        <v>0</v>
      </c>
      <c r="G1378" s="53">
        <v>0</v>
      </c>
      <c r="H1378" s="53">
        <v>19500000</v>
      </c>
      <c r="I1378" s="53">
        <v>0</v>
      </c>
      <c r="J1378" s="53">
        <v>0</v>
      </c>
      <c r="K1378" s="53">
        <v>0</v>
      </c>
      <c r="L1378" s="53">
        <v>0</v>
      </c>
      <c r="M1378" s="53">
        <v>0</v>
      </c>
      <c r="N1378" s="53">
        <v>0</v>
      </c>
      <c r="O1378" s="53">
        <v>0</v>
      </c>
      <c r="P1378" s="53">
        <v>0</v>
      </c>
      <c r="Q1378" s="53">
        <v>0</v>
      </c>
      <c r="R1378" s="53">
        <v>0</v>
      </c>
    </row>
    <row r="1379" spans="1:18" x14ac:dyDescent="0.25">
      <c r="A1379" s="25" t="s">
        <v>105</v>
      </c>
      <c r="B1379" s="26">
        <v>2016</v>
      </c>
      <c r="C1379" s="74" t="s">
        <v>104</v>
      </c>
      <c r="D1379" s="27">
        <v>0</v>
      </c>
      <c r="E1379" s="53">
        <v>0</v>
      </c>
      <c r="F1379" s="53">
        <v>0</v>
      </c>
      <c r="G1379" s="53">
        <v>0</v>
      </c>
      <c r="H1379" s="53">
        <v>26700000</v>
      </c>
      <c r="I1379" s="53">
        <v>0</v>
      </c>
      <c r="J1379" s="53">
        <v>0</v>
      </c>
      <c r="K1379" s="53">
        <v>0</v>
      </c>
      <c r="L1379" s="53">
        <v>0</v>
      </c>
      <c r="M1379" s="53">
        <v>0</v>
      </c>
      <c r="N1379" s="53">
        <v>0</v>
      </c>
      <c r="O1379" s="53">
        <v>0</v>
      </c>
      <c r="P1379" s="53">
        <v>0</v>
      </c>
      <c r="Q1379" s="53">
        <v>0</v>
      </c>
      <c r="R1379" s="53">
        <v>0</v>
      </c>
    </row>
    <row r="1380" spans="1:18" x14ac:dyDescent="0.25">
      <c r="A1380" s="25" t="s">
        <v>103</v>
      </c>
      <c r="B1380" s="26">
        <v>2016</v>
      </c>
      <c r="C1380" s="74" t="s">
        <v>102</v>
      </c>
      <c r="D1380" s="27">
        <v>0</v>
      </c>
      <c r="E1380" s="53">
        <v>0</v>
      </c>
      <c r="F1380" s="53">
        <v>0</v>
      </c>
      <c r="G1380" s="53">
        <v>0</v>
      </c>
      <c r="H1380" s="53">
        <v>45100000</v>
      </c>
      <c r="I1380" s="53">
        <v>0</v>
      </c>
      <c r="J1380" s="53">
        <v>0</v>
      </c>
      <c r="K1380" s="53">
        <v>0</v>
      </c>
      <c r="L1380" s="53">
        <v>0</v>
      </c>
      <c r="M1380" s="53">
        <v>0</v>
      </c>
      <c r="N1380" s="53">
        <v>0</v>
      </c>
      <c r="O1380" s="53">
        <v>0</v>
      </c>
      <c r="P1380" s="53">
        <v>0</v>
      </c>
      <c r="Q1380" s="53">
        <v>0</v>
      </c>
      <c r="R1380" s="53">
        <v>0</v>
      </c>
    </row>
    <row r="1381" spans="1:18" x14ac:dyDescent="0.25">
      <c r="A1381" s="25" t="s">
        <v>101</v>
      </c>
      <c r="B1381" s="26">
        <v>2016</v>
      </c>
      <c r="C1381" s="74" t="s">
        <v>100</v>
      </c>
      <c r="D1381" s="27">
        <v>0</v>
      </c>
      <c r="E1381" s="53">
        <v>0</v>
      </c>
      <c r="F1381" s="53">
        <v>0</v>
      </c>
      <c r="G1381" s="53">
        <v>0</v>
      </c>
      <c r="H1381" s="53">
        <v>0</v>
      </c>
      <c r="I1381" s="53">
        <v>0</v>
      </c>
      <c r="J1381" s="53">
        <v>0</v>
      </c>
      <c r="K1381" s="53">
        <v>0</v>
      </c>
      <c r="L1381" s="53">
        <v>0</v>
      </c>
      <c r="M1381" s="53">
        <v>0</v>
      </c>
      <c r="N1381" s="53">
        <v>0</v>
      </c>
      <c r="O1381" s="53">
        <v>0</v>
      </c>
      <c r="P1381" s="53">
        <v>0</v>
      </c>
      <c r="Q1381" s="53">
        <v>0</v>
      </c>
      <c r="R1381" s="53">
        <v>0</v>
      </c>
    </row>
    <row r="1382" spans="1:18" x14ac:dyDescent="0.25">
      <c r="A1382" s="25" t="s">
        <v>99</v>
      </c>
      <c r="B1382" s="26">
        <v>2016</v>
      </c>
      <c r="C1382" s="74" t="s">
        <v>98</v>
      </c>
      <c r="D1382" s="27">
        <v>0</v>
      </c>
      <c r="E1382" s="53">
        <v>0</v>
      </c>
      <c r="F1382" s="53">
        <v>0</v>
      </c>
      <c r="G1382" s="53">
        <v>0</v>
      </c>
      <c r="H1382" s="53">
        <v>0</v>
      </c>
      <c r="I1382" s="53">
        <v>0</v>
      </c>
      <c r="J1382" s="53">
        <v>0</v>
      </c>
      <c r="K1382" s="53">
        <v>35000000</v>
      </c>
      <c r="L1382" s="53">
        <v>0</v>
      </c>
      <c r="M1382" s="53">
        <v>0</v>
      </c>
      <c r="N1382" s="53">
        <v>0</v>
      </c>
      <c r="O1382" s="53">
        <v>0</v>
      </c>
      <c r="P1382" s="53">
        <v>0</v>
      </c>
      <c r="Q1382" s="53">
        <v>0</v>
      </c>
      <c r="R1382" s="53">
        <v>0</v>
      </c>
    </row>
    <row r="1383" spans="1:18" x14ac:dyDescent="0.25">
      <c r="A1383" s="25" t="s">
        <v>97</v>
      </c>
      <c r="B1383" s="26">
        <v>2016</v>
      </c>
      <c r="C1383" s="74" t="s">
        <v>96</v>
      </c>
      <c r="D1383" s="27">
        <v>0</v>
      </c>
      <c r="E1383" s="53">
        <v>0</v>
      </c>
      <c r="F1383" s="53">
        <v>0</v>
      </c>
      <c r="G1383" s="53">
        <v>0</v>
      </c>
      <c r="H1383" s="53">
        <v>0</v>
      </c>
      <c r="I1383" s="53">
        <v>7000000</v>
      </c>
      <c r="J1383" s="53">
        <v>0</v>
      </c>
      <c r="K1383" s="53">
        <v>0</v>
      </c>
      <c r="L1383" s="53">
        <v>0</v>
      </c>
      <c r="M1383" s="53">
        <v>0</v>
      </c>
      <c r="N1383" s="53">
        <v>0</v>
      </c>
      <c r="O1383" s="53">
        <v>0</v>
      </c>
      <c r="P1383" s="53">
        <v>0</v>
      </c>
      <c r="Q1383" s="53">
        <v>0</v>
      </c>
      <c r="R1383" s="53">
        <v>0</v>
      </c>
    </row>
    <row r="1384" spans="1:18" x14ac:dyDescent="0.25">
      <c r="A1384" s="25" t="s">
        <v>95</v>
      </c>
      <c r="B1384" s="26">
        <v>2016</v>
      </c>
      <c r="C1384" s="74" t="s">
        <v>94</v>
      </c>
      <c r="D1384" s="27">
        <v>0</v>
      </c>
      <c r="E1384" s="53">
        <v>0</v>
      </c>
      <c r="F1384" s="53">
        <v>0</v>
      </c>
      <c r="G1384" s="53">
        <v>0</v>
      </c>
      <c r="H1384" s="53">
        <v>0</v>
      </c>
      <c r="I1384" s="53">
        <v>0</v>
      </c>
      <c r="J1384" s="53">
        <v>0</v>
      </c>
      <c r="K1384" s="53">
        <v>0</v>
      </c>
      <c r="L1384" s="53">
        <v>0</v>
      </c>
      <c r="M1384" s="53">
        <v>0</v>
      </c>
      <c r="N1384" s="53">
        <v>0</v>
      </c>
      <c r="O1384" s="53">
        <v>0</v>
      </c>
      <c r="P1384" s="53">
        <v>0</v>
      </c>
      <c r="Q1384" s="53">
        <v>0</v>
      </c>
      <c r="R1384" s="53">
        <v>0</v>
      </c>
    </row>
    <row r="1385" spans="1:18" x14ac:dyDescent="0.25">
      <c r="A1385" s="25" t="s">
        <v>93</v>
      </c>
      <c r="B1385" s="26">
        <v>2016</v>
      </c>
      <c r="C1385" s="74" t="s">
        <v>92</v>
      </c>
      <c r="D1385" s="27">
        <v>0</v>
      </c>
      <c r="E1385" s="53">
        <v>0</v>
      </c>
      <c r="F1385" s="53">
        <v>0</v>
      </c>
      <c r="G1385" s="53">
        <v>3650000</v>
      </c>
      <c r="H1385" s="53">
        <v>0</v>
      </c>
      <c r="I1385" s="53">
        <v>0</v>
      </c>
      <c r="J1385" s="53">
        <v>0</v>
      </c>
      <c r="K1385" s="53">
        <v>4600000</v>
      </c>
      <c r="L1385" s="53">
        <v>0</v>
      </c>
      <c r="M1385" s="53">
        <v>0</v>
      </c>
      <c r="N1385" s="53">
        <v>0</v>
      </c>
      <c r="O1385" s="53">
        <v>0</v>
      </c>
      <c r="P1385" s="53">
        <v>0</v>
      </c>
      <c r="Q1385" s="53">
        <v>0</v>
      </c>
      <c r="R1385" s="53">
        <v>0</v>
      </c>
    </row>
    <row r="1386" spans="1:18" x14ac:dyDescent="0.25">
      <c r="A1386" s="25" t="s">
        <v>91</v>
      </c>
      <c r="B1386" s="26">
        <v>2016</v>
      </c>
      <c r="C1386" s="74" t="s">
        <v>90</v>
      </c>
      <c r="D1386" s="27">
        <v>0</v>
      </c>
      <c r="E1386" s="53">
        <v>0</v>
      </c>
      <c r="F1386" s="53">
        <v>0</v>
      </c>
      <c r="G1386" s="53">
        <v>0</v>
      </c>
      <c r="H1386" s="53">
        <v>0</v>
      </c>
      <c r="I1386" s="53">
        <v>0</v>
      </c>
      <c r="J1386" s="53">
        <v>0</v>
      </c>
      <c r="K1386" s="53">
        <v>0</v>
      </c>
      <c r="L1386" s="53">
        <v>0</v>
      </c>
      <c r="M1386" s="53">
        <v>0</v>
      </c>
      <c r="N1386" s="53">
        <v>0</v>
      </c>
      <c r="O1386" s="53">
        <v>0</v>
      </c>
      <c r="P1386" s="53">
        <v>0</v>
      </c>
      <c r="Q1386" s="53">
        <v>0</v>
      </c>
      <c r="R1386" s="53">
        <v>0</v>
      </c>
    </row>
    <row r="1387" spans="1:18" x14ac:dyDescent="0.25">
      <c r="A1387" s="25" t="s">
        <v>89</v>
      </c>
      <c r="B1387" s="26">
        <v>2016</v>
      </c>
      <c r="C1387" s="74" t="s">
        <v>88</v>
      </c>
      <c r="D1387" s="27">
        <v>0</v>
      </c>
      <c r="E1387" s="53">
        <v>0</v>
      </c>
      <c r="F1387" s="53">
        <v>0</v>
      </c>
      <c r="G1387" s="53">
        <v>52456370</v>
      </c>
      <c r="H1387" s="53">
        <v>35136305.079999998</v>
      </c>
      <c r="I1387" s="53">
        <v>35136305.079999998</v>
      </c>
      <c r="J1387" s="53">
        <v>0</v>
      </c>
      <c r="K1387" s="53">
        <v>70272610.159999996</v>
      </c>
      <c r="L1387" s="53">
        <v>0</v>
      </c>
      <c r="M1387" s="53">
        <v>0</v>
      </c>
      <c r="N1387" s="53">
        <v>0</v>
      </c>
      <c r="O1387" s="53">
        <v>0</v>
      </c>
      <c r="P1387" s="53">
        <v>0</v>
      </c>
      <c r="Q1387" s="53">
        <v>0</v>
      </c>
      <c r="R1387" s="53">
        <v>0</v>
      </c>
    </row>
    <row r="1388" spans="1:18" x14ac:dyDescent="0.25">
      <c r="A1388" s="25" t="s">
        <v>87</v>
      </c>
      <c r="B1388" s="26">
        <v>2016</v>
      </c>
      <c r="C1388" s="74" t="s">
        <v>86</v>
      </c>
      <c r="D1388" s="27">
        <v>0</v>
      </c>
      <c r="E1388" s="53">
        <v>0</v>
      </c>
      <c r="F1388" s="53">
        <v>0</v>
      </c>
      <c r="G1388" s="53">
        <v>0</v>
      </c>
      <c r="H1388" s="53">
        <v>0</v>
      </c>
      <c r="I1388" s="53">
        <v>0</v>
      </c>
      <c r="J1388" s="53">
        <v>0</v>
      </c>
      <c r="K1388" s="53">
        <v>0</v>
      </c>
      <c r="L1388" s="53">
        <v>0</v>
      </c>
      <c r="M1388" s="53">
        <v>0</v>
      </c>
      <c r="N1388" s="53">
        <v>0</v>
      </c>
      <c r="O1388" s="53">
        <v>0</v>
      </c>
      <c r="P1388" s="53">
        <v>0</v>
      </c>
      <c r="Q1388" s="53">
        <v>0</v>
      </c>
      <c r="R1388" s="53">
        <v>0</v>
      </c>
    </row>
    <row r="1389" spans="1:18" x14ac:dyDescent="0.25">
      <c r="A1389" s="25" t="s">
        <v>85</v>
      </c>
      <c r="B1389" s="26">
        <v>2016</v>
      </c>
      <c r="C1389" s="74" t="s">
        <v>84</v>
      </c>
      <c r="D1389" s="27">
        <v>0</v>
      </c>
      <c r="E1389" s="53">
        <v>0</v>
      </c>
      <c r="F1389" s="53">
        <v>0</v>
      </c>
      <c r="G1389" s="53">
        <v>0</v>
      </c>
      <c r="H1389" s="53">
        <v>0</v>
      </c>
      <c r="I1389" s="53">
        <v>0</v>
      </c>
      <c r="J1389" s="53">
        <v>0</v>
      </c>
      <c r="K1389" s="53">
        <v>0</v>
      </c>
      <c r="L1389" s="53">
        <v>0</v>
      </c>
      <c r="M1389" s="53">
        <v>0</v>
      </c>
      <c r="N1389" s="53">
        <v>0</v>
      </c>
      <c r="O1389" s="53">
        <v>0</v>
      </c>
      <c r="P1389" s="53">
        <v>0</v>
      </c>
      <c r="Q1389" s="53">
        <v>0</v>
      </c>
      <c r="R1389" s="53">
        <v>0</v>
      </c>
    </row>
    <row r="1390" spans="1:18" x14ac:dyDescent="0.25">
      <c r="A1390" s="25" t="s">
        <v>393</v>
      </c>
      <c r="B1390" s="26">
        <v>2016</v>
      </c>
      <c r="C1390" s="74" t="s">
        <v>392</v>
      </c>
      <c r="D1390" s="27">
        <v>0</v>
      </c>
      <c r="E1390" s="53">
        <v>0</v>
      </c>
      <c r="F1390" s="53">
        <v>0</v>
      </c>
      <c r="G1390" s="53">
        <v>0</v>
      </c>
      <c r="H1390" s="53">
        <v>0</v>
      </c>
      <c r="I1390" s="53">
        <v>0</v>
      </c>
      <c r="J1390" s="53">
        <v>0</v>
      </c>
      <c r="K1390" s="53">
        <v>0</v>
      </c>
      <c r="L1390" s="53">
        <v>0</v>
      </c>
      <c r="M1390" s="53">
        <v>0</v>
      </c>
      <c r="N1390" s="53">
        <v>0</v>
      </c>
      <c r="O1390" s="53">
        <v>0</v>
      </c>
      <c r="P1390" s="53">
        <v>0</v>
      </c>
      <c r="Q1390" s="53">
        <v>0</v>
      </c>
      <c r="R1390" s="53">
        <v>0</v>
      </c>
    </row>
    <row r="1391" spans="1:18" x14ac:dyDescent="0.25">
      <c r="A1391" s="25" t="s">
        <v>83</v>
      </c>
      <c r="B1391" s="26">
        <v>2016</v>
      </c>
      <c r="C1391" s="74" t="s">
        <v>82</v>
      </c>
      <c r="D1391" s="27">
        <v>0</v>
      </c>
      <c r="E1391" s="53">
        <v>0</v>
      </c>
      <c r="F1391" s="53">
        <v>0</v>
      </c>
      <c r="G1391" s="53">
        <v>69700188.519999996</v>
      </c>
      <c r="H1391" s="53">
        <v>47842394.060000002</v>
      </c>
      <c r="I1391" s="53">
        <v>28730062.550000001</v>
      </c>
      <c r="J1391" s="53">
        <v>1939608.42</v>
      </c>
      <c r="K1391" s="53">
        <v>168404367.88</v>
      </c>
      <c r="L1391" s="53">
        <v>0</v>
      </c>
      <c r="M1391" s="53">
        <v>0</v>
      </c>
      <c r="N1391" s="53">
        <v>0</v>
      </c>
      <c r="O1391" s="53">
        <v>0</v>
      </c>
      <c r="P1391" s="53">
        <v>0</v>
      </c>
      <c r="Q1391" s="53">
        <v>0</v>
      </c>
      <c r="R1391" s="53">
        <v>0</v>
      </c>
    </row>
    <row r="1392" spans="1:18" x14ac:dyDescent="0.25">
      <c r="A1392" s="25" t="s">
        <v>80</v>
      </c>
      <c r="B1392" s="26">
        <v>2016</v>
      </c>
      <c r="C1392" s="74" t="s">
        <v>79</v>
      </c>
      <c r="D1392" s="27">
        <v>0</v>
      </c>
      <c r="E1392" s="53">
        <v>0</v>
      </c>
      <c r="F1392" s="53">
        <v>0</v>
      </c>
      <c r="G1392" s="53">
        <v>0</v>
      </c>
      <c r="H1392" s="53">
        <v>0</v>
      </c>
      <c r="I1392" s="53">
        <v>100000000</v>
      </c>
      <c r="J1392" s="53">
        <v>0</v>
      </c>
      <c r="K1392" s="53">
        <v>0</v>
      </c>
      <c r="L1392" s="53">
        <v>0</v>
      </c>
      <c r="M1392" s="53">
        <v>0</v>
      </c>
      <c r="N1392" s="53">
        <v>0</v>
      </c>
      <c r="O1392" s="53">
        <v>0</v>
      </c>
      <c r="P1392" s="53">
        <v>0</v>
      </c>
      <c r="Q1392" s="53">
        <v>0</v>
      </c>
      <c r="R1392" s="53">
        <v>0</v>
      </c>
    </row>
    <row r="1393" spans="1:18" x14ac:dyDescent="0.25">
      <c r="A1393" s="25" t="s">
        <v>78</v>
      </c>
      <c r="B1393" s="26">
        <v>2016</v>
      </c>
      <c r="C1393" s="74" t="s">
        <v>77</v>
      </c>
      <c r="D1393" s="27">
        <v>0</v>
      </c>
      <c r="E1393" s="53">
        <v>0</v>
      </c>
      <c r="F1393" s="53">
        <v>0</v>
      </c>
      <c r="G1393" s="53">
        <v>0</v>
      </c>
      <c r="H1393" s="53">
        <v>0</v>
      </c>
      <c r="I1393" s="53">
        <v>0</v>
      </c>
      <c r="J1393" s="53">
        <v>0</v>
      </c>
      <c r="K1393" s="53">
        <v>345200000</v>
      </c>
      <c r="L1393" s="53">
        <v>0</v>
      </c>
      <c r="M1393" s="53">
        <v>0</v>
      </c>
      <c r="N1393" s="53">
        <v>0</v>
      </c>
      <c r="O1393" s="53">
        <v>0</v>
      </c>
      <c r="P1393" s="53">
        <v>0</v>
      </c>
      <c r="Q1393" s="53">
        <v>0</v>
      </c>
      <c r="R1393" s="53">
        <v>0</v>
      </c>
    </row>
    <row r="1394" spans="1:18" x14ac:dyDescent="0.25">
      <c r="A1394" s="25" t="s">
        <v>76</v>
      </c>
      <c r="B1394" s="26">
        <v>2016</v>
      </c>
      <c r="C1394" s="74" t="s">
        <v>75</v>
      </c>
      <c r="D1394" s="27">
        <v>0</v>
      </c>
      <c r="E1394" s="53">
        <v>0</v>
      </c>
      <c r="F1394" s="53">
        <v>0</v>
      </c>
      <c r="G1394" s="53">
        <v>0</v>
      </c>
      <c r="H1394" s="53">
        <v>0</v>
      </c>
      <c r="I1394" s="53">
        <v>0</v>
      </c>
      <c r="J1394" s="53">
        <v>0</v>
      </c>
      <c r="K1394" s="53">
        <v>14700000</v>
      </c>
      <c r="L1394" s="53">
        <v>0</v>
      </c>
      <c r="M1394" s="53">
        <v>0</v>
      </c>
      <c r="N1394" s="53">
        <v>0</v>
      </c>
      <c r="O1394" s="53">
        <v>0</v>
      </c>
      <c r="P1394" s="53">
        <v>0</v>
      </c>
      <c r="Q1394" s="53">
        <v>0</v>
      </c>
      <c r="R1394" s="53">
        <v>0</v>
      </c>
    </row>
    <row r="1395" spans="1:18" x14ac:dyDescent="0.25">
      <c r="A1395" s="25" t="s">
        <v>74</v>
      </c>
      <c r="B1395" s="26">
        <v>2016</v>
      </c>
      <c r="C1395" s="74" t="s">
        <v>73</v>
      </c>
      <c r="D1395" s="27">
        <v>0</v>
      </c>
      <c r="E1395" s="53">
        <v>0</v>
      </c>
      <c r="F1395" s="53">
        <v>0</v>
      </c>
      <c r="G1395" s="53">
        <v>0</v>
      </c>
      <c r="H1395" s="53">
        <v>15000000</v>
      </c>
      <c r="I1395" s="53">
        <v>0</v>
      </c>
      <c r="J1395" s="53">
        <v>0</v>
      </c>
      <c r="K1395" s="53">
        <v>30300000</v>
      </c>
      <c r="L1395" s="53">
        <v>0</v>
      </c>
      <c r="M1395" s="53">
        <v>0</v>
      </c>
      <c r="N1395" s="53">
        <v>0</v>
      </c>
      <c r="O1395" s="53">
        <v>0</v>
      </c>
      <c r="P1395" s="53">
        <v>0</v>
      </c>
      <c r="Q1395" s="53">
        <v>0</v>
      </c>
      <c r="R1395" s="53">
        <v>0</v>
      </c>
    </row>
    <row r="1396" spans="1:18" x14ac:dyDescent="0.25">
      <c r="A1396" s="25" t="s">
        <v>72</v>
      </c>
      <c r="B1396" s="26">
        <v>2016</v>
      </c>
      <c r="C1396" s="74" t="s">
        <v>71</v>
      </c>
      <c r="D1396" s="27">
        <v>0</v>
      </c>
      <c r="E1396" s="53">
        <v>0</v>
      </c>
      <c r="F1396" s="53">
        <v>0</v>
      </c>
      <c r="G1396" s="53">
        <v>0</v>
      </c>
      <c r="H1396" s="53">
        <v>0</v>
      </c>
      <c r="I1396" s="53">
        <v>0</v>
      </c>
      <c r="J1396" s="53">
        <v>0</v>
      </c>
      <c r="K1396" s="53">
        <v>0</v>
      </c>
      <c r="L1396" s="53">
        <v>0</v>
      </c>
      <c r="M1396" s="53">
        <v>0</v>
      </c>
      <c r="N1396" s="53">
        <v>0</v>
      </c>
      <c r="O1396" s="53">
        <v>0</v>
      </c>
      <c r="P1396" s="53">
        <v>0</v>
      </c>
      <c r="Q1396" s="53">
        <v>0</v>
      </c>
      <c r="R1396" s="53">
        <v>0</v>
      </c>
    </row>
    <row r="1397" spans="1:18" x14ac:dyDescent="0.25">
      <c r="A1397" s="25" t="s">
        <v>70</v>
      </c>
      <c r="B1397" s="26">
        <v>2016</v>
      </c>
      <c r="C1397" s="74" t="s">
        <v>69</v>
      </c>
      <c r="D1397" s="27">
        <v>0</v>
      </c>
      <c r="E1397" s="53">
        <v>0</v>
      </c>
      <c r="F1397" s="53">
        <v>0</v>
      </c>
      <c r="G1397" s="53">
        <v>0</v>
      </c>
      <c r="H1397" s="53">
        <v>0</v>
      </c>
      <c r="I1397" s="53">
        <v>0</v>
      </c>
      <c r="J1397" s="53">
        <v>0</v>
      </c>
      <c r="K1397" s="53">
        <v>0</v>
      </c>
      <c r="L1397" s="53">
        <v>0</v>
      </c>
      <c r="M1397" s="53">
        <v>0</v>
      </c>
      <c r="N1397" s="53">
        <v>0</v>
      </c>
      <c r="O1397" s="53">
        <v>0</v>
      </c>
      <c r="P1397" s="53">
        <v>0</v>
      </c>
      <c r="Q1397" s="53">
        <v>0</v>
      </c>
      <c r="R1397" s="53">
        <v>0</v>
      </c>
    </row>
    <row r="1398" spans="1:18" x14ac:dyDescent="0.25">
      <c r="A1398" s="25" t="s">
        <v>68</v>
      </c>
      <c r="B1398" s="26">
        <v>2016</v>
      </c>
      <c r="C1398" s="74" t="s">
        <v>67</v>
      </c>
      <c r="D1398" s="27">
        <v>0</v>
      </c>
      <c r="E1398" s="53">
        <v>0</v>
      </c>
      <c r="F1398" s="53">
        <v>0</v>
      </c>
      <c r="G1398" s="53">
        <v>0</v>
      </c>
      <c r="H1398" s="53">
        <v>444800000</v>
      </c>
      <c r="I1398" s="53">
        <v>0</v>
      </c>
      <c r="J1398" s="53">
        <v>0</v>
      </c>
      <c r="K1398" s="53">
        <v>0</v>
      </c>
      <c r="L1398" s="53">
        <v>0</v>
      </c>
      <c r="M1398" s="53">
        <v>0</v>
      </c>
      <c r="N1398" s="53">
        <v>0</v>
      </c>
      <c r="O1398" s="53">
        <v>0</v>
      </c>
      <c r="P1398" s="53">
        <v>0</v>
      </c>
      <c r="Q1398" s="53">
        <v>0</v>
      </c>
      <c r="R1398" s="53">
        <v>0</v>
      </c>
    </row>
    <row r="1399" spans="1:18" x14ac:dyDescent="0.25">
      <c r="A1399" s="25" t="s">
        <v>66</v>
      </c>
      <c r="B1399" s="26">
        <v>2016</v>
      </c>
      <c r="C1399" s="74" t="s">
        <v>65</v>
      </c>
      <c r="D1399" s="27">
        <v>0</v>
      </c>
      <c r="E1399" s="53">
        <v>0</v>
      </c>
      <c r="F1399" s="53">
        <v>0</v>
      </c>
      <c r="G1399" s="53">
        <v>7858334</v>
      </c>
      <c r="H1399" s="53">
        <v>7858334</v>
      </c>
      <c r="I1399" s="53">
        <v>7858334</v>
      </c>
      <c r="J1399" s="53">
        <v>7858334</v>
      </c>
      <c r="K1399" s="53">
        <v>7858334</v>
      </c>
      <c r="L1399" s="53">
        <v>0</v>
      </c>
      <c r="M1399" s="53">
        <v>0</v>
      </c>
      <c r="N1399" s="53">
        <v>0</v>
      </c>
      <c r="O1399" s="53">
        <v>0</v>
      </c>
      <c r="P1399" s="53">
        <v>0</v>
      </c>
      <c r="Q1399" s="53">
        <v>0</v>
      </c>
      <c r="R1399" s="53">
        <v>0</v>
      </c>
    </row>
    <row r="1400" spans="1:18" x14ac:dyDescent="0.25">
      <c r="A1400" s="25" t="s">
        <v>64</v>
      </c>
      <c r="B1400" s="26">
        <v>2016</v>
      </c>
      <c r="C1400" s="74" t="s">
        <v>63</v>
      </c>
      <c r="D1400" s="27">
        <v>0</v>
      </c>
      <c r="E1400" s="53">
        <v>0</v>
      </c>
      <c r="F1400" s="53">
        <v>0</v>
      </c>
      <c r="G1400" s="53">
        <v>0</v>
      </c>
      <c r="H1400" s="53">
        <v>0</v>
      </c>
      <c r="I1400" s="53">
        <v>0</v>
      </c>
      <c r="J1400" s="53">
        <v>0</v>
      </c>
      <c r="K1400" s="53">
        <v>0</v>
      </c>
      <c r="L1400" s="53">
        <v>0</v>
      </c>
      <c r="M1400" s="53">
        <v>0</v>
      </c>
      <c r="N1400" s="53">
        <v>0</v>
      </c>
      <c r="O1400" s="53">
        <v>0</v>
      </c>
      <c r="P1400" s="53">
        <v>0</v>
      </c>
      <c r="Q1400" s="53">
        <v>0</v>
      </c>
      <c r="R1400" s="53">
        <v>0</v>
      </c>
    </row>
    <row r="1401" spans="1:18" x14ac:dyDescent="0.25">
      <c r="A1401" s="25" t="s">
        <v>62</v>
      </c>
      <c r="B1401" s="26">
        <v>2016</v>
      </c>
      <c r="C1401" s="74" t="s">
        <v>61</v>
      </c>
      <c r="D1401" s="27">
        <v>0</v>
      </c>
      <c r="E1401" s="53">
        <v>0</v>
      </c>
      <c r="F1401" s="53">
        <v>0</v>
      </c>
      <c r="G1401" s="53">
        <v>0</v>
      </c>
      <c r="H1401" s="53">
        <v>21000000</v>
      </c>
      <c r="I1401" s="53">
        <v>0</v>
      </c>
      <c r="J1401" s="53">
        <v>0</v>
      </c>
      <c r="K1401" s="53">
        <v>0</v>
      </c>
      <c r="L1401" s="53">
        <v>0</v>
      </c>
      <c r="M1401" s="53">
        <v>0</v>
      </c>
      <c r="N1401" s="53">
        <v>0</v>
      </c>
      <c r="O1401" s="53">
        <v>0</v>
      </c>
      <c r="P1401" s="53">
        <v>0</v>
      </c>
      <c r="Q1401" s="53">
        <v>0</v>
      </c>
      <c r="R1401" s="53">
        <v>0</v>
      </c>
    </row>
    <row r="1402" spans="1:18" x14ac:dyDescent="0.25">
      <c r="A1402" s="25" t="s">
        <v>60</v>
      </c>
      <c r="B1402" s="26">
        <v>2016</v>
      </c>
      <c r="C1402" s="74" t="s">
        <v>59</v>
      </c>
      <c r="D1402" s="27">
        <v>0</v>
      </c>
      <c r="E1402" s="53">
        <v>0</v>
      </c>
      <c r="F1402" s="53">
        <v>0</v>
      </c>
      <c r="G1402" s="53">
        <v>0</v>
      </c>
      <c r="H1402" s="53">
        <v>0</v>
      </c>
      <c r="I1402" s="53">
        <v>0</v>
      </c>
      <c r="J1402" s="53">
        <v>0</v>
      </c>
      <c r="K1402" s="53">
        <v>0</v>
      </c>
      <c r="L1402" s="53">
        <v>0</v>
      </c>
      <c r="M1402" s="53">
        <v>0</v>
      </c>
      <c r="N1402" s="53">
        <v>0</v>
      </c>
      <c r="O1402" s="53">
        <v>0</v>
      </c>
      <c r="P1402" s="53">
        <v>0</v>
      </c>
      <c r="Q1402" s="53">
        <v>0</v>
      </c>
      <c r="R1402" s="53">
        <v>0</v>
      </c>
    </row>
    <row r="1403" spans="1:18" x14ac:dyDescent="0.25">
      <c r="A1403" s="25" t="s">
        <v>57</v>
      </c>
      <c r="B1403" s="26">
        <v>2016</v>
      </c>
      <c r="C1403" s="74" t="s">
        <v>56</v>
      </c>
      <c r="D1403" s="27">
        <v>0</v>
      </c>
      <c r="E1403" s="53">
        <v>0</v>
      </c>
      <c r="F1403" s="53">
        <v>0</v>
      </c>
      <c r="G1403" s="53">
        <v>26890500</v>
      </c>
      <c r="H1403" s="53">
        <v>0</v>
      </c>
      <c r="I1403" s="53">
        <v>0</v>
      </c>
      <c r="J1403" s="53">
        <v>0</v>
      </c>
      <c r="K1403" s="53">
        <v>0</v>
      </c>
      <c r="L1403" s="53">
        <v>0</v>
      </c>
      <c r="M1403" s="53">
        <v>0</v>
      </c>
      <c r="N1403" s="53">
        <v>0</v>
      </c>
      <c r="O1403" s="53">
        <v>0</v>
      </c>
      <c r="P1403" s="53">
        <v>0</v>
      </c>
      <c r="Q1403" s="53">
        <v>0</v>
      </c>
      <c r="R1403" s="53">
        <v>0</v>
      </c>
    </row>
    <row r="1404" spans="1:18" x14ac:dyDescent="0.25">
      <c r="A1404" s="25" t="s">
        <v>389</v>
      </c>
      <c r="B1404" s="26">
        <v>2016</v>
      </c>
      <c r="C1404" s="74" t="s">
        <v>388</v>
      </c>
      <c r="D1404" s="27">
        <v>0</v>
      </c>
      <c r="E1404" s="53">
        <v>0</v>
      </c>
      <c r="F1404" s="53">
        <v>0</v>
      </c>
      <c r="G1404" s="53">
        <v>480306478.39999998</v>
      </c>
      <c r="H1404" s="53">
        <v>0</v>
      </c>
      <c r="I1404" s="53">
        <v>0</v>
      </c>
      <c r="J1404" s="53">
        <v>0</v>
      </c>
      <c r="K1404" s="53">
        <v>136396719.36000001</v>
      </c>
      <c r="L1404" s="53">
        <v>0</v>
      </c>
      <c r="M1404" s="53">
        <v>0</v>
      </c>
      <c r="N1404" s="53">
        <v>0</v>
      </c>
      <c r="O1404" s="53">
        <v>0</v>
      </c>
      <c r="P1404" s="53">
        <v>0</v>
      </c>
      <c r="Q1404" s="53">
        <v>0</v>
      </c>
      <c r="R1404" s="53">
        <v>0</v>
      </c>
    </row>
    <row r="1405" spans="1:18" x14ac:dyDescent="0.25">
      <c r="A1405" s="25" t="s">
        <v>387</v>
      </c>
      <c r="B1405" s="26">
        <v>2016</v>
      </c>
      <c r="C1405" s="74" t="s">
        <v>386</v>
      </c>
      <c r="D1405" s="27">
        <v>0</v>
      </c>
      <c r="E1405" s="53">
        <v>0</v>
      </c>
      <c r="F1405" s="53">
        <v>0</v>
      </c>
      <c r="G1405" s="53">
        <v>561495892.44000006</v>
      </c>
      <c r="H1405" s="53">
        <v>0</v>
      </c>
      <c r="I1405" s="53">
        <v>0</v>
      </c>
      <c r="J1405" s="53">
        <v>0</v>
      </c>
      <c r="K1405" s="53">
        <v>0</v>
      </c>
      <c r="L1405" s="53">
        <v>0</v>
      </c>
      <c r="M1405" s="53">
        <v>0</v>
      </c>
      <c r="N1405" s="53">
        <v>0</v>
      </c>
      <c r="O1405" s="53">
        <v>0</v>
      </c>
      <c r="P1405" s="53">
        <v>0</v>
      </c>
      <c r="Q1405" s="53">
        <v>0</v>
      </c>
      <c r="R1405" s="53">
        <v>0</v>
      </c>
    </row>
    <row r="1406" spans="1:18" x14ac:dyDescent="0.25">
      <c r="A1406" s="25" t="s">
        <v>367</v>
      </c>
      <c r="B1406" s="26">
        <v>2016</v>
      </c>
      <c r="C1406" s="74" t="s">
        <v>385</v>
      </c>
      <c r="D1406" s="27">
        <v>0</v>
      </c>
      <c r="E1406" s="53">
        <v>0</v>
      </c>
      <c r="F1406" s="53">
        <v>0</v>
      </c>
      <c r="G1406" s="53">
        <v>3437685027.1500001</v>
      </c>
      <c r="H1406" s="53">
        <v>0</v>
      </c>
      <c r="I1406" s="53">
        <v>0</v>
      </c>
      <c r="J1406" s="53">
        <v>0</v>
      </c>
      <c r="K1406" s="53">
        <v>0</v>
      </c>
      <c r="L1406" s="53">
        <v>0</v>
      </c>
      <c r="M1406" s="53">
        <v>0</v>
      </c>
      <c r="N1406" s="53">
        <v>0</v>
      </c>
      <c r="O1406" s="53">
        <v>0</v>
      </c>
      <c r="P1406" s="53">
        <v>0</v>
      </c>
      <c r="Q1406" s="53">
        <v>0</v>
      </c>
      <c r="R1406" s="53">
        <v>0</v>
      </c>
    </row>
    <row r="1407" spans="1:18" x14ac:dyDescent="0.25">
      <c r="A1407" s="25" t="s">
        <v>366</v>
      </c>
      <c r="B1407" s="26">
        <v>2016</v>
      </c>
      <c r="C1407" s="74" t="s">
        <v>384</v>
      </c>
      <c r="D1407" s="27">
        <v>0</v>
      </c>
      <c r="E1407" s="53">
        <v>0</v>
      </c>
      <c r="F1407" s="53">
        <v>0</v>
      </c>
      <c r="G1407" s="53">
        <v>0</v>
      </c>
      <c r="H1407" s="53">
        <v>0</v>
      </c>
      <c r="I1407" s="53">
        <v>0</v>
      </c>
      <c r="J1407" s="53">
        <v>0</v>
      </c>
      <c r="K1407" s="53">
        <v>0</v>
      </c>
      <c r="L1407" s="53">
        <v>0</v>
      </c>
      <c r="M1407" s="53">
        <v>0</v>
      </c>
      <c r="N1407" s="53">
        <v>0</v>
      </c>
      <c r="O1407" s="53">
        <v>0</v>
      </c>
      <c r="P1407" s="53">
        <v>0</v>
      </c>
      <c r="Q1407" s="53">
        <v>0</v>
      </c>
      <c r="R1407" s="53">
        <v>0</v>
      </c>
    </row>
    <row r="1408" spans="1:18" x14ac:dyDescent="0.25">
      <c r="A1408" s="25" t="s">
        <v>49</v>
      </c>
      <c r="B1408" s="26">
        <v>2016</v>
      </c>
      <c r="C1408" s="74" t="s">
        <v>48</v>
      </c>
      <c r="D1408" s="27">
        <v>0</v>
      </c>
      <c r="E1408" s="53">
        <v>0</v>
      </c>
      <c r="F1408" s="53">
        <v>0</v>
      </c>
      <c r="G1408" s="53">
        <v>0</v>
      </c>
      <c r="H1408" s="53">
        <v>21699430954</v>
      </c>
      <c r="I1408" s="53">
        <v>13329227281.110001</v>
      </c>
      <c r="J1408" s="53">
        <v>20299149264.620003</v>
      </c>
      <c r="K1408" s="53">
        <v>17807336061.370003</v>
      </c>
      <c r="L1408" s="53">
        <v>0</v>
      </c>
      <c r="M1408" s="53">
        <v>0</v>
      </c>
      <c r="N1408" s="53">
        <v>0</v>
      </c>
      <c r="O1408" s="53">
        <v>0</v>
      </c>
      <c r="P1408" s="53">
        <v>0</v>
      </c>
      <c r="Q1408" s="53">
        <v>0</v>
      </c>
      <c r="R1408" s="53">
        <v>0</v>
      </c>
    </row>
    <row r="1409" spans="1:18" x14ac:dyDescent="0.25">
      <c r="A1409" s="25" t="s">
        <v>43</v>
      </c>
      <c r="B1409" s="26">
        <v>2016</v>
      </c>
      <c r="C1409" s="74" t="s">
        <v>42</v>
      </c>
      <c r="D1409" s="27">
        <v>0</v>
      </c>
      <c r="E1409" s="53">
        <v>0</v>
      </c>
      <c r="F1409" s="53">
        <v>0</v>
      </c>
      <c r="G1409" s="53">
        <v>182429897497.26999</v>
      </c>
      <c r="H1409" s="53">
        <v>50942524732.07</v>
      </c>
      <c r="I1409" s="53">
        <v>167743962033.38</v>
      </c>
      <c r="J1409" s="53">
        <v>191091607701.89999</v>
      </c>
      <c r="K1409" s="53">
        <v>223762231425.26001</v>
      </c>
      <c r="L1409" s="53">
        <v>0</v>
      </c>
      <c r="M1409" s="53">
        <v>0</v>
      </c>
      <c r="N1409" s="53">
        <v>0</v>
      </c>
      <c r="O1409" s="53">
        <v>0</v>
      </c>
      <c r="P1409" s="53">
        <v>0</v>
      </c>
      <c r="Q1409" s="53">
        <v>0</v>
      </c>
      <c r="R1409" s="53">
        <v>0</v>
      </c>
    </row>
    <row r="1410" spans="1:18" x14ac:dyDescent="0.25">
      <c r="A1410" s="25" t="s">
        <v>47</v>
      </c>
      <c r="B1410" s="26">
        <v>2016</v>
      </c>
      <c r="C1410" s="74" t="s">
        <v>46</v>
      </c>
      <c r="D1410" s="27">
        <v>0</v>
      </c>
      <c r="E1410" s="53">
        <v>0</v>
      </c>
      <c r="F1410" s="53">
        <v>0</v>
      </c>
      <c r="G1410" s="53">
        <v>0</v>
      </c>
      <c r="H1410" s="53">
        <v>0</v>
      </c>
      <c r="I1410" s="53">
        <v>0</v>
      </c>
      <c r="J1410" s="53">
        <v>0</v>
      </c>
      <c r="K1410" s="53">
        <v>0</v>
      </c>
      <c r="L1410" s="53">
        <v>0</v>
      </c>
      <c r="M1410" s="53">
        <v>0</v>
      </c>
      <c r="N1410" s="53">
        <v>0</v>
      </c>
      <c r="O1410" s="53">
        <v>0</v>
      </c>
      <c r="P1410" s="53">
        <v>0</v>
      </c>
      <c r="Q1410" s="53">
        <v>0</v>
      </c>
      <c r="R1410" s="53">
        <v>0</v>
      </c>
    </row>
    <row r="1411" spans="1:18" x14ac:dyDescent="0.25">
      <c r="A1411" s="25" t="s">
        <v>45</v>
      </c>
      <c r="B1411" s="26">
        <v>2016</v>
      </c>
      <c r="C1411" s="74" t="s">
        <v>44</v>
      </c>
      <c r="D1411" s="27">
        <v>0</v>
      </c>
      <c r="E1411" s="53">
        <v>0</v>
      </c>
      <c r="F1411" s="53">
        <v>0</v>
      </c>
      <c r="G1411" s="53">
        <v>0</v>
      </c>
      <c r="H1411" s="53">
        <v>0</v>
      </c>
      <c r="I1411" s="53">
        <v>0</v>
      </c>
      <c r="J1411" s="53">
        <v>0</v>
      </c>
      <c r="K1411" s="53">
        <v>0</v>
      </c>
      <c r="L1411" s="53">
        <v>0</v>
      </c>
      <c r="M1411" s="53">
        <v>0</v>
      </c>
      <c r="N1411" s="53">
        <v>0</v>
      </c>
      <c r="O1411" s="53">
        <v>0</v>
      </c>
      <c r="P1411" s="53">
        <v>0</v>
      </c>
      <c r="Q1411" s="53">
        <v>0</v>
      </c>
      <c r="R1411" s="53">
        <v>0</v>
      </c>
    </row>
    <row r="1412" spans="1:18" x14ac:dyDescent="0.25">
      <c r="A1412" s="25" t="s">
        <v>41</v>
      </c>
      <c r="B1412" s="26">
        <v>2016</v>
      </c>
      <c r="C1412" s="74" t="s">
        <v>40</v>
      </c>
      <c r="D1412" s="27">
        <v>0</v>
      </c>
      <c r="E1412" s="53">
        <v>0</v>
      </c>
      <c r="F1412" s="53"/>
      <c r="G1412" s="53">
        <v>0</v>
      </c>
      <c r="H1412" s="53">
        <v>0</v>
      </c>
      <c r="I1412" s="53">
        <v>0</v>
      </c>
      <c r="J1412" s="53">
        <v>1460376072.0999999</v>
      </c>
      <c r="K1412" s="53">
        <v>716995654.32000017</v>
      </c>
      <c r="L1412" s="53">
        <v>0</v>
      </c>
      <c r="M1412" s="53">
        <v>0</v>
      </c>
      <c r="N1412" s="53">
        <v>0</v>
      </c>
      <c r="O1412" s="53">
        <v>0</v>
      </c>
      <c r="P1412" s="53">
        <v>0</v>
      </c>
      <c r="Q1412" s="53">
        <v>0</v>
      </c>
      <c r="R1412" s="53">
        <v>0</v>
      </c>
    </row>
    <row r="1413" spans="1:18" x14ac:dyDescent="0.25">
      <c r="A1413" s="25" t="s">
        <v>37</v>
      </c>
      <c r="B1413" s="26">
        <v>2016</v>
      </c>
      <c r="C1413" s="74" t="s">
        <v>36</v>
      </c>
      <c r="D1413" s="27">
        <v>0</v>
      </c>
      <c r="E1413" s="53">
        <v>0</v>
      </c>
      <c r="F1413" s="53"/>
      <c r="G1413" s="53">
        <v>0</v>
      </c>
      <c r="H1413" s="53">
        <v>70010636.319999993</v>
      </c>
      <c r="I1413" s="53">
        <v>0</v>
      </c>
      <c r="J1413" s="53">
        <v>8140800</v>
      </c>
      <c r="K1413" s="53">
        <v>0</v>
      </c>
      <c r="L1413" s="53">
        <v>0</v>
      </c>
      <c r="M1413" s="53">
        <v>0</v>
      </c>
      <c r="N1413" s="53">
        <v>0</v>
      </c>
      <c r="O1413" s="53">
        <v>0</v>
      </c>
      <c r="P1413" s="53">
        <v>0</v>
      </c>
      <c r="Q1413" s="53">
        <v>0</v>
      </c>
      <c r="R1413" s="53">
        <v>0</v>
      </c>
    </row>
    <row r="1414" spans="1:18" x14ac:dyDescent="0.25">
      <c r="A1414" s="25" t="s">
        <v>35</v>
      </c>
      <c r="B1414" s="26">
        <v>2016</v>
      </c>
      <c r="C1414" s="74" t="s">
        <v>34</v>
      </c>
      <c r="D1414" s="27">
        <v>0</v>
      </c>
      <c r="E1414" s="53">
        <v>0</v>
      </c>
      <c r="F1414" s="53"/>
      <c r="G1414" s="53">
        <v>0</v>
      </c>
      <c r="H1414" s="53">
        <v>22408570109.900002</v>
      </c>
      <c r="I1414" s="53">
        <v>0</v>
      </c>
      <c r="J1414" s="53">
        <v>0</v>
      </c>
      <c r="K1414" s="53">
        <v>0</v>
      </c>
      <c r="L1414" s="53">
        <v>0</v>
      </c>
      <c r="M1414" s="53">
        <v>0</v>
      </c>
      <c r="N1414" s="53">
        <v>0</v>
      </c>
      <c r="O1414" s="53">
        <v>0</v>
      </c>
      <c r="P1414" s="53">
        <v>0</v>
      </c>
      <c r="Q1414" s="53">
        <v>0</v>
      </c>
      <c r="R1414" s="53">
        <v>0</v>
      </c>
    </row>
    <row r="1415" spans="1:18" x14ac:dyDescent="0.25">
      <c r="A1415" s="25" t="s">
        <v>33</v>
      </c>
      <c r="B1415" s="26">
        <v>2016</v>
      </c>
      <c r="C1415" s="74" t="s">
        <v>32</v>
      </c>
      <c r="D1415" s="27">
        <v>0</v>
      </c>
      <c r="E1415" s="53">
        <v>0</v>
      </c>
      <c r="F1415" s="53"/>
      <c r="G1415" s="53">
        <v>3589872</v>
      </c>
      <c r="H1415" s="53">
        <v>1371835052.5699999</v>
      </c>
      <c r="I1415" s="53">
        <v>798427460.95000005</v>
      </c>
      <c r="J1415" s="53">
        <v>664911950.49000001</v>
      </c>
      <c r="K1415" s="53">
        <v>267946762.78</v>
      </c>
      <c r="L1415" s="53">
        <v>0</v>
      </c>
      <c r="M1415" s="53">
        <v>0</v>
      </c>
      <c r="N1415" s="53">
        <v>0</v>
      </c>
      <c r="O1415" s="53">
        <v>0</v>
      </c>
      <c r="P1415" s="53">
        <v>0</v>
      </c>
      <c r="Q1415" s="53">
        <v>0</v>
      </c>
      <c r="R1415" s="53">
        <v>0</v>
      </c>
    </row>
    <row r="1416" spans="1:18" x14ac:dyDescent="0.25">
      <c r="A1416" s="25" t="s">
        <v>31</v>
      </c>
      <c r="B1416" s="26">
        <v>2016</v>
      </c>
      <c r="C1416" s="74" t="s">
        <v>30</v>
      </c>
      <c r="D1416" s="27">
        <v>0</v>
      </c>
      <c r="E1416" s="53">
        <v>0</v>
      </c>
      <c r="F1416" s="53"/>
      <c r="G1416" s="53">
        <v>0</v>
      </c>
      <c r="H1416" s="53">
        <v>271080000</v>
      </c>
      <c r="I1416" s="53">
        <v>719514263.16999996</v>
      </c>
      <c r="J1416" s="53">
        <v>1332650030.0899999</v>
      </c>
      <c r="K1416" s="53">
        <v>0</v>
      </c>
      <c r="L1416" s="53">
        <v>0</v>
      </c>
      <c r="M1416" s="53">
        <v>0</v>
      </c>
      <c r="N1416" s="53">
        <v>0</v>
      </c>
      <c r="O1416" s="53">
        <v>0</v>
      </c>
      <c r="P1416" s="53">
        <v>0</v>
      </c>
      <c r="Q1416" s="53">
        <v>0</v>
      </c>
      <c r="R1416" s="53">
        <v>0</v>
      </c>
    </row>
    <row r="1417" spans="1:18" x14ac:dyDescent="0.25">
      <c r="A1417" s="25" t="s">
        <v>29</v>
      </c>
      <c r="B1417" s="26">
        <v>2016</v>
      </c>
      <c r="C1417" s="74" t="s">
        <v>28</v>
      </c>
      <c r="D1417" s="27">
        <v>0</v>
      </c>
      <c r="E1417" s="53">
        <v>0</v>
      </c>
      <c r="F1417" s="53"/>
      <c r="G1417" s="53">
        <v>0</v>
      </c>
      <c r="H1417" s="53">
        <v>0</v>
      </c>
      <c r="I1417" s="53">
        <v>0</v>
      </c>
      <c r="J1417" s="53">
        <v>0</v>
      </c>
      <c r="K1417" s="53">
        <v>0</v>
      </c>
      <c r="L1417" s="53">
        <v>0</v>
      </c>
      <c r="M1417" s="53">
        <v>0</v>
      </c>
      <c r="N1417" s="53">
        <v>0</v>
      </c>
      <c r="O1417" s="53">
        <v>0</v>
      </c>
      <c r="P1417" s="53">
        <v>0</v>
      </c>
      <c r="Q1417" s="53">
        <v>0</v>
      </c>
      <c r="R1417" s="53">
        <v>0</v>
      </c>
    </row>
    <row r="1418" spans="1:18" x14ac:dyDescent="0.25">
      <c r="A1418" s="25" t="s">
        <v>27</v>
      </c>
      <c r="B1418" s="26">
        <v>2016</v>
      </c>
      <c r="C1418" s="74" t="s">
        <v>26</v>
      </c>
      <c r="D1418" s="27">
        <v>0</v>
      </c>
      <c r="E1418" s="53">
        <v>0</v>
      </c>
      <c r="F1418" s="53"/>
      <c r="G1418" s="53">
        <v>399163621.14999998</v>
      </c>
      <c r="H1418" s="53">
        <v>137011626.94999999</v>
      </c>
      <c r="I1418" s="53">
        <v>97350899.040000007</v>
      </c>
      <c r="J1418" s="53">
        <v>292858224.25</v>
      </c>
      <c r="K1418" s="53">
        <v>203810614.30000007</v>
      </c>
      <c r="L1418" s="53">
        <v>0</v>
      </c>
      <c r="M1418" s="53">
        <v>0</v>
      </c>
      <c r="N1418" s="53">
        <v>0</v>
      </c>
      <c r="O1418" s="53">
        <v>0</v>
      </c>
      <c r="P1418" s="53">
        <v>0</v>
      </c>
      <c r="Q1418" s="53">
        <v>0</v>
      </c>
      <c r="R1418" s="53">
        <v>0</v>
      </c>
    </row>
    <row r="1419" spans="1:18" x14ac:dyDescent="0.25">
      <c r="A1419" s="25" t="s">
        <v>25</v>
      </c>
      <c r="B1419" s="26">
        <v>2016</v>
      </c>
      <c r="C1419" s="74" t="s">
        <v>24</v>
      </c>
      <c r="D1419" s="27">
        <v>0</v>
      </c>
      <c r="E1419" s="53">
        <v>0</v>
      </c>
      <c r="F1419" s="53"/>
      <c r="G1419" s="53">
        <v>0</v>
      </c>
      <c r="H1419" s="53">
        <v>0</v>
      </c>
      <c r="I1419" s="53">
        <v>0</v>
      </c>
      <c r="J1419" s="53">
        <v>0</v>
      </c>
      <c r="K1419" s="53">
        <v>0</v>
      </c>
      <c r="L1419" s="53">
        <v>0</v>
      </c>
      <c r="M1419" s="53">
        <v>0</v>
      </c>
      <c r="N1419" s="53">
        <v>0</v>
      </c>
      <c r="O1419" s="53">
        <v>0</v>
      </c>
      <c r="P1419" s="53">
        <v>0</v>
      </c>
      <c r="Q1419" s="53">
        <v>0</v>
      </c>
      <c r="R1419" s="53">
        <v>0</v>
      </c>
    </row>
    <row r="1420" spans="1:18" x14ac:dyDescent="0.25">
      <c r="A1420" s="25" t="s">
        <v>23</v>
      </c>
      <c r="B1420" s="26">
        <v>2016</v>
      </c>
      <c r="C1420" s="74" t="s">
        <v>22</v>
      </c>
      <c r="D1420" s="27">
        <v>0</v>
      </c>
      <c r="E1420" s="53">
        <v>0</v>
      </c>
      <c r="F1420" s="53"/>
      <c r="G1420" s="53">
        <v>0</v>
      </c>
      <c r="H1420" s="53">
        <v>0</v>
      </c>
      <c r="I1420" s="53">
        <v>0</v>
      </c>
      <c r="J1420" s="53">
        <v>0</v>
      </c>
      <c r="K1420" s="53">
        <v>0</v>
      </c>
      <c r="L1420" s="53">
        <v>0</v>
      </c>
      <c r="M1420" s="53">
        <v>0</v>
      </c>
      <c r="N1420" s="53">
        <v>0</v>
      </c>
      <c r="O1420" s="53">
        <v>0</v>
      </c>
      <c r="P1420" s="53">
        <v>0</v>
      </c>
      <c r="Q1420" s="53">
        <v>0</v>
      </c>
      <c r="R1420" s="53">
        <v>0</v>
      </c>
    </row>
    <row r="1421" spans="1:18" x14ac:dyDescent="0.25">
      <c r="A1421" s="25" t="s">
        <v>6</v>
      </c>
      <c r="B1421" s="26">
        <v>2016</v>
      </c>
      <c r="C1421" s="74" t="s">
        <v>4</v>
      </c>
      <c r="D1421" s="27">
        <v>0</v>
      </c>
      <c r="E1421" s="53">
        <v>0</v>
      </c>
      <c r="F1421" s="53"/>
      <c r="G1421" s="53">
        <v>0</v>
      </c>
      <c r="H1421" s="53">
        <v>0</v>
      </c>
      <c r="I1421" s="53">
        <v>0</v>
      </c>
      <c r="J1421" s="53">
        <v>0</v>
      </c>
      <c r="K1421" s="53">
        <v>0</v>
      </c>
      <c r="L1421" s="53">
        <v>0</v>
      </c>
      <c r="M1421" s="53">
        <v>0</v>
      </c>
      <c r="N1421" s="53">
        <v>0</v>
      </c>
      <c r="O1421" s="53">
        <v>0</v>
      </c>
      <c r="P1421" s="53">
        <v>0</v>
      </c>
      <c r="Q1421" s="53">
        <v>0</v>
      </c>
      <c r="R1421" s="53">
        <v>0</v>
      </c>
    </row>
    <row r="1422" spans="1:18" x14ac:dyDescent="0.25">
      <c r="A1422" s="25" t="s">
        <v>5</v>
      </c>
      <c r="B1422" s="26">
        <v>2016</v>
      </c>
      <c r="C1422" s="74" t="s">
        <v>4</v>
      </c>
      <c r="D1422" s="27">
        <v>0</v>
      </c>
      <c r="E1422" s="53">
        <v>0</v>
      </c>
      <c r="F1422" s="53"/>
      <c r="G1422" s="53">
        <v>0</v>
      </c>
      <c r="H1422" s="53">
        <v>0</v>
      </c>
      <c r="I1422" s="53">
        <v>0</v>
      </c>
      <c r="J1422" s="53">
        <v>0</v>
      </c>
      <c r="K1422" s="53">
        <v>0</v>
      </c>
      <c r="L1422" s="53">
        <v>0</v>
      </c>
      <c r="M1422" s="53">
        <v>0</v>
      </c>
      <c r="N1422" s="53">
        <v>0</v>
      </c>
      <c r="O1422" s="53">
        <v>0</v>
      </c>
      <c r="P1422" s="53">
        <v>0</v>
      </c>
      <c r="Q1422" s="53">
        <v>0</v>
      </c>
      <c r="R1422" s="53">
        <v>0</v>
      </c>
    </row>
    <row r="1423" spans="1:18" x14ac:dyDescent="0.25">
      <c r="A1423" s="25" t="s">
        <v>39</v>
      </c>
      <c r="B1423" s="26">
        <v>2016</v>
      </c>
      <c r="C1423" s="74" t="s">
        <v>38</v>
      </c>
      <c r="D1423" s="27">
        <v>0</v>
      </c>
      <c r="E1423" s="53">
        <v>0</v>
      </c>
      <c r="F1423" s="53"/>
      <c r="G1423" s="53">
        <v>0</v>
      </c>
      <c r="H1423" s="53">
        <v>0</v>
      </c>
      <c r="I1423" s="53">
        <v>0</v>
      </c>
      <c r="J1423" s="53">
        <v>0</v>
      </c>
      <c r="K1423" s="53">
        <v>0</v>
      </c>
      <c r="L1423" s="53">
        <v>0</v>
      </c>
      <c r="M1423" s="53">
        <v>0</v>
      </c>
      <c r="N1423" s="53">
        <v>0</v>
      </c>
      <c r="O1423" s="53">
        <v>0</v>
      </c>
      <c r="P1423" s="53">
        <v>0</v>
      </c>
      <c r="Q1423" s="53">
        <v>0</v>
      </c>
      <c r="R1423" s="53">
        <v>0</v>
      </c>
    </row>
    <row r="1424" spans="1:18" x14ac:dyDescent="0.25">
      <c r="A1424" s="25" t="s">
        <v>383</v>
      </c>
      <c r="B1424" s="26">
        <v>2016</v>
      </c>
      <c r="C1424" s="74" t="s">
        <v>382</v>
      </c>
      <c r="D1424" s="27">
        <v>0</v>
      </c>
      <c r="E1424" s="53">
        <v>0</v>
      </c>
      <c r="F1424" s="53"/>
      <c r="G1424" s="53">
        <v>0</v>
      </c>
      <c r="H1424" s="53">
        <v>0</v>
      </c>
      <c r="I1424" s="53">
        <v>0</v>
      </c>
      <c r="J1424" s="53">
        <v>0</v>
      </c>
      <c r="K1424" s="53">
        <v>0</v>
      </c>
      <c r="L1424" s="53">
        <v>0</v>
      </c>
      <c r="M1424" s="53">
        <v>0</v>
      </c>
      <c r="N1424" s="53">
        <v>0</v>
      </c>
      <c r="O1424" s="53">
        <v>0</v>
      </c>
      <c r="P1424" s="53">
        <v>0</v>
      </c>
      <c r="Q1424" s="53">
        <v>0</v>
      </c>
      <c r="R1424" s="53">
        <v>0</v>
      </c>
    </row>
    <row r="1425" spans="1:18" x14ac:dyDescent="0.25">
      <c r="A1425" s="25" t="s">
        <v>381</v>
      </c>
      <c r="B1425" s="26">
        <v>2016</v>
      </c>
      <c r="C1425" s="74" t="s">
        <v>380</v>
      </c>
      <c r="D1425" s="27">
        <v>0</v>
      </c>
      <c r="E1425" s="53">
        <v>0</v>
      </c>
      <c r="F1425" s="53"/>
      <c r="G1425" s="53">
        <v>0</v>
      </c>
      <c r="H1425" s="53">
        <v>0</v>
      </c>
      <c r="I1425" s="53">
        <v>0</v>
      </c>
      <c r="J1425" s="53">
        <v>0</v>
      </c>
      <c r="K1425" s="53">
        <v>0</v>
      </c>
      <c r="L1425" s="53">
        <v>0</v>
      </c>
      <c r="M1425" s="53">
        <v>0</v>
      </c>
      <c r="N1425" s="53">
        <v>0</v>
      </c>
      <c r="O1425" s="53">
        <v>0</v>
      </c>
      <c r="P1425" s="53">
        <v>0</v>
      </c>
      <c r="Q1425" s="53">
        <v>0</v>
      </c>
      <c r="R1425" s="53">
        <v>0</v>
      </c>
    </row>
    <row r="1426" spans="1:18" x14ac:dyDescent="0.25">
      <c r="A1426" s="25" t="s">
        <v>15</v>
      </c>
      <c r="B1426" s="26">
        <v>2016</v>
      </c>
      <c r="C1426" s="74" t="s">
        <v>14</v>
      </c>
      <c r="D1426" s="27">
        <v>0</v>
      </c>
      <c r="E1426" s="53">
        <v>0</v>
      </c>
      <c r="F1426" s="53"/>
      <c r="G1426" s="53">
        <v>0</v>
      </c>
      <c r="H1426" s="53">
        <v>0</v>
      </c>
      <c r="I1426" s="53">
        <v>0</v>
      </c>
      <c r="J1426" s="53">
        <v>0</v>
      </c>
      <c r="K1426" s="53">
        <v>0</v>
      </c>
      <c r="L1426" s="53">
        <v>0</v>
      </c>
      <c r="M1426" s="53">
        <v>0</v>
      </c>
      <c r="N1426" s="53">
        <v>0</v>
      </c>
      <c r="O1426" s="53">
        <v>0</v>
      </c>
      <c r="P1426" s="53">
        <v>0</v>
      </c>
      <c r="Q1426" s="53">
        <v>0</v>
      </c>
      <c r="R1426" s="53">
        <v>0</v>
      </c>
    </row>
    <row r="1427" spans="1:18" x14ac:dyDescent="0.25">
      <c r="A1427" s="25" t="s">
        <v>13</v>
      </c>
      <c r="B1427" s="26">
        <v>2016</v>
      </c>
      <c r="C1427" s="74" t="s">
        <v>11</v>
      </c>
      <c r="D1427" s="27">
        <v>0</v>
      </c>
      <c r="E1427" s="53">
        <v>0</v>
      </c>
      <c r="F1427" s="53"/>
      <c r="G1427" s="53">
        <v>920618000</v>
      </c>
      <c r="H1427" s="53">
        <v>593725743</v>
      </c>
      <c r="I1427" s="53">
        <v>0</v>
      </c>
      <c r="J1427" s="53">
        <v>2437335000</v>
      </c>
      <c r="K1427" s="53">
        <v>3592748782</v>
      </c>
      <c r="L1427" s="53">
        <v>0</v>
      </c>
      <c r="M1427" s="53">
        <v>0</v>
      </c>
      <c r="N1427" s="53">
        <v>0</v>
      </c>
      <c r="O1427" s="53">
        <v>0</v>
      </c>
      <c r="P1427" s="53">
        <v>0</v>
      </c>
      <c r="Q1427" s="53">
        <v>0</v>
      </c>
      <c r="R1427" s="53">
        <v>0</v>
      </c>
    </row>
    <row r="1428" spans="1:18" x14ac:dyDescent="0.25">
      <c r="A1428" s="25" t="s">
        <v>10</v>
      </c>
      <c r="B1428" s="26">
        <v>2016</v>
      </c>
      <c r="C1428" s="74" t="s">
        <v>9</v>
      </c>
      <c r="D1428" s="27">
        <v>0</v>
      </c>
      <c r="E1428" s="53">
        <v>0</v>
      </c>
      <c r="F1428" s="53"/>
      <c r="G1428" s="53">
        <v>0</v>
      </c>
      <c r="H1428" s="53">
        <v>3986411959.4699998</v>
      </c>
      <c r="I1428" s="53">
        <v>2655563908.6799998</v>
      </c>
      <c r="J1428" s="53">
        <v>0</v>
      </c>
      <c r="K1428" s="53">
        <v>151535253.12000084</v>
      </c>
      <c r="L1428" s="53">
        <v>0</v>
      </c>
      <c r="M1428" s="53">
        <v>0</v>
      </c>
      <c r="N1428" s="53">
        <v>0</v>
      </c>
      <c r="O1428" s="53">
        <v>0</v>
      </c>
      <c r="P1428" s="53">
        <v>0</v>
      </c>
      <c r="Q1428" s="53">
        <v>0</v>
      </c>
      <c r="R1428" s="53">
        <v>0</v>
      </c>
    </row>
    <row r="1429" spans="1:18" x14ac:dyDescent="0.25">
      <c r="A1429" s="25" t="s">
        <v>8</v>
      </c>
      <c r="B1429" s="26">
        <v>2016</v>
      </c>
      <c r="C1429" s="74" t="s">
        <v>7</v>
      </c>
      <c r="D1429" s="27">
        <v>0</v>
      </c>
      <c r="E1429" s="53">
        <v>0</v>
      </c>
      <c r="F1429" s="53"/>
      <c r="G1429" s="53">
        <v>0</v>
      </c>
      <c r="H1429" s="53">
        <v>0</v>
      </c>
      <c r="I1429" s="53">
        <v>475264948.43000001</v>
      </c>
      <c r="J1429" s="53">
        <v>680959161.51999998</v>
      </c>
      <c r="K1429" s="53">
        <v>1416787065.47</v>
      </c>
      <c r="L1429" s="53">
        <v>0</v>
      </c>
      <c r="M1429" s="53">
        <v>0</v>
      </c>
      <c r="N1429" s="53">
        <v>0</v>
      </c>
      <c r="O1429" s="53">
        <v>0</v>
      </c>
      <c r="P1429" s="53">
        <v>0</v>
      </c>
      <c r="Q1429" s="53">
        <v>0</v>
      </c>
      <c r="R1429" s="53">
        <v>0</v>
      </c>
    </row>
    <row r="1430" spans="1:18" x14ac:dyDescent="0.25">
      <c r="A1430" s="25" t="s">
        <v>3</v>
      </c>
      <c r="B1430" s="26">
        <v>2016</v>
      </c>
      <c r="C1430" s="74" t="s">
        <v>0</v>
      </c>
      <c r="D1430" s="27">
        <v>0</v>
      </c>
      <c r="E1430" s="53">
        <v>0</v>
      </c>
      <c r="F1430" s="53"/>
      <c r="G1430" s="53">
        <v>0</v>
      </c>
      <c r="H1430" s="53">
        <v>245098631.05000001</v>
      </c>
      <c r="I1430" s="53">
        <v>0</v>
      </c>
      <c r="J1430" s="53">
        <v>0</v>
      </c>
      <c r="K1430" s="53">
        <v>0</v>
      </c>
      <c r="L1430" s="53">
        <v>0</v>
      </c>
      <c r="M1430" s="53">
        <v>0</v>
      </c>
      <c r="N1430" s="53">
        <v>0</v>
      </c>
      <c r="O1430" s="53">
        <v>0</v>
      </c>
      <c r="P1430" s="53">
        <v>0</v>
      </c>
      <c r="Q1430" s="53">
        <v>0</v>
      </c>
      <c r="R1430" s="53">
        <v>0</v>
      </c>
    </row>
    <row r="1431" spans="1:18" x14ac:dyDescent="0.25">
      <c r="A1431" s="25" t="s">
        <v>361</v>
      </c>
      <c r="B1431" s="26">
        <v>2016</v>
      </c>
      <c r="C1431" s="74" t="s">
        <v>379</v>
      </c>
      <c r="D1431" s="27">
        <v>0</v>
      </c>
      <c r="E1431" s="53">
        <v>0</v>
      </c>
      <c r="F1431" s="53">
        <v>0</v>
      </c>
      <c r="G1431" s="53">
        <v>2671550665</v>
      </c>
      <c r="H1431" s="53">
        <v>0</v>
      </c>
      <c r="I1431" s="53">
        <v>0</v>
      </c>
      <c r="J1431" s="53">
        <v>0</v>
      </c>
      <c r="K1431" s="53">
        <v>0</v>
      </c>
      <c r="L1431" s="53">
        <v>0</v>
      </c>
      <c r="M1431" s="53">
        <v>0</v>
      </c>
      <c r="N1431" s="53">
        <v>0</v>
      </c>
      <c r="O1431" s="53">
        <v>0</v>
      </c>
      <c r="P1431" s="53">
        <v>0</v>
      </c>
      <c r="Q1431" s="53">
        <v>0</v>
      </c>
      <c r="R1431" s="53">
        <v>0</v>
      </c>
    </row>
    <row r="1432" spans="1:18" x14ac:dyDescent="0.25">
      <c r="A1432" s="25" t="s">
        <v>360</v>
      </c>
      <c r="B1432" s="26">
        <v>2016</v>
      </c>
      <c r="C1432" s="74" t="s">
        <v>359</v>
      </c>
      <c r="D1432" s="27">
        <v>0</v>
      </c>
      <c r="E1432" s="53">
        <v>0</v>
      </c>
      <c r="F1432" s="53">
        <v>0</v>
      </c>
      <c r="G1432" s="53">
        <v>0</v>
      </c>
      <c r="H1432" s="53">
        <v>0</v>
      </c>
      <c r="I1432" s="53">
        <v>0</v>
      </c>
      <c r="J1432" s="53">
        <v>0</v>
      </c>
      <c r="K1432" s="53">
        <v>0</v>
      </c>
      <c r="L1432" s="53">
        <v>17957018790.639999</v>
      </c>
      <c r="M1432" s="53">
        <v>39002655925.32</v>
      </c>
      <c r="N1432" s="53">
        <v>407467147.17000002</v>
      </c>
      <c r="O1432" s="53">
        <v>18418442747.349998</v>
      </c>
      <c r="P1432" s="53">
        <v>0</v>
      </c>
      <c r="Q1432" s="53">
        <v>0</v>
      </c>
      <c r="R1432" s="53">
        <v>0</v>
      </c>
    </row>
    <row r="1433" spans="1:18" x14ac:dyDescent="0.25">
      <c r="A1433" s="25" t="s">
        <v>358</v>
      </c>
      <c r="B1433" s="26">
        <v>2016</v>
      </c>
      <c r="C1433" s="74" t="s">
        <v>357</v>
      </c>
      <c r="D1433" s="27">
        <v>0</v>
      </c>
      <c r="E1433" s="53">
        <v>0</v>
      </c>
      <c r="F1433" s="53">
        <v>0</v>
      </c>
      <c r="G1433" s="53">
        <v>0</v>
      </c>
      <c r="H1433" s="53">
        <v>0</v>
      </c>
      <c r="I1433" s="53">
        <v>0</v>
      </c>
      <c r="J1433" s="53">
        <v>0</v>
      </c>
      <c r="K1433" s="53">
        <v>0</v>
      </c>
      <c r="L1433" s="53">
        <v>11855666863.84</v>
      </c>
      <c r="M1433" s="53">
        <v>10932068935.83</v>
      </c>
      <c r="N1433" s="53">
        <v>10998688288.1</v>
      </c>
      <c r="O1433" s="53">
        <v>10892845481.59</v>
      </c>
      <c r="P1433" s="53">
        <v>0</v>
      </c>
      <c r="Q1433" s="53">
        <v>0</v>
      </c>
      <c r="R1433" s="53">
        <v>0</v>
      </c>
    </row>
    <row r="1434" spans="1:18" x14ac:dyDescent="0.25">
      <c r="A1434" s="25" t="s">
        <v>356</v>
      </c>
      <c r="B1434" s="26">
        <v>2016</v>
      </c>
      <c r="C1434" s="74" t="s">
        <v>355</v>
      </c>
      <c r="D1434" s="27">
        <v>0</v>
      </c>
      <c r="E1434" s="53">
        <v>0</v>
      </c>
      <c r="F1434" s="53">
        <v>0</v>
      </c>
      <c r="G1434" s="53">
        <v>0</v>
      </c>
      <c r="H1434" s="53">
        <v>0</v>
      </c>
      <c r="I1434" s="53">
        <v>0</v>
      </c>
      <c r="J1434" s="53">
        <v>0</v>
      </c>
      <c r="K1434" s="53">
        <v>0</v>
      </c>
      <c r="L1434" s="53">
        <v>4902360456.2399998</v>
      </c>
      <c r="M1434" s="53">
        <v>2906884491.79</v>
      </c>
      <c r="N1434" s="53">
        <v>692827508.34000003</v>
      </c>
      <c r="O1434" s="53">
        <v>4640383539.3699999</v>
      </c>
      <c r="P1434" s="53">
        <v>0</v>
      </c>
      <c r="Q1434" s="53">
        <v>0</v>
      </c>
      <c r="R1434" s="53">
        <v>0</v>
      </c>
    </row>
    <row r="1435" spans="1:18" x14ac:dyDescent="0.25">
      <c r="A1435" s="25" t="s">
        <v>353</v>
      </c>
      <c r="B1435" s="26">
        <v>2016</v>
      </c>
      <c r="C1435" s="74" t="s">
        <v>352</v>
      </c>
      <c r="D1435" s="27">
        <v>0</v>
      </c>
      <c r="E1435" s="53">
        <v>0</v>
      </c>
      <c r="F1435" s="53">
        <v>0</v>
      </c>
      <c r="G1435" s="53">
        <v>0</v>
      </c>
      <c r="H1435" s="53">
        <v>0</v>
      </c>
      <c r="I1435" s="53">
        <v>0</v>
      </c>
      <c r="J1435" s="53">
        <v>0</v>
      </c>
      <c r="K1435" s="53">
        <v>0</v>
      </c>
      <c r="L1435" s="53">
        <v>13242011563.379999</v>
      </c>
      <c r="M1435" s="53">
        <v>4667490684.1899996</v>
      </c>
      <c r="N1435" s="53">
        <v>5142264809.8500004</v>
      </c>
      <c r="O1435" s="53">
        <v>13418705996.620001</v>
      </c>
      <c r="P1435" s="53">
        <v>0</v>
      </c>
      <c r="Q1435" s="53">
        <v>0</v>
      </c>
      <c r="R1435" s="53">
        <v>0</v>
      </c>
    </row>
    <row r="1436" spans="1:18" x14ac:dyDescent="0.25">
      <c r="A1436" s="25" t="s">
        <v>351</v>
      </c>
      <c r="B1436" s="26">
        <v>2016</v>
      </c>
      <c r="C1436" s="74" t="s">
        <v>350</v>
      </c>
      <c r="D1436" s="27">
        <v>0</v>
      </c>
      <c r="E1436" s="53">
        <v>0</v>
      </c>
      <c r="F1436" s="53">
        <v>0</v>
      </c>
      <c r="G1436" s="53">
        <v>0</v>
      </c>
      <c r="H1436" s="53">
        <v>0</v>
      </c>
      <c r="I1436" s="53">
        <v>0</v>
      </c>
      <c r="J1436" s="53">
        <v>0</v>
      </c>
      <c r="K1436" s="53">
        <v>0</v>
      </c>
      <c r="L1436" s="53">
        <v>107340109142.28999</v>
      </c>
      <c r="M1436" s="53">
        <v>19773779392.549999</v>
      </c>
      <c r="N1436" s="53">
        <v>9976115976.2399998</v>
      </c>
      <c r="O1436" s="53">
        <v>106077044835.99001</v>
      </c>
      <c r="P1436" s="53">
        <v>0</v>
      </c>
      <c r="Q1436" s="53">
        <v>0</v>
      </c>
      <c r="R1436" s="53">
        <v>0</v>
      </c>
    </row>
    <row r="1437" spans="1:18" x14ac:dyDescent="0.25">
      <c r="A1437" s="25" t="s">
        <v>348</v>
      </c>
      <c r="B1437" s="26">
        <v>2016</v>
      </c>
      <c r="C1437" s="74" t="s">
        <v>344</v>
      </c>
      <c r="D1437" s="27">
        <v>0</v>
      </c>
      <c r="E1437" s="53">
        <v>0</v>
      </c>
      <c r="F1437" s="53">
        <v>0</v>
      </c>
      <c r="G1437" s="53">
        <v>0</v>
      </c>
      <c r="H1437" s="53">
        <v>0</v>
      </c>
      <c r="I1437" s="53">
        <v>0</v>
      </c>
      <c r="J1437" s="53">
        <v>0</v>
      </c>
      <c r="K1437" s="53">
        <v>0</v>
      </c>
      <c r="L1437" s="53">
        <v>48261561</v>
      </c>
      <c r="M1437" s="53">
        <v>30103585</v>
      </c>
      <c r="N1437" s="53">
        <v>23427440</v>
      </c>
      <c r="O1437" s="53">
        <v>31388221</v>
      </c>
      <c r="P1437" s="53">
        <v>0</v>
      </c>
      <c r="Q1437" s="53">
        <v>0</v>
      </c>
      <c r="R1437" s="53">
        <v>0</v>
      </c>
    </row>
    <row r="1438" spans="1:18" x14ac:dyDescent="0.25">
      <c r="A1438" s="25" t="s">
        <v>347</v>
      </c>
      <c r="B1438" s="26">
        <v>2016</v>
      </c>
      <c r="C1438" s="74" t="s">
        <v>342</v>
      </c>
      <c r="D1438" s="27">
        <v>0</v>
      </c>
      <c r="E1438" s="53">
        <v>0</v>
      </c>
      <c r="F1438" s="53">
        <v>0</v>
      </c>
      <c r="G1438" s="53">
        <v>0</v>
      </c>
      <c r="H1438" s="53">
        <v>0</v>
      </c>
      <c r="I1438" s="53">
        <v>0</v>
      </c>
      <c r="J1438" s="53">
        <v>0</v>
      </c>
      <c r="K1438" s="53">
        <v>0</v>
      </c>
      <c r="L1438" s="53">
        <v>1729798232.8800001</v>
      </c>
      <c r="M1438" s="53">
        <v>3329883766.5</v>
      </c>
      <c r="N1438" s="53">
        <v>3391134530.0100002</v>
      </c>
      <c r="O1438" s="53">
        <v>1633337414.4200001</v>
      </c>
      <c r="P1438" s="53">
        <v>0</v>
      </c>
      <c r="Q1438" s="53">
        <v>0</v>
      </c>
      <c r="R1438" s="53">
        <v>0</v>
      </c>
    </row>
    <row r="1439" spans="1:18" x14ac:dyDescent="0.25">
      <c r="A1439" s="25" t="s">
        <v>345</v>
      </c>
      <c r="B1439" s="26">
        <v>2016</v>
      </c>
      <c r="C1439" s="74" t="s">
        <v>344</v>
      </c>
      <c r="D1439" s="27">
        <v>0</v>
      </c>
      <c r="E1439" s="53">
        <v>0</v>
      </c>
      <c r="F1439" s="53">
        <v>0</v>
      </c>
      <c r="G1439" s="53">
        <v>0</v>
      </c>
      <c r="H1439" s="53">
        <v>0</v>
      </c>
      <c r="I1439" s="53">
        <v>0</v>
      </c>
      <c r="J1439" s="53">
        <v>0</v>
      </c>
      <c r="K1439" s="53">
        <v>0</v>
      </c>
      <c r="L1439" s="53">
        <v>3487426561.27</v>
      </c>
      <c r="M1439" s="53">
        <v>4400020230.3000002</v>
      </c>
      <c r="N1439" s="53">
        <v>2455602289.4400001</v>
      </c>
      <c r="O1439" s="53">
        <v>1281446423.3399999</v>
      </c>
      <c r="P1439" s="53">
        <v>0</v>
      </c>
      <c r="Q1439" s="53">
        <v>0</v>
      </c>
      <c r="R1439" s="53">
        <v>0</v>
      </c>
    </row>
    <row r="1440" spans="1:18" x14ac:dyDescent="0.25">
      <c r="A1440" s="25" t="s">
        <v>343</v>
      </c>
      <c r="B1440" s="26">
        <v>2016</v>
      </c>
      <c r="C1440" s="74" t="s">
        <v>342</v>
      </c>
      <c r="D1440" s="27">
        <v>0</v>
      </c>
      <c r="E1440" s="53">
        <v>0</v>
      </c>
      <c r="F1440" s="53">
        <v>0</v>
      </c>
      <c r="G1440" s="53">
        <v>0</v>
      </c>
      <c r="H1440" s="53">
        <v>0</v>
      </c>
      <c r="I1440" s="53">
        <v>0</v>
      </c>
      <c r="J1440" s="53">
        <v>0</v>
      </c>
      <c r="K1440" s="53">
        <v>0</v>
      </c>
      <c r="L1440" s="53">
        <v>1284004603.6400001</v>
      </c>
      <c r="M1440" s="53">
        <v>1397285544.8699999</v>
      </c>
      <c r="N1440" s="53">
        <v>1222048860.9200001</v>
      </c>
      <c r="O1440" s="53">
        <v>2246065095.6599998</v>
      </c>
      <c r="P1440" s="53">
        <v>0</v>
      </c>
      <c r="Q1440" s="53">
        <v>0</v>
      </c>
      <c r="R1440" s="53">
        <v>0</v>
      </c>
    </row>
    <row r="1441" spans="1:18" x14ac:dyDescent="0.25">
      <c r="A1441" s="25" t="s">
        <v>340</v>
      </c>
      <c r="B1441" s="26">
        <v>2016</v>
      </c>
      <c r="C1441" s="74" t="s">
        <v>339</v>
      </c>
      <c r="D1441" s="27">
        <v>0</v>
      </c>
      <c r="E1441" s="53">
        <v>0</v>
      </c>
      <c r="F1441" s="53">
        <v>0</v>
      </c>
      <c r="G1441" s="53">
        <v>0</v>
      </c>
      <c r="H1441" s="53">
        <v>0</v>
      </c>
      <c r="I1441" s="53">
        <v>0</v>
      </c>
      <c r="J1441" s="53">
        <v>0</v>
      </c>
      <c r="K1441" s="53">
        <v>0</v>
      </c>
      <c r="L1441" s="53">
        <v>14378310580.51</v>
      </c>
      <c r="M1441" s="53">
        <v>13465967573.99</v>
      </c>
      <c r="N1441" s="53">
        <v>8773186043.8299999</v>
      </c>
      <c r="O1441" s="53">
        <v>18198978643.009998</v>
      </c>
      <c r="P1441" s="53">
        <v>0</v>
      </c>
      <c r="Q1441" s="53">
        <v>0</v>
      </c>
      <c r="R1441" s="53">
        <v>0</v>
      </c>
    </row>
    <row r="1442" spans="1:18" x14ac:dyDescent="0.25">
      <c r="A1442" s="25" t="s">
        <v>335</v>
      </c>
      <c r="B1442" s="26">
        <v>2016</v>
      </c>
      <c r="C1442" s="74" t="s">
        <v>334</v>
      </c>
      <c r="D1442" s="27">
        <v>0</v>
      </c>
      <c r="E1442" s="53">
        <v>0</v>
      </c>
      <c r="F1442" s="53">
        <v>0</v>
      </c>
      <c r="G1442" s="53">
        <v>0</v>
      </c>
      <c r="H1442" s="53">
        <v>0</v>
      </c>
      <c r="I1442" s="53">
        <v>0</v>
      </c>
      <c r="J1442" s="53">
        <v>0</v>
      </c>
      <c r="K1442" s="53">
        <v>0</v>
      </c>
      <c r="L1442" s="53">
        <v>36636154</v>
      </c>
      <c r="M1442" s="53">
        <v>30429927</v>
      </c>
      <c r="N1442" s="53">
        <v>25701851</v>
      </c>
      <c r="O1442" s="53">
        <v>16903701</v>
      </c>
      <c r="P1442" s="53">
        <v>0</v>
      </c>
      <c r="Q1442" s="53">
        <v>0</v>
      </c>
      <c r="R1442" s="53">
        <v>0</v>
      </c>
    </row>
    <row r="1443" spans="1:18" x14ac:dyDescent="0.25">
      <c r="A1443" s="25" t="s">
        <v>332</v>
      </c>
      <c r="B1443" s="26">
        <v>2016</v>
      </c>
      <c r="C1443" s="74" t="s">
        <v>331</v>
      </c>
      <c r="D1443" s="27">
        <v>0</v>
      </c>
      <c r="E1443" s="53">
        <v>0</v>
      </c>
      <c r="F1443" s="53">
        <v>0</v>
      </c>
      <c r="G1443" s="53">
        <v>0</v>
      </c>
      <c r="H1443" s="53">
        <v>0</v>
      </c>
      <c r="I1443" s="53">
        <v>0</v>
      </c>
      <c r="J1443" s="53">
        <v>0</v>
      </c>
      <c r="K1443" s="53">
        <v>0</v>
      </c>
      <c r="L1443" s="53">
        <v>2475389985.3400002</v>
      </c>
      <c r="M1443" s="53">
        <v>1725456817.0599999</v>
      </c>
      <c r="N1443" s="53">
        <v>1174514018</v>
      </c>
      <c r="O1443" s="53">
        <v>1168232780.1700001</v>
      </c>
      <c r="P1443" s="53">
        <v>0</v>
      </c>
      <c r="Q1443" s="53">
        <v>0</v>
      </c>
      <c r="R1443" s="53">
        <v>0</v>
      </c>
    </row>
    <row r="1444" spans="1:18" x14ac:dyDescent="0.25">
      <c r="A1444" s="25" t="s">
        <v>329</v>
      </c>
      <c r="B1444" s="26">
        <v>2016</v>
      </c>
      <c r="C1444" s="74" t="s">
        <v>328</v>
      </c>
      <c r="D1444" s="27">
        <v>0</v>
      </c>
      <c r="E1444" s="53">
        <v>0</v>
      </c>
      <c r="F1444" s="53">
        <v>0</v>
      </c>
      <c r="G1444" s="53">
        <v>0</v>
      </c>
      <c r="H1444" s="53">
        <v>0</v>
      </c>
      <c r="I1444" s="53">
        <v>0</v>
      </c>
      <c r="J1444" s="53">
        <v>0</v>
      </c>
      <c r="K1444" s="53">
        <v>0</v>
      </c>
      <c r="L1444" s="53">
        <v>2790813</v>
      </c>
      <c r="M1444" s="53">
        <v>2316873</v>
      </c>
      <c r="N1444" s="53">
        <v>1835597</v>
      </c>
      <c r="O1444" s="53">
        <v>2100939</v>
      </c>
      <c r="P1444" s="53">
        <v>0</v>
      </c>
      <c r="Q1444" s="53">
        <v>0</v>
      </c>
      <c r="R1444" s="53">
        <v>0</v>
      </c>
    </row>
    <row r="1445" spans="1:18" x14ac:dyDescent="0.25">
      <c r="A1445" s="25" t="s">
        <v>325</v>
      </c>
      <c r="B1445" s="26">
        <v>2016</v>
      </c>
      <c r="C1445" s="74" t="s">
        <v>324</v>
      </c>
      <c r="D1445" s="27">
        <v>0</v>
      </c>
      <c r="E1445" s="53">
        <v>0</v>
      </c>
      <c r="F1445" s="53">
        <v>0</v>
      </c>
      <c r="G1445" s="53">
        <v>0</v>
      </c>
      <c r="H1445" s="53">
        <v>0</v>
      </c>
      <c r="I1445" s="53">
        <v>0</v>
      </c>
      <c r="J1445" s="53">
        <v>0</v>
      </c>
      <c r="K1445" s="53">
        <v>0</v>
      </c>
      <c r="L1445" s="53">
        <v>45844055.420000002</v>
      </c>
      <c r="M1445" s="53">
        <v>16919426.32</v>
      </c>
      <c r="N1445" s="53">
        <v>11672820.57</v>
      </c>
      <c r="O1445" s="53">
        <v>-17006599.16</v>
      </c>
      <c r="P1445" s="53">
        <v>0</v>
      </c>
      <c r="Q1445" s="53">
        <v>0</v>
      </c>
      <c r="R1445" s="53">
        <v>0</v>
      </c>
    </row>
    <row r="1446" spans="1:18" x14ac:dyDescent="0.25">
      <c r="A1446" s="76" t="s">
        <v>378</v>
      </c>
      <c r="B1446" s="26">
        <v>2016</v>
      </c>
      <c r="C1446" s="74" t="s">
        <v>411</v>
      </c>
      <c r="D1446" s="27">
        <v>0</v>
      </c>
      <c r="E1446" s="53">
        <v>0</v>
      </c>
      <c r="F1446" s="53">
        <v>0</v>
      </c>
      <c r="G1446" s="53">
        <v>0</v>
      </c>
      <c r="H1446" s="53">
        <v>0</v>
      </c>
      <c r="I1446" s="53">
        <v>0</v>
      </c>
      <c r="J1446" s="53">
        <v>0</v>
      </c>
      <c r="K1446" s="53">
        <v>0</v>
      </c>
      <c r="L1446" s="53">
        <v>379922806.68000001</v>
      </c>
      <c r="M1446" s="53">
        <v>439450769.51999998</v>
      </c>
      <c r="N1446" s="53">
        <v>369296500.14999998</v>
      </c>
      <c r="O1446" s="53">
        <v>352365933.00999999</v>
      </c>
      <c r="P1446" s="53">
        <v>0</v>
      </c>
      <c r="Q1446" s="53">
        <v>0</v>
      </c>
      <c r="R1446" s="53">
        <v>0</v>
      </c>
    </row>
    <row r="1447" spans="1:18" x14ac:dyDescent="0.25">
      <c r="A1447" s="25" t="s">
        <v>320</v>
      </c>
      <c r="B1447" s="26">
        <v>2016</v>
      </c>
      <c r="C1447" s="74" t="s">
        <v>319</v>
      </c>
      <c r="D1447" s="27">
        <v>0</v>
      </c>
      <c r="E1447" s="53">
        <v>0</v>
      </c>
      <c r="F1447" s="53">
        <v>0</v>
      </c>
      <c r="G1447" s="53">
        <v>0</v>
      </c>
      <c r="H1447" s="53">
        <v>0</v>
      </c>
      <c r="I1447" s="53">
        <v>0</v>
      </c>
      <c r="J1447" s="53">
        <v>0</v>
      </c>
      <c r="K1447" s="53">
        <v>0</v>
      </c>
      <c r="L1447" s="53">
        <v>3605354234</v>
      </c>
      <c r="M1447" s="53">
        <v>2871086716</v>
      </c>
      <c r="N1447" s="53">
        <v>3578201182.5</v>
      </c>
      <c r="O1447" s="53">
        <v>3356460978</v>
      </c>
      <c r="P1447" s="53">
        <v>0</v>
      </c>
      <c r="Q1447" s="53">
        <v>0</v>
      </c>
      <c r="R1447" s="53">
        <v>0</v>
      </c>
    </row>
    <row r="1448" spans="1:18" x14ac:dyDescent="0.25">
      <c r="A1448" s="25" t="s">
        <v>317</v>
      </c>
      <c r="B1448" s="26">
        <v>2016</v>
      </c>
      <c r="C1448" s="74" t="s">
        <v>316</v>
      </c>
      <c r="D1448" s="27">
        <v>0</v>
      </c>
      <c r="E1448" s="53">
        <v>0</v>
      </c>
      <c r="F1448" s="53">
        <v>0</v>
      </c>
      <c r="G1448" s="53">
        <v>0</v>
      </c>
      <c r="H1448" s="53">
        <v>0</v>
      </c>
      <c r="I1448" s="53">
        <v>0</v>
      </c>
      <c r="J1448" s="53">
        <v>0</v>
      </c>
      <c r="K1448" s="53">
        <v>0</v>
      </c>
      <c r="L1448" s="53">
        <v>2068297417</v>
      </c>
      <c r="M1448" s="53">
        <v>1821039314</v>
      </c>
      <c r="N1448" s="53">
        <v>1950620545</v>
      </c>
      <c r="O1448" s="53">
        <v>1921271258</v>
      </c>
      <c r="P1448" s="53">
        <v>0</v>
      </c>
      <c r="Q1448" s="53">
        <v>0</v>
      </c>
      <c r="R1448" s="53">
        <v>0</v>
      </c>
    </row>
    <row r="1449" spans="1:18" x14ac:dyDescent="0.25">
      <c r="A1449" s="25" t="s">
        <v>313</v>
      </c>
      <c r="B1449" s="26">
        <v>2016</v>
      </c>
      <c r="C1449" s="74" t="s">
        <v>312</v>
      </c>
      <c r="D1449" s="27">
        <v>0</v>
      </c>
      <c r="E1449" s="53">
        <v>0</v>
      </c>
      <c r="F1449" s="53">
        <v>0</v>
      </c>
      <c r="G1449" s="53">
        <v>0</v>
      </c>
      <c r="H1449" s="53">
        <v>0</v>
      </c>
      <c r="I1449" s="53">
        <v>0</v>
      </c>
      <c r="J1449" s="53">
        <v>0</v>
      </c>
      <c r="K1449" s="53">
        <v>0</v>
      </c>
      <c r="L1449" s="53">
        <v>57634186679.050003</v>
      </c>
      <c r="M1449" s="53">
        <v>57025258557.089996</v>
      </c>
      <c r="N1449" s="53">
        <v>62283472494.339996</v>
      </c>
      <c r="O1449" s="53">
        <v>59770739488.139999</v>
      </c>
      <c r="P1449" s="53">
        <v>0</v>
      </c>
      <c r="Q1449" s="53">
        <v>0</v>
      </c>
      <c r="R1449" s="53">
        <v>0</v>
      </c>
    </row>
    <row r="1450" spans="1:18" x14ac:dyDescent="0.25">
      <c r="A1450" s="25" t="s">
        <v>310</v>
      </c>
      <c r="B1450" s="26">
        <v>2016</v>
      </c>
      <c r="C1450" s="74" t="s">
        <v>309</v>
      </c>
      <c r="D1450" s="27">
        <v>0</v>
      </c>
      <c r="E1450" s="53">
        <v>0</v>
      </c>
      <c r="F1450" s="53">
        <v>0</v>
      </c>
      <c r="G1450" s="53">
        <v>0</v>
      </c>
      <c r="H1450" s="53">
        <v>0</v>
      </c>
      <c r="I1450" s="53">
        <v>0</v>
      </c>
      <c r="J1450" s="53">
        <v>0</v>
      </c>
      <c r="K1450" s="53">
        <v>0</v>
      </c>
      <c r="L1450" s="53">
        <v>56359565515.120003</v>
      </c>
      <c r="M1450" s="53">
        <v>54423788939.860001</v>
      </c>
      <c r="N1450" s="53">
        <v>58187210895.480003</v>
      </c>
      <c r="O1450" s="53">
        <v>55444864473.410004</v>
      </c>
      <c r="P1450" s="53">
        <v>0</v>
      </c>
      <c r="Q1450" s="53">
        <v>0</v>
      </c>
      <c r="R1450" s="53">
        <v>0</v>
      </c>
    </row>
    <row r="1451" spans="1:18" x14ac:dyDescent="0.25">
      <c r="A1451" s="25" t="s">
        <v>306</v>
      </c>
      <c r="B1451" s="26">
        <v>2016</v>
      </c>
      <c r="C1451" s="74" t="s">
        <v>305</v>
      </c>
      <c r="D1451" s="27">
        <v>0</v>
      </c>
      <c r="E1451" s="53">
        <v>0</v>
      </c>
      <c r="F1451" s="53">
        <v>0</v>
      </c>
      <c r="G1451" s="53">
        <v>0</v>
      </c>
      <c r="H1451" s="53">
        <v>0</v>
      </c>
      <c r="I1451" s="53">
        <v>0</v>
      </c>
      <c r="J1451" s="53">
        <v>0</v>
      </c>
      <c r="K1451" s="53">
        <v>0</v>
      </c>
      <c r="L1451" s="53">
        <v>1130553307.0899999</v>
      </c>
      <c r="M1451" s="53">
        <v>1187372595.46</v>
      </c>
      <c r="N1451" s="53">
        <v>1640312112.8399999</v>
      </c>
      <c r="O1451" s="53">
        <v>1650373134.78</v>
      </c>
      <c r="P1451" s="53">
        <v>0</v>
      </c>
      <c r="Q1451" s="53">
        <v>0</v>
      </c>
      <c r="R1451" s="53">
        <v>0</v>
      </c>
    </row>
    <row r="1452" spans="1:18" x14ac:dyDescent="0.25">
      <c r="A1452" s="25" t="s">
        <v>303</v>
      </c>
      <c r="B1452" s="26">
        <v>2016</v>
      </c>
      <c r="C1452" s="74" t="s">
        <v>302</v>
      </c>
      <c r="D1452" s="27">
        <v>0</v>
      </c>
      <c r="E1452" s="53">
        <v>0</v>
      </c>
      <c r="F1452" s="53">
        <v>0</v>
      </c>
      <c r="G1452" s="53">
        <v>0</v>
      </c>
      <c r="H1452" s="53">
        <v>0</v>
      </c>
      <c r="I1452" s="53">
        <v>0</v>
      </c>
      <c r="J1452" s="53">
        <v>0</v>
      </c>
      <c r="K1452" s="53">
        <v>0</v>
      </c>
      <c r="L1452" s="53">
        <v>18903807769.279999</v>
      </c>
      <c r="M1452" s="53">
        <v>18041269072.439999</v>
      </c>
      <c r="N1452" s="53">
        <v>19537481911.799999</v>
      </c>
      <c r="O1452" s="53">
        <v>17977741904.709999</v>
      </c>
      <c r="P1452" s="53">
        <v>0</v>
      </c>
      <c r="Q1452" s="53">
        <v>0</v>
      </c>
      <c r="R1452" s="53">
        <v>0</v>
      </c>
    </row>
    <row r="1453" spans="1:18" x14ac:dyDescent="0.25">
      <c r="A1453" s="25" t="s">
        <v>298</v>
      </c>
      <c r="B1453" s="26">
        <v>2016</v>
      </c>
      <c r="C1453" s="74" t="s">
        <v>281</v>
      </c>
      <c r="D1453" s="27">
        <v>0</v>
      </c>
      <c r="E1453" s="53">
        <v>0</v>
      </c>
      <c r="F1453" s="53">
        <v>0</v>
      </c>
      <c r="G1453" s="53">
        <v>0</v>
      </c>
      <c r="H1453" s="53">
        <v>0</v>
      </c>
      <c r="I1453" s="53">
        <v>0</v>
      </c>
      <c r="J1453" s="53">
        <v>0</v>
      </c>
      <c r="K1453" s="53">
        <v>0</v>
      </c>
      <c r="L1453" s="53">
        <v>29457859377</v>
      </c>
      <c r="M1453" s="53">
        <v>18100611483</v>
      </c>
      <c r="N1453" s="53">
        <v>26316849031</v>
      </c>
      <c r="O1453" s="53">
        <v>18936674688</v>
      </c>
      <c r="P1453" s="53">
        <v>0</v>
      </c>
      <c r="Q1453" s="53">
        <v>0</v>
      </c>
      <c r="R1453" s="53">
        <v>0</v>
      </c>
    </row>
    <row r="1454" spans="1:18" x14ac:dyDescent="0.25">
      <c r="A1454" s="25" t="s">
        <v>297</v>
      </c>
      <c r="B1454" s="26">
        <v>2016</v>
      </c>
      <c r="C1454" s="74" t="s">
        <v>287</v>
      </c>
      <c r="D1454" s="27">
        <v>0</v>
      </c>
      <c r="E1454" s="53">
        <v>0</v>
      </c>
      <c r="F1454" s="53">
        <v>0</v>
      </c>
      <c r="G1454" s="53">
        <v>0</v>
      </c>
      <c r="H1454" s="53">
        <v>0</v>
      </c>
      <c r="I1454" s="53">
        <v>0</v>
      </c>
      <c r="J1454" s="53">
        <v>0</v>
      </c>
      <c r="K1454" s="53">
        <v>0</v>
      </c>
      <c r="L1454" s="53">
        <v>16981196824.84</v>
      </c>
      <c r="M1454" s="53">
        <v>12065555042.299999</v>
      </c>
      <c r="N1454" s="53">
        <v>14100289732.49</v>
      </c>
      <c r="O1454" s="53">
        <v>16083146229.370001</v>
      </c>
      <c r="P1454" s="53">
        <v>0</v>
      </c>
      <c r="Q1454" s="53">
        <v>0</v>
      </c>
      <c r="R1454" s="53">
        <v>0</v>
      </c>
    </row>
    <row r="1455" spans="1:18" x14ac:dyDescent="0.25">
      <c r="A1455" s="25" t="s">
        <v>295</v>
      </c>
      <c r="B1455" s="26">
        <v>2016</v>
      </c>
      <c r="C1455" s="74" t="s">
        <v>281</v>
      </c>
      <c r="D1455" s="27">
        <v>0</v>
      </c>
      <c r="E1455" s="53">
        <v>0</v>
      </c>
      <c r="F1455" s="53">
        <v>0</v>
      </c>
      <c r="G1455" s="53">
        <v>0</v>
      </c>
      <c r="H1455" s="53">
        <v>0</v>
      </c>
      <c r="I1455" s="53">
        <v>0</v>
      </c>
      <c r="J1455" s="53">
        <v>0</v>
      </c>
      <c r="K1455" s="53">
        <v>0</v>
      </c>
      <c r="L1455" s="53">
        <v>1990939148.8</v>
      </c>
      <c r="M1455" s="53">
        <v>2533200393.0700002</v>
      </c>
      <c r="N1455" s="53">
        <v>2472105162.3299999</v>
      </c>
      <c r="O1455" s="53">
        <v>2624692874.3200002</v>
      </c>
      <c r="P1455" s="53">
        <v>0</v>
      </c>
      <c r="Q1455" s="53">
        <v>0</v>
      </c>
      <c r="R1455" s="53">
        <v>0</v>
      </c>
    </row>
    <row r="1456" spans="1:18" x14ac:dyDescent="0.25">
      <c r="A1456" s="25" t="s">
        <v>294</v>
      </c>
      <c r="B1456" s="26">
        <v>2016</v>
      </c>
      <c r="C1456" s="74" t="s">
        <v>287</v>
      </c>
      <c r="D1456" s="27">
        <v>0</v>
      </c>
      <c r="E1456" s="53">
        <v>0</v>
      </c>
      <c r="F1456" s="53">
        <v>0</v>
      </c>
      <c r="G1456" s="53">
        <v>0</v>
      </c>
      <c r="H1456" s="53">
        <v>0</v>
      </c>
      <c r="I1456" s="53">
        <v>0</v>
      </c>
      <c r="J1456" s="53">
        <v>0</v>
      </c>
      <c r="K1456" s="53">
        <v>0</v>
      </c>
      <c r="L1456" s="53">
        <v>808895462.55999994</v>
      </c>
      <c r="M1456" s="53">
        <v>703440547.69000006</v>
      </c>
      <c r="N1456" s="53">
        <v>794108401.23000002</v>
      </c>
      <c r="O1456" s="53">
        <v>880416056.00999999</v>
      </c>
      <c r="P1456" s="53">
        <v>0</v>
      </c>
      <c r="Q1456" s="53">
        <v>0</v>
      </c>
      <c r="R1456" s="53">
        <v>0</v>
      </c>
    </row>
    <row r="1457" spans="1:18" x14ac:dyDescent="0.25">
      <c r="A1457" s="25" t="s">
        <v>292</v>
      </c>
      <c r="B1457" s="26">
        <v>2016</v>
      </c>
      <c r="C1457" s="74" t="s">
        <v>281</v>
      </c>
      <c r="D1457" s="27">
        <v>0</v>
      </c>
      <c r="E1457" s="53">
        <v>0</v>
      </c>
      <c r="F1457" s="53">
        <v>0</v>
      </c>
      <c r="G1457" s="53">
        <v>0</v>
      </c>
      <c r="H1457" s="53">
        <v>0</v>
      </c>
      <c r="I1457" s="53">
        <v>0</v>
      </c>
      <c r="J1457" s="53">
        <v>0</v>
      </c>
      <c r="K1457" s="53">
        <v>0</v>
      </c>
      <c r="L1457" s="53">
        <v>3200589490.0700002</v>
      </c>
      <c r="M1457" s="53">
        <v>2953246914.71</v>
      </c>
      <c r="N1457" s="53">
        <v>2858973891.77</v>
      </c>
      <c r="O1457" s="53">
        <v>2909831532.6799998</v>
      </c>
      <c r="P1457" s="53">
        <v>0</v>
      </c>
      <c r="Q1457" s="53">
        <v>0</v>
      </c>
      <c r="R1457" s="53">
        <v>0</v>
      </c>
    </row>
    <row r="1458" spans="1:18" x14ac:dyDescent="0.25">
      <c r="A1458" s="25" t="s">
        <v>291</v>
      </c>
      <c r="B1458" s="26">
        <v>2016</v>
      </c>
      <c r="C1458" s="74" t="s">
        <v>287</v>
      </c>
      <c r="D1458" s="27">
        <v>0</v>
      </c>
      <c r="E1458" s="53">
        <v>0</v>
      </c>
      <c r="F1458" s="53">
        <v>0</v>
      </c>
      <c r="G1458" s="53">
        <v>0</v>
      </c>
      <c r="H1458" s="53">
        <v>0</v>
      </c>
      <c r="I1458" s="53">
        <v>0</v>
      </c>
      <c r="J1458" s="53">
        <v>0</v>
      </c>
      <c r="K1458" s="53">
        <v>0</v>
      </c>
      <c r="L1458" s="53">
        <v>281267476.93000001</v>
      </c>
      <c r="M1458" s="53">
        <v>251950624.21000001</v>
      </c>
      <c r="N1458" s="53">
        <v>281718161.91000003</v>
      </c>
      <c r="O1458" s="53">
        <v>258554338.66</v>
      </c>
      <c r="P1458" s="53">
        <v>0</v>
      </c>
      <c r="Q1458" s="53">
        <v>0</v>
      </c>
      <c r="R1458" s="53">
        <v>0</v>
      </c>
    </row>
    <row r="1459" spans="1:18" x14ac:dyDescent="0.25">
      <c r="A1459" s="25" t="s">
        <v>289</v>
      </c>
      <c r="B1459" s="26">
        <v>2016</v>
      </c>
      <c r="C1459" s="74" t="s">
        <v>287</v>
      </c>
      <c r="D1459" s="27">
        <v>0</v>
      </c>
      <c r="E1459" s="53">
        <v>0</v>
      </c>
      <c r="F1459" s="53">
        <v>0</v>
      </c>
      <c r="G1459" s="53">
        <v>0</v>
      </c>
      <c r="H1459" s="53">
        <v>0</v>
      </c>
      <c r="I1459" s="53">
        <v>0</v>
      </c>
      <c r="J1459" s="53">
        <v>0</v>
      </c>
      <c r="K1459" s="53">
        <v>0</v>
      </c>
      <c r="L1459" s="53">
        <v>243859428.40000001</v>
      </c>
      <c r="M1459" s="53">
        <v>204878850.34999999</v>
      </c>
      <c r="N1459" s="53">
        <v>231923752.22999999</v>
      </c>
      <c r="O1459" s="53">
        <v>237272851.47999999</v>
      </c>
      <c r="P1459" s="53">
        <v>0</v>
      </c>
      <c r="Q1459" s="53">
        <v>0</v>
      </c>
      <c r="R1459" s="53">
        <v>0</v>
      </c>
    </row>
    <row r="1460" spans="1:18" x14ac:dyDescent="0.25">
      <c r="A1460" s="25" t="s">
        <v>286</v>
      </c>
      <c r="B1460" s="26">
        <v>2016</v>
      </c>
      <c r="C1460" s="74" t="s">
        <v>285</v>
      </c>
      <c r="D1460" s="27">
        <v>0</v>
      </c>
      <c r="E1460" s="53">
        <v>0</v>
      </c>
      <c r="F1460" s="53">
        <v>0</v>
      </c>
      <c r="G1460" s="53">
        <v>0</v>
      </c>
      <c r="H1460" s="53">
        <v>0</v>
      </c>
      <c r="I1460" s="53">
        <v>0</v>
      </c>
      <c r="J1460" s="53">
        <v>0</v>
      </c>
      <c r="K1460" s="53">
        <v>0</v>
      </c>
      <c r="L1460" s="53">
        <v>0</v>
      </c>
      <c r="M1460" s="53">
        <v>0</v>
      </c>
      <c r="N1460" s="53">
        <v>46880485.409999996</v>
      </c>
      <c r="O1460" s="53">
        <v>48571187</v>
      </c>
      <c r="P1460" s="53">
        <v>0</v>
      </c>
      <c r="Q1460" s="53">
        <v>0</v>
      </c>
      <c r="R1460" s="53">
        <v>0</v>
      </c>
    </row>
    <row r="1461" spans="1:18" x14ac:dyDescent="0.25">
      <c r="A1461" s="25" t="s">
        <v>283</v>
      </c>
      <c r="B1461" s="26">
        <v>2016</v>
      </c>
      <c r="C1461" s="74" t="s">
        <v>282</v>
      </c>
      <c r="D1461" s="27">
        <v>0</v>
      </c>
      <c r="E1461" s="53">
        <v>0</v>
      </c>
      <c r="F1461" s="53">
        <v>0</v>
      </c>
      <c r="G1461" s="53">
        <v>0</v>
      </c>
      <c r="H1461" s="53">
        <v>0</v>
      </c>
      <c r="I1461" s="53">
        <v>0</v>
      </c>
      <c r="J1461" s="53">
        <v>0</v>
      </c>
      <c r="K1461" s="53">
        <v>0</v>
      </c>
      <c r="L1461" s="53">
        <v>544175040</v>
      </c>
      <c r="M1461" s="53">
        <v>515699802</v>
      </c>
      <c r="N1461" s="53">
        <v>1113765484</v>
      </c>
      <c r="O1461" s="53">
        <v>1153129268</v>
      </c>
      <c r="P1461" s="53">
        <v>0</v>
      </c>
      <c r="Q1461" s="53">
        <v>0</v>
      </c>
      <c r="R1461" s="53">
        <v>0</v>
      </c>
    </row>
    <row r="1462" spans="1:18" x14ac:dyDescent="0.25">
      <c r="A1462" s="25" t="s">
        <v>280</v>
      </c>
      <c r="B1462" s="26">
        <v>2016</v>
      </c>
      <c r="C1462" s="74" t="s">
        <v>279</v>
      </c>
      <c r="D1462" s="27">
        <v>0</v>
      </c>
      <c r="E1462" s="53">
        <v>0</v>
      </c>
      <c r="F1462" s="53">
        <v>0</v>
      </c>
      <c r="G1462" s="53">
        <v>0</v>
      </c>
      <c r="H1462" s="53">
        <v>0</v>
      </c>
      <c r="I1462" s="53">
        <v>0</v>
      </c>
      <c r="J1462" s="53">
        <v>0</v>
      </c>
      <c r="K1462" s="53">
        <v>0</v>
      </c>
      <c r="L1462" s="53">
        <v>658815736.72000003</v>
      </c>
      <c r="M1462" s="53">
        <v>1110556297.5999999</v>
      </c>
      <c r="N1462" s="53">
        <v>1488163424</v>
      </c>
      <c r="O1462" s="53">
        <v>1024325065.6</v>
      </c>
      <c r="P1462" s="53">
        <v>0</v>
      </c>
      <c r="Q1462" s="53">
        <v>0</v>
      </c>
      <c r="R1462" s="53">
        <v>0</v>
      </c>
    </row>
    <row r="1463" spans="1:18" x14ac:dyDescent="0.25">
      <c r="A1463" s="25" t="s">
        <v>276</v>
      </c>
      <c r="B1463" s="26">
        <v>2016</v>
      </c>
      <c r="C1463" s="74" t="s">
        <v>275</v>
      </c>
      <c r="D1463" s="27">
        <v>0</v>
      </c>
      <c r="E1463" s="53">
        <v>0</v>
      </c>
      <c r="F1463" s="53">
        <v>0</v>
      </c>
      <c r="G1463" s="53">
        <v>0</v>
      </c>
      <c r="H1463" s="53">
        <v>0</v>
      </c>
      <c r="I1463" s="53">
        <v>0</v>
      </c>
      <c r="J1463" s="53">
        <v>0</v>
      </c>
      <c r="K1463" s="53">
        <v>0</v>
      </c>
      <c r="L1463" s="53">
        <v>94840808.109999999</v>
      </c>
      <c r="M1463" s="53">
        <v>103914346.54000001</v>
      </c>
      <c r="N1463" s="53">
        <v>177020461.83000001</v>
      </c>
      <c r="O1463" s="53">
        <v>117394766.56</v>
      </c>
      <c r="P1463" s="53">
        <v>0</v>
      </c>
      <c r="Q1463" s="53">
        <v>0</v>
      </c>
      <c r="R1463" s="53">
        <v>0</v>
      </c>
    </row>
    <row r="1464" spans="1:18" x14ac:dyDescent="0.25">
      <c r="A1464" s="25" t="s">
        <v>274</v>
      </c>
      <c r="B1464" s="26">
        <v>2016</v>
      </c>
      <c r="C1464" s="74" t="s">
        <v>273</v>
      </c>
      <c r="D1464" s="27">
        <v>0</v>
      </c>
      <c r="E1464" s="53">
        <v>0</v>
      </c>
      <c r="F1464" s="53">
        <v>0</v>
      </c>
      <c r="G1464" s="53">
        <v>0</v>
      </c>
      <c r="H1464" s="53">
        <v>0</v>
      </c>
      <c r="I1464" s="53">
        <v>0</v>
      </c>
      <c r="J1464" s="53">
        <v>0</v>
      </c>
      <c r="K1464" s="53">
        <v>0</v>
      </c>
      <c r="L1464" s="53">
        <v>11230900</v>
      </c>
      <c r="M1464" s="53">
        <v>5615450</v>
      </c>
      <c r="N1464" s="53">
        <v>0</v>
      </c>
      <c r="O1464" s="53">
        <v>11230900</v>
      </c>
      <c r="P1464" s="53">
        <v>0</v>
      </c>
      <c r="Q1464" s="53">
        <v>0</v>
      </c>
      <c r="R1464" s="53">
        <v>0</v>
      </c>
    </row>
    <row r="1465" spans="1:18" x14ac:dyDescent="0.25">
      <c r="A1465" s="25" t="s">
        <v>268</v>
      </c>
      <c r="B1465" s="26">
        <v>2016</v>
      </c>
      <c r="C1465" s="74" t="s">
        <v>267</v>
      </c>
      <c r="D1465" s="27">
        <v>0</v>
      </c>
      <c r="E1465" s="53">
        <v>0</v>
      </c>
      <c r="F1465" s="53">
        <v>0</v>
      </c>
      <c r="G1465" s="53">
        <v>0</v>
      </c>
      <c r="H1465" s="53">
        <v>0</v>
      </c>
      <c r="I1465" s="53">
        <v>0</v>
      </c>
      <c r="J1465" s="53">
        <v>0</v>
      </c>
      <c r="K1465" s="53">
        <v>0</v>
      </c>
      <c r="L1465" s="53">
        <v>12622237964.860001</v>
      </c>
      <c r="M1465" s="53">
        <v>12690576017.58</v>
      </c>
      <c r="N1465" s="53">
        <v>13713617706.27</v>
      </c>
      <c r="O1465" s="53">
        <v>13672422106.709999</v>
      </c>
      <c r="P1465" s="53">
        <v>0</v>
      </c>
      <c r="Q1465" s="53">
        <v>0</v>
      </c>
      <c r="R1465" s="53">
        <v>0</v>
      </c>
    </row>
    <row r="1466" spans="1:18" x14ac:dyDescent="0.25">
      <c r="A1466" s="25" t="s">
        <v>264</v>
      </c>
      <c r="B1466" s="26">
        <v>2016</v>
      </c>
      <c r="C1466" s="74" t="s">
        <v>263</v>
      </c>
      <c r="D1466" s="27">
        <v>0</v>
      </c>
      <c r="E1466" s="53">
        <v>0</v>
      </c>
      <c r="F1466" s="53">
        <v>0</v>
      </c>
      <c r="G1466" s="53">
        <v>0</v>
      </c>
      <c r="H1466" s="53">
        <v>0</v>
      </c>
      <c r="I1466" s="53">
        <v>0</v>
      </c>
      <c r="J1466" s="53">
        <v>0</v>
      </c>
      <c r="K1466" s="53">
        <v>0</v>
      </c>
      <c r="L1466" s="53">
        <v>2366007811.7199998</v>
      </c>
      <c r="M1466" s="53">
        <v>2282727859.0700002</v>
      </c>
      <c r="N1466" s="53">
        <v>2346338614.8200002</v>
      </c>
      <c r="O1466" s="53">
        <v>2216651295.1799998</v>
      </c>
      <c r="P1466" s="53">
        <v>0</v>
      </c>
      <c r="Q1466" s="53">
        <v>0</v>
      </c>
      <c r="R1466" s="53">
        <v>0</v>
      </c>
    </row>
    <row r="1467" spans="1:18" x14ac:dyDescent="0.25">
      <c r="A1467" s="25" t="s">
        <v>260</v>
      </c>
      <c r="B1467" s="26">
        <v>2016</v>
      </c>
      <c r="C1467" s="74" t="s">
        <v>259</v>
      </c>
      <c r="D1467" s="27">
        <v>0</v>
      </c>
      <c r="E1467" s="53">
        <v>0</v>
      </c>
      <c r="F1467" s="53">
        <v>0</v>
      </c>
      <c r="G1467" s="53">
        <v>0</v>
      </c>
      <c r="H1467" s="53">
        <v>0</v>
      </c>
      <c r="I1467" s="53">
        <v>0</v>
      </c>
      <c r="J1467" s="53">
        <v>0</v>
      </c>
      <c r="K1467" s="53">
        <v>0</v>
      </c>
      <c r="L1467" s="53">
        <v>340171009.27999997</v>
      </c>
      <c r="M1467" s="53">
        <v>244423916.69</v>
      </c>
      <c r="N1467" s="53">
        <v>225912340.62</v>
      </c>
      <c r="O1467" s="53">
        <v>236625960.66999999</v>
      </c>
      <c r="P1467" s="53">
        <v>0</v>
      </c>
      <c r="Q1467" s="53">
        <v>0</v>
      </c>
      <c r="R1467" s="53">
        <v>0</v>
      </c>
    </row>
    <row r="1468" spans="1:18" x14ac:dyDescent="0.25">
      <c r="A1468" s="25" t="s">
        <v>258</v>
      </c>
      <c r="B1468" s="26">
        <v>2016</v>
      </c>
      <c r="C1468" s="74" t="s">
        <v>257</v>
      </c>
      <c r="D1468" s="27">
        <v>0</v>
      </c>
      <c r="E1468" s="53">
        <v>0</v>
      </c>
      <c r="F1468" s="53">
        <v>0</v>
      </c>
      <c r="G1468" s="53">
        <v>0</v>
      </c>
      <c r="H1468" s="53">
        <v>0</v>
      </c>
      <c r="I1468" s="53">
        <v>0</v>
      </c>
      <c r="J1468" s="53">
        <v>0</v>
      </c>
      <c r="K1468" s="53">
        <v>0</v>
      </c>
      <c r="L1468" s="53">
        <v>19436251.5</v>
      </c>
      <c r="M1468" s="53">
        <v>13874866.5</v>
      </c>
      <c r="N1468" s="53">
        <v>12972180</v>
      </c>
      <c r="O1468" s="53">
        <v>13425352.5</v>
      </c>
      <c r="P1468" s="53">
        <v>0</v>
      </c>
      <c r="Q1468" s="53">
        <v>0</v>
      </c>
      <c r="R1468" s="53">
        <v>0</v>
      </c>
    </row>
    <row r="1469" spans="1:18" x14ac:dyDescent="0.25">
      <c r="A1469" s="25" t="s">
        <v>256</v>
      </c>
      <c r="B1469" s="26">
        <v>2016</v>
      </c>
      <c r="C1469" s="74" t="s">
        <v>255</v>
      </c>
      <c r="D1469" s="27">
        <v>0</v>
      </c>
      <c r="E1469" s="53">
        <v>0</v>
      </c>
      <c r="F1469" s="53">
        <v>0</v>
      </c>
      <c r="G1469" s="53">
        <v>0</v>
      </c>
      <c r="H1469" s="53">
        <v>0</v>
      </c>
      <c r="I1469" s="53">
        <v>0</v>
      </c>
      <c r="J1469" s="53">
        <v>0</v>
      </c>
      <c r="K1469" s="53">
        <v>0</v>
      </c>
      <c r="L1469" s="53">
        <v>141717826.75</v>
      </c>
      <c r="M1469" s="53">
        <v>128593631.25</v>
      </c>
      <c r="N1469" s="53">
        <v>141284370</v>
      </c>
      <c r="O1469" s="53">
        <v>137600119.25</v>
      </c>
      <c r="P1469" s="53">
        <v>0</v>
      </c>
      <c r="Q1469" s="53">
        <v>0</v>
      </c>
      <c r="R1469" s="53">
        <v>0</v>
      </c>
    </row>
    <row r="1470" spans="1:18" x14ac:dyDescent="0.25">
      <c r="A1470" s="25" t="s">
        <v>253</v>
      </c>
      <c r="B1470" s="26">
        <v>2016</v>
      </c>
      <c r="C1470" s="74" t="s">
        <v>252</v>
      </c>
      <c r="D1470" s="27">
        <v>0</v>
      </c>
      <c r="E1470" s="53">
        <v>0</v>
      </c>
      <c r="F1470" s="53">
        <v>0</v>
      </c>
      <c r="G1470" s="53">
        <v>0</v>
      </c>
      <c r="H1470" s="53">
        <v>0</v>
      </c>
      <c r="I1470" s="53">
        <v>0</v>
      </c>
      <c r="J1470" s="53">
        <v>0</v>
      </c>
      <c r="K1470" s="53">
        <v>0</v>
      </c>
      <c r="L1470" s="53">
        <v>3071928595.75</v>
      </c>
      <c r="M1470" s="53">
        <v>3583278821.2600002</v>
      </c>
      <c r="N1470" s="53">
        <v>3827180591.1599998</v>
      </c>
      <c r="O1470" s="53">
        <v>2540082427.5100002</v>
      </c>
      <c r="P1470" s="53">
        <v>0</v>
      </c>
      <c r="Q1470" s="53">
        <v>0</v>
      </c>
      <c r="R1470" s="53">
        <v>0</v>
      </c>
    </row>
    <row r="1471" spans="1:18" x14ac:dyDescent="0.25">
      <c r="A1471" s="25" t="s">
        <v>251</v>
      </c>
      <c r="B1471" s="26">
        <v>2016</v>
      </c>
      <c r="C1471" s="74" t="s">
        <v>250</v>
      </c>
      <c r="D1471" s="27">
        <v>0</v>
      </c>
      <c r="E1471" s="53">
        <v>0</v>
      </c>
      <c r="F1471" s="53">
        <v>0</v>
      </c>
      <c r="G1471" s="53">
        <v>0</v>
      </c>
      <c r="H1471" s="53">
        <v>0</v>
      </c>
      <c r="I1471" s="53">
        <v>0</v>
      </c>
      <c r="J1471" s="53">
        <v>0</v>
      </c>
      <c r="K1471" s="53">
        <v>0</v>
      </c>
      <c r="L1471" s="53">
        <v>145686899.90000001</v>
      </c>
      <c r="M1471" s="53">
        <v>221829849.05000001</v>
      </c>
      <c r="N1471" s="53">
        <v>187350951.34999999</v>
      </c>
      <c r="O1471" s="53">
        <v>158084045.75</v>
      </c>
      <c r="P1471" s="53">
        <v>0</v>
      </c>
      <c r="Q1471" s="53">
        <v>0</v>
      </c>
      <c r="R1471" s="53">
        <v>0</v>
      </c>
    </row>
    <row r="1472" spans="1:18" x14ac:dyDescent="0.25">
      <c r="A1472" s="25" t="s">
        <v>249</v>
      </c>
      <c r="B1472" s="26">
        <v>2016</v>
      </c>
      <c r="C1472" s="74" t="s">
        <v>248</v>
      </c>
      <c r="D1472" s="27">
        <v>0</v>
      </c>
      <c r="E1472" s="53">
        <v>0</v>
      </c>
      <c r="F1472" s="53">
        <v>0</v>
      </c>
      <c r="G1472" s="53">
        <v>0</v>
      </c>
      <c r="H1472" s="53">
        <v>0</v>
      </c>
      <c r="I1472" s="53">
        <v>0</v>
      </c>
      <c r="J1472" s="53">
        <v>0</v>
      </c>
      <c r="K1472" s="53">
        <v>0</v>
      </c>
      <c r="L1472" s="53">
        <v>438725727.63999999</v>
      </c>
      <c r="M1472" s="53">
        <v>565985641.27999997</v>
      </c>
      <c r="N1472" s="53">
        <v>-416342295.80000001</v>
      </c>
      <c r="O1472" s="53">
        <v>105149643.06999999</v>
      </c>
      <c r="P1472" s="53">
        <v>0</v>
      </c>
      <c r="Q1472" s="53">
        <v>0</v>
      </c>
      <c r="R1472" s="53">
        <v>0</v>
      </c>
    </row>
    <row r="1473" spans="1:18" x14ac:dyDescent="0.25">
      <c r="A1473" s="25" t="s">
        <v>246</v>
      </c>
      <c r="B1473" s="26">
        <v>2016</v>
      </c>
      <c r="C1473" s="74" t="s">
        <v>245</v>
      </c>
      <c r="D1473" s="27">
        <v>0</v>
      </c>
      <c r="E1473" s="53">
        <v>0</v>
      </c>
      <c r="F1473" s="53">
        <v>0</v>
      </c>
      <c r="G1473" s="53">
        <v>0</v>
      </c>
      <c r="H1473" s="53">
        <v>0</v>
      </c>
      <c r="I1473" s="53">
        <v>0</v>
      </c>
      <c r="J1473" s="53">
        <v>0</v>
      </c>
      <c r="K1473" s="53">
        <v>0</v>
      </c>
      <c r="L1473" s="53">
        <v>642198.06999999995</v>
      </c>
      <c r="M1473" s="53">
        <v>106137032.11</v>
      </c>
      <c r="N1473" s="53">
        <v>302772316.51999998</v>
      </c>
      <c r="O1473" s="53">
        <v>117968860.55</v>
      </c>
      <c r="P1473" s="53">
        <v>0</v>
      </c>
      <c r="Q1473" s="53">
        <v>0</v>
      </c>
      <c r="R1473" s="53">
        <v>0</v>
      </c>
    </row>
    <row r="1474" spans="1:18" x14ac:dyDescent="0.25">
      <c r="A1474" s="25" t="s">
        <v>244</v>
      </c>
      <c r="B1474" s="26">
        <v>2016</v>
      </c>
      <c r="C1474" s="74" t="s">
        <v>243</v>
      </c>
      <c r="D1474" s="27">
        <v>0</v>
      </c>
      <c r="E1474" s="53">
        <v>0</v>
      </c>
      <c r="F1474" s="53">
        <v>0</v>
      </c>
      <c r="G1474" s="53">
        <v>0</v>
      </c>
      <c r="H1474" s="53">
        <v>0</v>
      </c>
      <c r="I1474" s="53">
        <v>0</v>
      </c>
      <c r="J1474" s="53">
        <v>0</v>
      </c>
      <c r="K1474" s="53">
        <v>0</v>
      </c>
      <c r="L1474" s="53">
        <v>886112768.62</v>
      </c>
      <c r="M1474" s="53">
        <v>501078602.70999998</v>
      </c>
      <c r="N1474" s="53">
        <v>1585207279.8800001</v>
      </c>
      <c r="O1474" s="53">
        <v>511427419.95999998</v>
      </c>
      <c r="P1474" s="53">
        <v>0</v>
      </c>
      <c r="Q1474" s="53">
        <v>0</v>
      </c>
      <c r="R1474" s="53">
        <v>0</v>
      </c>
    </row>
    <row r="1475" spans="1:18" x14ac:dyDescent="0.25">
      <c r="A1475" s="25" t="s">
        <v>242</v>
      </c>
      <c r="B1475" s="26">
        <v>2016</v>
      </c>
      <c r="C1475" s="74" t="s">
        <v>241</v>
      </c>
      <c r="D1475" s="27">
        <v>0</v>
      </c>
      <c r="E1475" s="53">
        <v>0</v>
      </c>
      <c r="F1475" s="53">
        <v>0</v>
      </c>
      <c r="G1475" s="53">
        <v>0</v>
      </c>
      <c r="H1475" s="53">
        <v>0</v>
      </c>
      <c r="I1475" s="53">
        <v>0</v>
      </c>
      <c r="J1475" s="53">
        <v>0</v>
      </c>
      <c r="K1475" s="53">
        <v>0</v>
      </c>
      <c r="L1475" s="53">
        <v>443570618.77999997</v>
      </c>
      <c r="M1475" s="53">
        <v>859081832.51999998</v>
      </c>
      <c r="N1475" s="53">
        <v>2535542607.4299998</v>
      </c>
      <c r="O1475" s="53">
        <v>897733386.36000001</v>
      </c>
      <c r="P1475" s="53">
        <v>0</v>
      </c>
      <c r="Q1475" s="53">
        <v>0</v>
      </c>
      <c r="R1475" s="53">
        <v>0</v>
      </c>
    </row>
    <row r="1476" spans="1:18" x14ac:dyDescent="0.25">
      <c r="A1476" s="25" t="s">
        <v>240</v>
      </c>
      <c r="B1476" s="26">
        <v>2016</v>
      </c>
      <c r="C1476" s="74" t="s">
        <v>239</v>
      </c>
      <c r="D1476" s="27">
        <v>0</v>
      </c>
      <c r="E1476" s="53">
        <v>0</v>
      </c>
      <c r="F1476" s="53">
        <v>0</v>
      </c>
      <c r="G1476" s="53">
        <v>0</v>
      </c>
      <c r="H1476" s="53">
        <v>0</v>
      </c>
      <c r="I1476" s="53">
        <v>0</v>
      </c>
      <c r="J1476" s="53">
        <v>0</v>
      </c>
      <c r="K1476" s="53">
        <v>0</v>
      </c>
      <c r="L1476" s="53">
        <v>105263830.95</v>
      </c>
      <c r="M1476" s="53">
        <v>106196724.62</v>
      </c>
      <c r="N1476" s="53">
        <v>110596344.59</v>
      </c>
      <c r="O1476" s="53">
        <v>88553819.159999996</v>
      </c>
      <c r="P1476" s="53">
        <v>0</v>
      </c>
      <c r="Q1476" s="53">
        <v>0</v>
      </c>
      <c r="R1476" s="53">
        <v>0</v>
      </c>
    </row>
    <row r="1477" spans="1:18" x14ac:dyDescent="0.25">
      <c r="A1477" s="25" t="s">
        <v>236</v>
      </c>
      <c r="B1477" s="26">
        <v>2016</v>
      </c>
      <c r="C1477" s="74" t="s">
        <v>235</v>
      </c>
      <c r="D1477" s="27">
        <v>0</v>
      </c>
      <c r="E1477" s="53">
        <v>0</v>
      </c>
      <c r="F1477" s="53">
        <v>0</v>
      </c>
      <c r="G1477" s="53">
        <v>0</v>
      </c>
      <c r="H1477" s="53">
        <v>0</v>
      </c>
      <c r="I1477" s="53">
        <v>0</v>
      </c>
      <c r="J1477" s="53">
        <v>0</v>
      </c>
      <c r="K1477" s="53">
        <v>0</v>
      </c>
      <c r="L1477" s="53">
        <v>607640432.00999999</v>
      </c>
      <c r="M1477" s="53">
        <v>484643661.56</v>
      </c>
      <c r="N1477" s="53">
        <v>300749593.31999999</v>
      </c>
      <c r="O1477" s="53">
        <v>316330834.57999998</v>
      </c>
      <c r="P1477" s="53">
        <v>0</v>
      </c>
      <c r="Q1477" s="53">
        <v>0</v>
      </c>
      <c r="R1477" s="53">
        <v>0</v>
      </c>
    </row>
    <row r="1478" spans="1:18" x14ac:dyDescent="0.25">
      <c r="A1478" s="25" t="s">
        <v>234</v>
      </c>
      <c r="B1478" s="26">
        <v>2016</v>
      </c>
      <c r="C1478" s="74" t="s">
        <v>233</v>
      </c>
      <c r="D1478" s="27">
        <v>0</v>
      </c>
      <c r="E1478" s="53">
        <v>0</v>
      </c>
      <c r="F1478" s="53">
        <v>0</v>
      </c>
      <c r="G1478" s="53">
        <v>0</v>
      </c>
      <c r="H1478" s="53">
        <v>0</v>
      </c>
      <c r="I1478" s="53">
        <v>0</v>
      </c>
      <c r="J1478" s="53">
        <v>0</v>
      </c>
      <c r="K1478" s="53">
        <v>0</v>
      </c>
      <c r="L1478" s="53">
        <v>35220.879999999997</v>
      </c>
      <c r="M1478" s="53">
        <v>77616.5</v>
      </c>
      <c r="N1478" s="53">
        <v>43026.3</v>
      </c>
      <c r="O1478" s="53">
        <v>96965.72</v>
      </c>
      <c r="P1478" s="53">
        <v>0</v>
      </c>
      <c r="Q1478" s="53">
        <v>0</v>
      </c>
      <c r="R1478" s="53">
        <v>0</v>
      </c>
    </row>
    <row r="1479" spans="1:18" x14ac:dyDescent="0.25">
      <c r="A1479" s="25" t="s">
        <v>230</v>
      </c>
      <c r="B1479" s="26">
        <v>2016</v>
      </c>
      <c r="C1479" s="74" t="s">
        <v>229</v>
      </c>
      <c r="D1479" s="27">
        <v>0</v>
      </c>
      <c r="E1479" s="53">
        <v>0</v>
      </c>
      <c r="F1479" s="53">
        <v>0</v>
      </c>
      <c r="G1479" s="53">
        <v>0</v>
      </c>
      <c r="H1479" s="53">
        <v>0</v>
      </c>
      <c r="I1479" s="53">
        <v>0</v>
      </c>
      <c r="J1479" s="53">
        <v>0</v>
      </c>
      <c r="K1479" s="53">
        <v>0</v>
      </c>
      <c r="L1479" s="53">
        <v>1860398488.52</v>
      </c>
      <c r="M1479" s="53">
        <v>1688302745.22</v>
      </c>
      <c r="N1479" s="53">
        <v>1865206272.3699999</v>
      </c>
      <c r="O1479" s="53">
        <v>1857160467.28</v>
      </c>
      <c r="P1479" s="53">
        <v>0</v>
      </c>
      <c r="Q1479" s="53">
        <v>0</v>
      </c>
      <c r="R1479" s="53">
        <v>0</v>
      </c>
    </row>
    <row r="1480" spans="1:18" x14ac:dyDescent="0.25">
      <c r="A1480" s="25" t="s">
        <v>377</v>
      </c>
      <c r="B1480" s="26">
        <v>2016</v>
      </c>
      <c r="C1480" s="74" t="s">
        <v>410</v>
      </c>
      <c r="D1480" s="27">
        <v>0</v>
      </c>
      <c r="E1480" s="53">
        <v>0</v>
      </c>
      <c r="F1480" s="53">
        <v>0</v>
      </c>
      <c r="G1480" s="53">
        <v>0</v>
      </c>
      <c r="H1480" s="53">
        <v>0</v>
      </c>
      <c r="I1480" s="53">
        <v>0</v>
      </c>
      <c r="J1480" s="53">
        <v>0</v>
      </c>
      <c r="K1480" s="53">
        <v>0</v>
      </c>
      <c r="L1480" s="53">
        <v>25168728309.119999</v>
      </c>
      <c r="M1480" s="53">
        <v>39359185.770000003</v>
      </c>
      <c r="N1480" s="53">
        <v>40269515.020000003</v>
      </c>
      <c r="O1480" s="53">
        <v>38845720.32</v>
      </c>
      <c r="P1480" s="53">
        <v>0</v>
      </c>
      <c r="Q1480" s="53">
        <v>0</v>
      </c>
      <c r="R1480" s="53">
        <v>0</v>
      </c>
    </row>
    <row r="1481" spans="1:18" x14ac:dyDescent="0.25">
      <c r="A1481" s="25" t="s">
        <v>228</v>
      </c>
      <c r="B1481" s="26">
        <v>2016</v>
      </c>
      <c r="C1481" s="74" t="s">
        <v>227</v>
      </c>
      <c r="D1481" s="27">
        <v>0</v>
      </c>
      <c r="E1481" s="53">
        <v>0</v>
      </c>
      <c r="F1481" s="53">
        <v>0</v>
      </c>
      <c r="G1481" s="53">
        <v>0</v>
      </c>
      <c r="H1481" s="53">
        <v>0</v>
      </c>
      <c r="I1481" s="53">
        <v>0</v>
      </c>
      <c r="J1481" s="53">
        <v>0</v>
      </c>
      <c r="K1481" s="53">
        <v>0</v>
      </c>
      <c r="L1481" s="53">
        <v>2183648776.75</v>
      </c>
      <c r="M1481" s="53">
        <v>2197984544.0999999</v>
      </c>
      <c r="N1481" s="53">
        <v>2240169506.9899998</v>
      </c>
      <c r="O1481" s="53">
        <v>2266412326.5700002</v>
      </c>
      <c r="P1481" s="53">
        <v>0</v>
      </c>
      <c r="Q1481" s="53">
        <v>0</v>
      </c>
      <c r="R1481" s="53">
        <v>0</v>
      </c>
    </row>
    <row r="1482" spans="1:18" x14ac:dyDescent="0.25">
      <c r="A1482" s="25" t="s">
        <v>226</v>
      </c>
      <c r="B1482" s="26">
        <v>2016</v>
      </c>
      <c r="C1482" s="74" t="s">
        <v>225</v>
      </c>
      <c r="D1482" s="27">
        <v>0</v>
      </c>
      <c r="E1482" s="53">
        <v>0</v>
      </c>
      <c r="F1482" s="53">
        <v>0</v>
      </c>
      <c r="G1482" s="53">
        <v>0</v>
      </c>
      <c r="H1482" s="53">
        <v>0</v>
      </c>
      <c r="I1482" s="53">
        <v>0</v>
      </c>
      <c r="J1482" s="53">
        <v>0</v>
      </c>
      <c r="K1482" s="53">
        <v>0</v>
      </c>
      <c r="L1482" s="53">
        <v>1253082749.0899999</v>
      </c>
      <c r="M1482" s="53">
        <v>1271498605.3</v>
      </c>
      <c r="N1482" s="53">
        <v>1189263591.1900001</v>
      </c>
      <c r="O1482" s="53">
        <v>1236490669.28</v>
      </c>
      <c r="P1482" s="53">
        <v>0</v>
      </c>
      <c r="Q1482" s="53">
        <v>0</v>
      </c>
      <c r="R1482" s="53">
        <v>0</v>
      </c>
    </row>
    <row r="1483" spans="1:18" x14ac:dyDescent="0.25">
      <c r="A1483" s="25" t="s">
        <v>222</v>
      </c>
      <c r="B1483" s="26">
        <v>2016</v>
      </c>
      <c r="C1483" s="74" t="s">
        <v>221</v>
      </c>
      <c r="D1483" s="27">
        <v>0</v>
      </c>
      <c r="E1483" s="53">
        <v>0</v>
      </c>
      <c r="F1483" s="53">
        <v>0</v>
      </c>
      <c r="G1483" s="53">
        <v>0</v>
      </c>
      <c r="H1483" s="53">
        <v>0</v>
      </c>
      <c r="I1483" s="53">
        <v>0</v>
      </c>
      <c r="J1483" s="53">
        <v>0</v>
      </c>
      <c r="K1483" s="53">
        <v>0</v>
      </c>
      <c r="L1483" s="53">
        <v>277853.78999999998</v>
      </c>
      <c r="M1483" s="53">
        <v>247840.83</v>
      </c>
      <c r="N1483" s="53">
        <v>246530.96</v>
      </c>
      <c r="O1483" s="53">
        <v>211849.56</v>
      </c>
      <c r="P1483" s="53">
        <v>0</v>
      </c>
      <c r="Q1483" s="53">
        <v>0</v>
      </c>
      <c r="R1483" s="53">
        <v>0</v>
      </c>
    </row>
    <row r="1484" spans="1:18" x14ac:dyDescent="0.25">
      <c r="A1484" s="25" t="s">
        <v>409</v>
      </c>
      <c r="B1484" s="26">
        <v>2016</v>
      </c>
      <c r="C1484" s="74" t="s">
        <v>408</v>
      </c>
      <c r="D1484" s="27">
        <v>0</v>
      </c>
      <c r="E1484" s="53">
        <v>0</v>
      </c>
      <c r="F1484" s="53">
        <v>0</v>
      </c>
      <c r="G1484" s="53">
        <v>0</v>
      </c>
      <c r="H1484" s="53">
        <v>0</v>
      </c>
      <c r="I1484" s="53">
        <v>0</v>
      </c>
      <c r="J1484" s="53">
        <v>0</v>
      </c>
      <c r="K1484" s="53">
        <v>0</v>
      </c>
      <c r="L1484" s="53">
        <v>2858069.91</v>
      </c>
      <c r="M1484" s="53">
        <v>0</v>
      </c>
      <c r="N1484" s="53">
        <v>0</v>
      </c>
      <c r="O1484" s="53">
        <v>0</v>
      </c>
      <c r="P1484" s="53">
        <v>0</v>
      </c>
      <c r="Q1484" s="53">
        <v>0</v>
      </c>
      <c r="R1484" s="53">
        <v>0</v>
      </c>
    </row>
    <row r="1485" spans="1:18" x14ac:dyDescent="0.25">
      <c r="A1485" s="25" t="s">
        <v>219</v>
      </c>
      <c r="B1485" s="26">
        <v>2016</v>
      </c>
      <c r="C1485" s="74" t="s">
        <v>408</v>
      </c>
      <c r="D1485" s="27">
        <v>0</v>
      </c>
      <c r="E1485" s="53">
        <v>0</v>
      </c>
      <c r="F1485" s="53">
        <v>0</v>
      </c>
      <c r="G1485" s="53">
        <v>0</v>
      </c>
      <c r="H1485" s="53">
        <v>0</v>
      </c>
      <c r="I1485" s="53">
        <v>0</v>
      </c>
      <c r="J1485" s="53">
        <v>0</v>
      </c>
      <c r="K1485" s="53">
        <v>0</v>
      </c>
      <c r="L1485" s="53">
        <v>0</v>
      </c>
      <c r="M1485" s="53">
        <v>2860409.98</v>
      </c>
      <c r="N1485" s="53">
        <v>4088209.49</v>
      </c>
      <c r="O1485" s="53">
        <v>2783317.88</v>
      </c>
      <c r="P1485" s="53">
        <v>0</v>
      </c>
      <c r="Q1485" s="53">
        <v>0</v>
      </c>
      <c r="R1485" s="53">
        <v>0</v>
      </c>
    </row>
    <row r="1486" spans="1:18" x14ac:dyDescent="0.25">
      <c r="A1486" s="25" t="s">
        <v>217</v>
      </c>
      <c r="B1486" s="26">
        <v>2016</v>
      </c>
      <c r="C1486" s="74" t="s">
        <v>216</v>
      </c>
      <c r="D1486" s="27">
        <v>0</v>
      </c>
      <c r="E1486" s="53">
        <v>0</v>
      </c>
      <c r="F1486" s="53">
        <v>0</v>
      </c>
      <c r="G1486" s="53">
        <v>0</v>
      </c>
      <c r="H1486" s="53">
        <v>0</v>
      </c>
      <c r="I1486" s="53">
        <v>0</v>
      </c>
      <c r="J1486" s="53">
        <v>0</v>
      </c>
      <c r="K1486" s="53">
        <v>0</v>
      </c>
      <c r="L1486" s="53">
        <v>0</v>
      </c>
      <c r="M1486" s="53">
        <v>1597408.06</v>
      </c>
      <c r="N1486" s="53">
        <v>1224720.93</v>
      </c>
      <c r="O1486" s="53">
        <v>1615786.33</v>
      </c>
      <c r="P1486" s="53">
        <v>0</v>
      </c>
      <c r="Q1486" s="53">
        <v>0</v>
      </c>
      <c r="R1486" s="53">
        <v>0</v>
      </c>
    </row>
    <row r="1487" spans="1:18" x14ac:dyDescent="0.25">
      <c r="A1487" s="25" t="s">
        <v>215</v>
      </c>
      <c r="B1487" s="26">
        <v>2016</v>
      </c>
      <c r="C1487" s="74" t="s">
        <v>214</v>
      </c>
      <c r="D1487" s="27">
        <v>0</v>
      </c>
      <c r="E1487" s="53">
        <v>0</v>
      </c>
      <c r="F1487" s="53">
        <v>0</v>
      </c>
      <c r="G1487" s="53">
        <v>0</v>
      </c>
      <c r="H1487" s="53">
        <v>0</v>
      </c>
      <c r="I1487" s="53">
        <v>0</v>
      </c>
      <c r="J1487" s="53">
        <v>0</v>
      </c>
      <c r="K1487" s="53">
        <v>0</v>
      </c>
      <c r="L1487" s="53">
        <v>770000</v>
      </c>
      <c r="M1487" s="53">
        <v>770000</v>
      </c>
      <c r="N1487" s="53">
        <v>350500</v>
      </c>
      <c r="O1487" s="53">
        <v>770000</v>
      </c>
      <c r="P1487" s="53">
        <v>0</v>
      </c>
      <c r="Q1487" s="53">
        <v>0</v>
      </c>
      <c r="R1487" s="53">
        <v>0</v>
      </c>
    </row>
    <row r="1488" spans="1:18" x14ac:dyDescent="0.25">
      <c r="A1488" s="25" t="s">
        <v>213</v>
      </c>
      <c r="B1488" s="26">
        <v>2016</v>
      </c>
      <c r="C1488" s="74" t="s">
        <v>212</v>
      </c>
      <c r="D1488" s="27">
        <v>0</v>
      </c>
      <c r="E1488" s="53">
        <v>0</v>
      </c>
      <c r="F1488" s="53">
        <v>0</v>
      </c>
      <c r="G1488" s="53">
        <v>0</v>
      </c>
      <c r="H1488" s="53">
        <v>0</v>
      </c>
      <c r="I1488" s="53">
        <v>0</v>
      </c>
      <c r="J1488" s="53">
        <v>0</v>
      </c>
      <c r="K1488" s="53">
        <v>0</v>
      </c>
      <c r="L1488" s="53">
        <v>3063516.95</v>
      </c>
      <c r="M1488" s="53">
        <v>3814260.1</v>
      </c>
      <c r="N1488" s="53">
        <v>1520164.53</v>
      </c>
      <c r="O1488" s="53">
        <v>3649049.4</v>
      </c>
      <c r="P1488" s="53">
        <v>0</v>
      </c>
      <c r="Q1488" s="53">
        <v>0</v>
      </c>
      <c r="R1488" s="53">
        <v>0</v>
      </c>
    </row>
    <row r="1489" spans="1:18" x14ac:dyDescent="0.25">
      <c r="A1489" s="25" t="s">
        <v>211</v>
      </c>
      <c r="B1489" s="26">
        <v>2016</v>
      </c>
      <c r="C1489" s="74" t="s">
        <v>210</v>
      </c>
      <c r="D1489" s="27">
        <v>0</v>
      </c>
      <c r="E1489" s="53">
        <v>0</v>
      </c>
      <c r="F1489" s="53">
        <v>0</v>
      </c>
      <c r="G1489" s="53">
        <v>0</v>
      </c>
      <c r="H1489" s="53">
        <v>0</v>
      </c>
      <c r="I1489" s="53">
        <v>0</v>
      </c>
      <c r="J1489" s="53">
        <v>0</v>
      </c>
      <c r="K1489" s="53">
        <v>0</v>
      </c>
      <c r="L1489" s="53">
        <v>71635675.340000004</v>
      </c>
      <c r="M1489" s="53">
        <v>1523878.4</v>
      </c>
      <c r="N1489" s="53">
        <v>39341214.579999998</v>
      </c>
      <c r="O1489" s="53">
        <v>4840149.2</v>
      </c>
      <c r="P1489" s="53">
        <v>0</v>
      </c>
      <c r="Q1489" s="53">
        <v>0</v>
      </c>
      <c r="R1489" s="53">
        <v>0</v>
      </c>
    </row>
    <row r="1490" spans="1:18" x14ac:dyDescent="0.25">
      <c r="A1490" s="25" t="s">
        <v>209</v>
      </c>
      <c r="B1490" s="26">
        <v>2016</v>
      </c>
      <c r="C1490" s="74" t="s">
        <v>208</v>
      </c>
      <c r="D1490" s="27">
        <v>0</v>
      </c>
      <c r="E1490" s="53">
        <v>0</v>
      </c>
      <c r="F1490" s="53">
        <v>0</v>
      </c>
      <c r="G1490" s="53">
        <v>0</v>
      </c>
      <c r="H1490" s="53">
        <v>0</v>
      </c>
      <c r="I1490" s="53">
        <v>0</v>
      </c>
      <c r="J1490" s="53">
        <v>0</v>
      </c>
      <c r="K1490" s="53">
        <v>0</v>
      </c>
      <c r="L1490" s="53">
        <v>1182103.27</v>
      </c>
      <c r="M1490" s="53">
        <v>557649.65</v>
      </c>
      <c r="N1490" s="53">
        <v>2710037.51</v>
      </c>
      <c r="O1490" s="53">
        <v>474125.8</v>
      </c>
      <c r="P1490" s="53">
        <v>0</v>
      </c>
      <c r="Q1490" s="53">
        <v>0</v>
      </c>
      <c r="R1490" s="53">
        <v>0</v>
      </c>
    </row>
    <row r="1491" spans="1:18" x14ac:dyDescent="0.25">
      <c r="A1491" s="25" t="s">
        <v>407</v>
      </c>
      <c r="B1491" s="26">
        <v>2016</v>
      </c>
      <c r="C1491" s="74" t="s">
        <v>406</v>
      </c>
      <c r="D1491" s="27">
        <v>0</v>
      </c>
      <c r="E1491" s="53">
        <v>0</v>
      </c>
      <c r="F1491" s="53">
        <v>0</v>
      </c>
      <c r="G1491" s="53">
        <v>0</v>
      </c>
      <c r="H1491" s="53">
        <v>0</v>
      </c>
      <c r="I1491" s="53">
        <v>0</v>
      </c>
      <c r="J1491" s="53">
        <v>0</v>
      </c>
      <c r="K1491" s="53">
        <v>0</v>
      </c>
      <c r="L1491" s="53">
        <v>0</v>
      </c>
      <c r="M1491" s="53">
        <v>0</v>
      </c>
      <c r="N1491" s="53">
        <v>0</v>
      </c>
      <c r="O1491" s="53">
        <v>0</v>
      </c>
      <c r="P1491" s="53">
        <v>0</v>
      </c>
      <c r="Q1491" s="53">
        <v>0</v>
      </c>
      <c r="R1491" s="53">
        <v>0</v>
      </c>
    </row>
    <row r="1492" spans="1:18" x14ac:dyDescent="0.25">
      <c r="A1492" s="25" t="s">
        <v>207</v>
      </c>
      <c r="B1492" s="26">
        <v>2016</v>
      </c>
      <c r="C1492" s="74" t="s">
        <v>206</v>
      </c>
      <c r="D1492" s="27">
        <v>0</v>
      </c>
      <c r="E1492" s="53">
        <v>0</v>
      </c>
      <c r="F1492" s="53">
        <v>0</v>
      </c>
      <c r="G1492" s="53">
        <v>0</v>
      </c>
      <c r="H1492" s="53">
        <v>0</v>
      </c>
      <c r="I1492" s="53">
        <v>0</v>
      </c>
      <c r="J1492" s="53">
        <v>0</v>
      </c>
      <c r="K1492" s="53">
        <v>0</v>
      </c>
      <c r="L1492" s="53">
        <v>0</v>
      </c>
      <c r="M1492" s="53">
        <v>0</v>
      </c>
      <c r="N1492" s="53">
        <v>0</v>
      </c>
      <c r="O1492" s="53">
        <v>0</v>
      </c>
      <c r="P1492" s="53">
        <v>0</v>
      </c>
      <c r="Q1492" s="53">
        <v>0</v>
      </c>
      <c r="R1492" s="53">
        <v>0</v>
      </c>
    </row>
    <row r="1493" spans="1:18" x14ac:dyDescent="0.25">
      <c r="A1493" s="25" t="s">
        <v>205</v>
      </c>
      <c r="B1493" s="26">
        <v>2016</v>
      </c>
      <c r="C1493" s="74" t="s">
        <v>204</v>
      </c>
      <c r="D1493" s="27">
        <v>0</v>
      </c>
      <c r="E1493" s="53">
        <v>0</v>
      </c>
      <c r="F1493" s="53">
        <v>0</v>
      </c>
      <c r="G1493" s="53">
        <v>0</v>
      </c>
      <c r="H1493" s="53">
        <v>0</v>
      </c>
      <c r="I1493" s="53">
        <v>0</v>
      </c>
      <c r="J1493" s="53">
        <v>0</v>
      </c>
      <c r="K1493" s="53">
        <v>0</v>
      </c>
      <c r="L1493" s="53">
        <v>47172480</v>
      </c>
      <c r="M1493" s="53">
        <v>50488320</v>
      </c>
      <c r="N1493" s="53">
        <v>48783840</v>
      </c>
      <c r="O1493" s="53">
        <v>55937600</v>
      </c>
      <c r="P1493" s="53">
        <v>0</v>
      </c>
      <c r="Q1493" s="53">
        <v>0</v>
      </c>
      <c r="R1493" s="53">
        <v>0</v>
      </c>
    </row>
    <row r="1494" spans="1:18" x14ac:dyDescent="0.25">
      <c r="A1494" s="25" t="s">
        <v>374</v>
      </c>
      <c r="B1494" s="26">
        <v>2016</v>
      </c>
      <c r="C1494" s="74" t="s">
        <v>405</v>
      </c>
      <c r="D1494" s="27">
        <v>0</v>
      </c>
      <c r="E1494" s="53">
        <v>0</v>
      </c>
      <c r="F1494" s="53">
        <v>0</v>
      </c>
      <c r="G1494" s="53">
        <v>0</v>
      </c>
      <c r="H1494" s="53">
        <v>0</v>
      </c>
      <c r="I1494" s="53">
        <v>0</v>
      </c>
      <c r="J1494" s="53">
        <v>0</v>
      </c>
      <c r="K1494" s="53">
        <v>0</v>
      </c>
      <c r="L1494" s="53">
        <v>200</v>
      </c>
      <c r="M1494" s="53">
        <v>400</v>
      </c>
      <c r="N1494" s="53">
        <v>400</v>
      </c>
      <c r="O1494" s="53">
        <v>0</v>
      </c>
      <c r="P1494" s="53">
        <v>0</v>
      </c>
      <c r="Q1494" s="53">
        <v>0</v>
      </c>
      <c r="R1494" s="53">
        <v>0</v>
      </c>
    </row>
    <row r="1495" spans="1:18" x14ac:dyDescent="0.25">
      <c r="A1495" s="25" t="s">
        <v>203</v>
      </c>
      <c r="B1495" s="26">
        <v>2016</v>
      </c>
      <c r="C1495" s="74" t="s">
        <v>202</v>
      </c>
      <c r="D1495" s="27">
        <v>0</v>
      </c>
      <c r="E1495" s="53">
        <v>0</v>
      </c>
      <c r="F1495" s="53">
        <v>0</v>
      </c>
      <c r="G1495" s="53">
        <v>0</v>
      </c>
      <c r="H1495" s="53">
        <v>0</v>
      </c>
      <c r="I1495" s="53">
        <v>0</v>
      </c>
      <c r="J1495" s="53">
        <v>0</v>
      </c>
      <c r="K1495" s="53">
        <v>0</v>
      </c>
      <c r="L1495" s="53">
        <v>34724175.270000003</v>
      </c>
      <c r="M1495" s="53">
        <v>22021810.809999999</v>
      </c>
      <c r="N1495" s="53">
        <v>17451917.609999999</v>
      </c>
      <c r="O1495" s="53">
        <v>17651103.649999999</v>
      </c>
      <c r="P1495" s="53">
        <v>0</v>
      </c>
      <c r="Q1495" s="53">
        <v>0</v>
      </c>
      <c r="R1495" s="53">
        <v>0</v>
      </c>
    </row>
    <row r="1496" spans="1:18" x14ac:dyDescent="0.25">
      <c r="A1496" s="25" t="s">
        <v>200</v>
      </c>
      <c r="B1496" s="26">
        <v>2016</v>
      </c>
      <c r="C1496" s="74" t="s">
        <v>199</v>
      </c>
      <c r="D1496" s="27">
        <v>0</v>
      </c>
      <c r="E1496" s="53">
        <v>0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3">
        <v>0</v>
      </c>
      <c r="L1496" s="53">
        <v>3767749.95</v>
      </c>
      <c r="M1496" s="53">
        <v>2083240</v>
      </c>
      <c r="N1496" s="53">
        <v>3966612</v>
      </c>
      <c r="O1496" s="53">
        <v>2684803.08</v>
      </c>
      <c r="P1496" s="53">
        <v>0</v>
      </c>
      <c r="Q1496" s="53">
        <v>0</v>
      </c>
      <c r="R1496" s="53">
        <v>0</v>
      </c>
    </row>
    <row r="1497" spans="1:18" x14ac:dyDescent="0.25">
      <c r="A1497" s="25" t="s">
        <v>198</v>
      </c>
      <c r="B1497" s="26">
        <v>2016</v>
      </c>
      <c r="C1497" s="74" t="s">
        <v>197</v>
      </c>
      <c r="D1497" s="27">
        <v>0</v>
      </c>
      <c r="E1497" s="53">
        <v>0</v>
      </c>
      <c r="F1497" s="53">
        <v>0</v>
      </c>
      <c r="G1497" s="53">
        <v>0</v>
      </c>
      <c r="H1497" s="53">
        <v>0</v>
      </c>
      <c r="I1497" s="53">
        <v>0</v>
      </c>
      <c r="J1497" s="53">
        <v>0</v>
      </c>
      <c r="K1497" s="53">
        <v>0</v>
      </c>
      <c r="L1497" s="53">
        <v>340650</v>
      </c>
      <c r="M1497" s="53">
        <v>395650</v>
      </c>
      <c r="N1497" s="53">
        <v>244490</v>
      </c>
      <c r="O1497" s="53">
        <v>492796</v>
      </c>
      <c r="P1497" s="53">
        <v>0</v>
      </c>
      <c r="Q1497" s="53">
        <v>0</v>
      </c>
      <c r="R1497" s="53">
        <v>0</v>
      </c>
    </row>
    <row r="1498" spans="1:18" x14ac:dyDescent="0.25">
      <c r="A1498" s="25" t="s">
        <v>196</v>
      </c>
      <c r="B1498" s="26">
        <v>2016</v>
      </c>
      <c r="C1498" s="74" t="s">
        <v>195</v>
      </c>
      <c r="D1498" s="27">
        <v>0</v>
      </c>
      <c r="E1498" s="53">
        <v>0</v>
      </c>
      <c r="F1498" s="53">
        <v>0</v>
      </c>
      <c r="G1498" s="53">
        <v>0</v>
      </c>
      <c r="H1498" s="53">
        <v>0</v>
      </c>
      <c r="I1498" s="53">
        <v>0</v>
      </c>
      <c r="J1498" s="53">
        <v>0</v>
      </c>
      <c r="K1498" s="53">
        <v>0</v>
      </c>
      <c r="L1498" s="53">
        <v>6934450</v>
      </c>
      <c r="M1498" s="53">
        <v>6948781</v>
      </c>
      <c r="N1498" s="53">
        <v>7793303.6799999997</v>
      </c>
      <c r="O1498" s="53">
        <v>8091790.0499999998</v>
      </c>
      <c r="P1498" s="53">
        <v>0</v>
      </c>
      <c r="Q1498" s="53">
        <v>0</v>
      </c>
      <c r="R1498" s="53">
        <v>0</v>
      </c>
    </row>
    <row r="1499" spans="1:18" x14ac:dyDescent="0.25">
      <c r="A1499" s="25" t="s">
        <v>194</v>
      </c>
      <c r="B1499" s="26">
        <v>2016</v>
      </c>
      <c r="C1499" s="74" t="s">
        <v>193</v>
      </c>
      <c r="D1499" s="27">
        <v>0</v>
      </c>
      <c r="E1499" s="53">
        <v>0</v>
      </c>
      <c r="F1499" s="53">
        <v>0</v>
      </c>
      <c r="G1499" s="53">
        <v>0</v>
      </c>
      <c r="H1499" s="53">
        <v>0</v>
      </c>
      <c r="I1499" s="53">
        <v>0</v>
      </c>
      <c r="J1499" s="53">
        <v>0</v>
      </c>
      <c r="K1499" s="53">
        <v>0</v>
      </c>
      <c r="L1499" s="53">
        <v>4812088</v>
      </c>
      <c r="M1499" s="53">
        <v>6554637</v>
      </c>
      <c r="N1499" s="53">
        <v>5058862</v>
      </c>
      <c r="O1499" s="53">
        <v>4677552.72</v>
      </c>
      <c r="P1499" s="53">
        <v>0</v>
      </c>
      <c r="Q1499" s="53">
        <v>0</v>
      </c>
      <c r="R1499" s="53">
        <v>0</v>
      </c>
    </row>
    <row r="1500" spans="1:18" x14ac:dyDescent="0.25">
      <c r="A1500" s="25" t="s">
        <v>191</v>
      </c>
      <c r="B1500" s="26">
        <v>2016</v>
      </c>
      <c r="C1500" s="74" t="s">
        <v>190</v>
      </c>
      <c r="D1500" s="27">
        <v>0</v>
      </c>
      <c r="E1500" s="53">
        <v>0</v>
      </c>
      <c r="F1500" s="53">
        <v>0</v>
      </c>
      <c r="G1500" s="53">
        <v>0</v>
      </c>
      <c r="H1500" s="53">
        <v>0</v>
      </c>
      <c r="I1500" s="53">
        <v>0</v>
      </c>
      <c r="J1500" s="53">
        <v>0</v>
      </c>
      <c r="K1500" s="53">
        <v>0</v>
      </c>
      <c r="L1500" s="53">
        <v>0</v>
      </c>
      <c r="M1500" s="53">
        <v>1069068432.1900001</v>
      </c>
      <c r="N1500" s="53">
        <v>0</v>
      </c>
      <c r="O1500" s="53">
        <v>0</v>
      </c>
      <c r="P1500" s="53">
        <v>0</v>
      </c>
      <c r="Q1500" s="53">
        <v>0</v>
      </c>
      <c r="R1500" s="53">
        <v>0</v>
      </c>
    </row>
    <row r="1501" spans="1:18" x14ac:dyDescent="0.25">
      <c r="A1501" s="25" t="s">
        <v>189</v>
      </c>
      <c r="B1501" s="26">
        <v>2016</v>
      </c>
      <c r="C1501" s="74" t="s">
        <v>188</v>
      </c>
      <c r="D1501" s="27">
        <v>0</v>
      </c>
      <c r="E1501" s="53">
        <v>0</v>
      </c>
      <c r="F1501" s="53">
        <v>0</v>
      </c>
      <c r="G1501" s="53">
        <v>0</v>
      </c>
      <c r="H1501" s="53">
        <v>0</v>
      </c>
      <c r="I1501" s="53">
        <v>0</v>
      </c>
      <c r="J1501" s="53">
        <v>0</v>
      </c>
      <c r="K1501" s="53">
        <v>0</v>
      </c>
      <c r="L1501" s="53">
        <v>0</v>
      </c>
      <c r="M1501" s="53">
        <v>901944.54</v>
      </c>
      <c r="N1501" s="53">
        <v>0</v>
      </c>
      <c r="O1501" s="53">
        <v>0</v>
      </c>
      <c r="P1501" s="53">
        <v>0</v>
      </c>
      <c r="Q1501" s="53">
        <v>0</v>
      </c>
      <c r="R1501" s="53">
        <v>0</v>
      </c>
    </row>
    <row r="1502" spans="1:18" x14ac:dyDescent="0.25">
      <c r="A1502" s="25" t="s">
        <v>187</v>
      </c>
      <c r="B1502" s="26">
        <v>2016</v>
      </c>
      <c r="C1502" s="74" t="s">
        <v>186</v>
      </c>
      <c r="D1502" s="27">
        <v>0</v>
      </c>
      <c r="E1502" s="53">
        <v>0</v>
      </c>
      <c r="F1502" s="53">
        <v>0</v>
      </c>
      <c r="G1502" s="53">
        <v>0</v>
      </c>
      <c r="H1502" s="53">
        <v>0</v>
      </c>
      <c r="I1502" s="53">
        <v>0</v>
      </c>
      <c r="J1502" s="53">
        <v>0</v>
      </c>
      <c r="K1502" s="53">
        <v>0</v>
      </c>
      <c r="L1502" s="53">
        <v>1684000</v>
      </c>
      <c r="M1502" s="53">
        <v>1500000</v>
      </c>
      <c r="N1502" s="53">
        <v>1379000</v>
      </c>
      <c r="O1502" s="53">
        <v>2448000</v>
      </c>
      <c r="P1502" s="53">
        <v>0</v>
      </c>
      <c r="Q1502" s="53">
        <v>0</v>
      </c>
      <c r="R1502" s="53">
        <v>0</v>
      </c>
    </row>
    <row r="1503" spans="1:18" x14ac:dyDescent="0.25">
      <c r="A1503" s="25" t="s">
        <v>185</v>
      </c>
      <c r="B1503" s="26">
        <v>2016</v>
      </c>
      <c r="C1503" s="74" t="s">
        <v>184</v>
      </c>
      <c r="D1503" s="27">
        <v>0</v>
      </c>
      <c r="E1503" s="53">
        <v>0</v>
      </c>
      <c r="F1503" s="53">
        <v>0</v>
      </c>
      <c r="G1503" s="53">
        <v>0</v>
      </c>
      <c r="H1503" s="53">
        <v>0</v>
      </c>
      <c r="I1503" s="53">
        <v>0</v>
      </c>
      <c r="J1503" s="53">
        <v>0</v>
      </c>
      <c r="K1503" s="53">
        <v>0</v>
      </c>
      <c r="L1503" s="53">
        <v>77000</v>
      </c>
      <c r="M1503" s="53">
        <v>240000</v>
      </c>
      <c r="N1503" s="53">
        <v>1000670</v>
      </c>
      <c r="O1503" s="53">
        <v>400000</v>
      </c>
      <c r="P1503" s="53">
        <v>0</v>
      </c>
      <c r="Q1503" s="53">
        <v>0</v>
      </c>
      <c r="R1503" s="53">
        <v>0</v>
      </c>
    </row>
    <row r="1504" spans="1:18" x14ac:dyDescent="0.25">
      <c r="A1504" s="25" t="s">
        <v>183</v>
      </c>
      <c r="B1504" s="26">
        <v>2016</v>
      </c>
      <c r="C1504" s="74" t="s">
        <v>182</v>
      </c>
      <c r="D1504" s="27">
        <v>0</v>
      </c>
      <c r="E1504" s="53">
        <v>0</v>
      </c>
      <c r="F1504" s="53">
        <v>0</v>
      </c>
      <c r="G1504" s="53">
        <v>0</v>
      </c>
      <c r="H1504" s="53">
        <v>0</v>
      </c>
      <c r="I1504" s="53">
        <v>0</v>
      </c>
      <c r="J1504" s="53">
        <v>0</v>
      </c>
      <c r="K1504" s="53">
        <v>0</v>
      </c>
      <c r="L1504" s="53">
        <v>357419917.93000001</v>
      </c>
      <c r="M1504" s="53">
        <v>0</v>
      </c>
      <c r="N1504" s="53">
        <v>2701176.99</v>
      </c>
      <c r="O1504" s="53">
        <v>0</v>
      </c>
      <c r="P1504" s="53">
        <v>0</v>
      </c>
      <c r="Q1504" s="53">
        <v>0</v>
      </c>
      <c r="R1504" s="53">
        <v>0</v>
      </c>
    </row>
    <row r="1505" spans="1:18" x14ac:dyDescent="0.25">
      <c r="A1505" s="25" t="s">
        <v>178</v>
      </c>
      <c r="B1505" s="26">
        <v>2016</v>
      </c>
      <c r="C1505" s="74" t="s">
        <v>177</v>
      </c>
      <c r="D1505" s="27">
        <v>0</v>
      </c>
      <c r="E1505" s="53">
        <v>0</v>
      </c>
      <c r="F1505" s="53">
        <v>0</v>
      </c>
      <c r="G1505" s="53">
        <v>0</v>
      </c>
      <c r="H1505" s="53">
        <v>0</v>
      </c>
      <c r="I1505" s="53">
        <v>0</v>
      </c>
      <c r="J1505" s="53">
        <v>0</v>
      </c>
      <c r="K1505" s="53">
        <v>0</v>
      </c>
      <c r="L1505" s="53">
        <v>0</v>
      </c>
      <c r="M1505" s="53">
        <v>0</v>
      </c>
      <c r="N1505" s="53">
        <v>0</v>
      </c>
      <c r="O1505" s="53">
        <v>0</v>
      </c>
      <c r="P1505" s="53">
        <v>0</v>
      </c>
      <c r="Q1505" s="53">
        <v>0</v>
      </c>
      <c r="R1505" s="53">
        <v>0</v>
      </c>
    </row>
    <row r="1506" spans="1:18" x14ac:dyDescent="0.25">
      <c r="A1506" s="25" t="s">
        <v>373</v>
      </c>
      <c r="B1506" s="26">
        <v>2016</v>
      </c>
      <c r="C1506" s="74" t="s">
        <v>404</v>
      </c>
      <c r="D1506" s="27">
        <v>0</v>
      </c>
      <c r="E1506" s="53">
        <v>0</v>
      </c>
      <c r="F1506" s="53">
        <v>0</v>
      </c>
      <c r="G1506" s="53">
        <v>0</v>
      </c>
      <c r="H1506" s="53">
        <v>0</v>
      </c>
      <c r="I1506" s="53">
        <v>0</v>
      </c>
      <c r="J1506" s="53">
        <v>0</v>
      </c>
      <c r="K1506" s="53">
        <v>0</v>
      </c>
      <c r="L1506" s="53">
        <v>2028.16</v>
      </c>
      <c r="M1506" s="53">
        <v>2230.27</v>
      </c>
      <c r="N1506" s="53">
        <v>2416.0300000000002</v>
      </c>
      <c r="O1506" s="53">
        <v>0</v>
      </c>
      <c r="P1506" s="53">
        <v>0</v>
      </c>
      <c r="Q1506" s="53">
        <v>0</v>
      </c>
      <c r="R1506" s="53">
        <v>0</v>
      </c>
    </row>
    <row r="1507" spans="1:18" x14ac:dyDescent="0.25">
      <c r="A1507" s="25" t="s">
        <v>176</v>
      </c>
      <c r="B1507" s="26">
        <v>2016</v>
      </c>
      <c r="C1507" s="74" t="s">
        <v>175</v>
      </c>
      <c r="D1507" s="27">
        <v>0</v>
      </c>
      <c r="E1507" s="53">
        <v>0</v>
      </c>
      <c r="F1507" s="53">
        <v>0</v>
      </c>
      <c r="G1507" s="53">
        <v>0</v>
      </c>
      <c r="H1507" s="53">
        <v>0</v>
      </c>
      <c r="I1507" s="53">
        <v>0</v>
      </c>
      <c r="J1507" s="53">
        <v>0</v>
      </c>
      <c r="K1507" s="53">
        <v>0</v>
      </c>
      <c r="L1507" s="53">
        <v>5286134.54</v>
      </c>
      <c r="M1507" s="53">
        <v>-988735920.42999995</v>
      </c>
      <c r="N1507" s="53">
        <v>4133761.88</v>
      </c>
      <c r="O1507" s="53">
        <v>9221151.5399999991</v>
      </c>
      <c r="P1507" s="53">
        <v>0</v>
      </c>
      <c r="Q1507" s="53">
        <v>0</v>
      </c>
      <c r="R1507" s="53">
        <v>0</v>
      </c>
    </row>
    <row r="1508" spans="1:18" x14ac:dyDescent="0.25">
      <c r="A1508" s="25" t="s">
        <v>174</v>
      </c>
      <c r="B1508" s="26">
        <v>2016</v>
      </c>
      <c r="C1508" s="74" t="s">
        <v>173</v>
      </c>
      <c r="D1508" s="27">
        <v>0</v>
      </c>
      <c r="E1508" s="53">
        <v>0</v>
      </c>
      <c r="F1508" s="53">
        <v>0</v>
      </c>
      <c r="G1508" s="53">
        <v>0</v>
      </c>
      <c r="H1508" s="53">
        <v>0</v>
      </c>
      <c r="I1508" s="53">
        <v>0</v>
      </c>
      <c r="J1508" s="53">
        <v>0</v>
      </c>
      <c r="K1508" s="53">
        <v>0</v>
      </c>
      <c r="L1508" s="53">
        <v>0</v>
      </c>
      <c r="M1508" s="53">
        <v>133805079.11</v>
      </c>
      <c r="N1508" s="53">
        <v>0</v>
      </c>
      <c r="O1508" s="53">
        <v>0</v>
      </c>
      <c r="P1508" s="53">
        <v>0</v>
      </c>
      <c r="Q1508" s="53">
        <v>0</v>
      </c>
      <c r="R1508" s="53">
        <v>0</v>
      </c>
    </row>
    <row r="1509" spans="1:18" x14ac:dyDescent="0.25">
      <c r="A1509" s="25" t="s">
        <v>172</v>
      </c>
      <c r="B1509" s="26">
        <v>2016</v>
      </c>
      <c r="C1509" s="74" t="s">
        <v>171</v>
      </c>
      <c r="D1509" s="27">
        <v>0</v>
      </c>
      <c r="E1509" s="53">
        <v>0</v>
      </c>
      <c r="F1509" s="53">
        <v>0</v>
      </c>
      <c r="G1509" s="53">
        <v>0</v>
      </c>
      <c r="H1509" s="53">
        <v>0</v>
      </c>
      <c r="I1509" s="53">
        <v>0</v>
      </c>
      <c r="J1509" s="53">
        <v>0</v>
      </c>
      <c r="K1509" s="53">
        <v>0</v>
      </c>
      <c r="L1509" s="53">
        <v>345259937</v>
      </c>
      <c r="M1509" s="53">
        <v>376524547</v>
      </c>
      <c r="N1509" s="53">
        <v>228058765</v>
      </c>
      <c r="O1509" s="53">
        <v>226203864.52000001</v>
      </c>
      <c r="P1509" s="53">
        <v>0</v>
      </c>
      <c r="Q1509" s="53">
        <v>0</v>
      </c>
      <c r="R1509" s="53">
        <v>0</v>
      </c>
    </row>
    <row r="1510" spans="1:18" x14ac:dyDescent="0.25">
      <c r="A1510" s="25" t="s">
        <v>170</v>
      </c>
      <c r="B1510" s="26">
        <v>2016</v>
      </c>
      <c r="C1510" s="74" t="s">
        <v>168</v>
      </c>
      <c r="D1510" s="27">
        <v>0</v>
      </c>
      <c r="E1510" s="53">
        <v>0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3">
        <v>0</v>
      </c>
      <c r="L1510" s="53">
        <v>89105348.769999996</v>
      </c>
      <c r="M1510" s="53">
        <v>606884696.11000001</v>
      </c>
      <c r="N1510" s="53">
        <v>125834447.20999999</v>
      </c>
      <c r="O1510" s="53">
        <v>127302878.61</v>
      </c>
      <c r="P1510" s="53">
        <v>0</v>
      </c>
      <c r="Q1510" s="53">
        <v>0</v>
      </c>
      <c r="R1510" s="53">
        <v>0</v>
      </c>
    </row>
    <row r="1511" spans="1:18" x14ac:dyDescent="0.25">
      <c r="A1511" s="25" t="s">
        <v>167</v>
      </c>
      <c r="B1511" s="26">
        <v>2016</v>
      </c>
      <c r="C1511" s="74" t="s">
        <v>166</v>
      </c>
      <c r="D1511" s="27">
        <v>0</v>
      </c>
      <c r="E1511" s="53">
        <v>0</v>
      </c>
      <c r="F1511" s="53">
        <v>0</v>
      </c>
      <c r="G1511" s="53">
        <v>0</v>
      </c>
      <c r="H1511" s="53">
        <v>0</v>
      </c>
      <c r="I1511" s="53">
        <v>0</v>
      </c>
      <c r="J1511" s="53">
        <v>0</v>
      </c>
      <c r="K1511" s="53">
        <v>0</v>
      </c>
      <c r="L1511" s="53">
        <v>478823193</v>
      </c>
      <c r="M1511" s="53">
        <v>359142543</v>
      </c>
      <c r="N1511" s="53">
        <v>414634074.31999999</v>
      </c>
      <c r="O1511" s="53">
        <v>312496660</v>
      </c>
      <c r="P1511" s="53">
        <v>0</v>
      </c>
      <c r="Q1511" s="53">
        <v>0</v>
      </c>
      <c r="R1511" s="53">
        <v>0</v>
      </c>
    </row>
    <row r="1512" spans="1:18" x14ac:dyDescent="0.25">
      <c r="A1512" s="25" t="s">
        <v>165</v>
      </c>
      <c r="B1512" s="26">
        <v>2016</v>
      </c>
      <c r="C1512" s="74" t="s">
        <v>164</v>
      </c>
      <c r="D1512" s="27">
        <v>0</v>
      </c>
      <c r="E1512" s="53">
        <v>0</v>
      </c>
      <c r="F1512" s="53">
        <v>0</v>
      </c>
      <c r="G1512" s="53">
        <v>0</v>
      </c>
      <c r="H1512" s="53">
        <v>0</v>
      </c>
      <c r="I1512" s="53">
        <v>0</v>
      </c>
      <c r="J1512" s="53">
        <v>0</v>
      </c>
      <c r="K1512" s="53">
        <v>0</v>
      </c>
      <c r="L1512" s="53">
        <v>4074849.75</v>
      </c>
      <c r="M1512" s="53">
        <v>6268000</v>
      </c>
      <c r="N1512" s="53">
        <v>13352372.84</v>
      </c>
      <c r="O1512" s="53">
        <v>0</v>
      </c>
      <c r="P1512" s="53">
        <v>0</v>
      </c>
      <c r="Q1512" s="53">
        <v>0</v>
      </c>
      <c r="R1512" s="53">
        <v>0</v>
      </c>
    </row>
    <row r="1513" spans="1:18" x14ac:dyDescent="0.25">
      <c r="A1513" s="25" t="s">
        <v>163</v>
      </c>
      <c r="B1513" s="26">
        <v>2016</v>
      </c>
      <c r="C1513" s="74" t="s">
        <v>162</v>
      </c>
      <c r="D1513" s="27">
        <v>0</v>
      </c>
      <c r="E1513" s="53">
        <v>0</v>
      </c>
      <c r="F1513" s="53">
        <v>0</v>
      </c>
      <c r="G1513" s="53">
        <v>0</v>
      </c>
      <c r="H1513" s="53">
        <v>0</v>
      </c>
      <c r="I1513" s="53">
        <v>0</v>
      </c>
      <c r="J1513" s="53">
        <v>0</v>
      </c>
      <c r="K1513" s="53">
        <v>0</v>
      </c>
      <c r="L1513" s="53">
        <v>14660500</v>
      </c>
      <c r="M1513" s="53">
        <v>13520000</v>
      </c>
      <c r="N1513" s="53">
        <v>26817500</v>
      </c>
      <c r="O1513" s="53">
        <v>60378000</v>
      </c>
      <c r="P1513" s="53">
        <v>0</v>
      </c>
      <c r="Q1513" s="53">
        <v>0</v>
      </c>
      <c r="R1513" s="53">
        <v>0</v>
      </c>
    </row>
    <row r="1514" spans="1:18" x14ac:dyDescent="0.25">
      <c r="A1514" s="25" t="s">
        <v>161</v>
      </c>
      <c r="B1514" s="26">
        <v>2016</v>
      </c>
      <c r="C1514" s="74" t="s">
        <v>160</v>
      </c>
      <c r="D1514" s="27">
        <v>0</v>
      </c>
      <c r="E1514" s="53">
        <v>0</v>
      </c>
      <c r="F1514" s="53">
        <v>0</v>
      </c>
      <c r="G1514" s="53">
        <v>0</v>
      </c>
      <c r="H1514" s="53">
        <v>0</v>
      </c>
      <c r="I1514" s="53">
        <v>0</v>
      </c>
      <c r="J1514" s="53">
        <v>0</v>
      </c>
      <c r="K1514" s="53">
        <v>0</v>
      </c>
      <c r="L1514" s="53">
        <v>2459881.2799999998</v>
      </c>
      <c r="M1514" s="53">
        <v>-13743529.470000001</v>
      </c>
      <c r="N1514" s="53">
        <v>8030557.7300000004</v>
      </c>
      <c r="O1514" s="53">
        <v>8573639.1199999992</v>
      </c>
      <c r="P1514" s="53">
        <v>0</v>
      </c>
      <c r="Q1514" s="53">
        <v>0</v>
      </c>
      <c r="R1514" s="53">
        <v>0</v>
      </c>
    </row>
    <row r="1515" spans="1:18" x14ac:dyDescent="0.25">
      <c r="A1515" s="25" t="s">
        <v>159</v>
      </c>
      <c r="B1515" s="26">
        <v>2016</v>
      </c>
      <c r="C1515" s="74" t="s">
        <v>158</v>
      </c>
      <c r="D1515" s="27">
        <v>0</v>
      </c>
      <c r="E1515" s="53">
        <v>0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3">
        <v>0</v>
      </c>
      <c r="L1515" s="53">
        <v>0</v>
      </c>
      <c r="M1515" s="53">
        <v>0</v>
      </c>
      <c r="N1515" s="53">
        <v>0</v>
      </c>
      <c r="O1515" s="53">
        <v>0</v>
      </c>
      <c r="P1515" s="53">
        <v>0</v>
      </c>
      <c r="Q1515" s="53">
        <v>0</v>
      </c>
      <c r="R1515" s="53">
        <v>0</v>
      </c>
    </row>
    <row r="1516" spans="1:18" x14ac:dyDescent="0.25">
      <c r="A1516" s="25" t="s">
        <v>157</v>
      </c>
      <c r="B1516" s="26">
        <v>2016</v>
      </c>
      <c r="C1516" s="74" t="s">
        <v>156</v>
      </c>
      <c r="D1516" s="27">
        <v>0</v>
      </c>
      <c r="E1516" s="53">
        <v>0</v>
      </c>
      <c r="F1516" s="53">
        <v>0</v>
      </c>
      <c r="G1516" s="53">
        <v>0</v>
      </c>
      <c r="H1516" s="53">
        <v>0</v>
      </c>
      <c r="I1516" s="53">
        <v>0</v>
      </c>
      <c r="J1516" s="53">
        <v>0</v>
      </c>
      <c r="K1516" s="53">
        <v>0</v>
      </c>
      <c r="L1516" s="53">
        <v>0</v>
      </c>
      <c r="M1516" s="53">
        <v>15437000</v>
      </c>
      <c r="N1516" s="53">
        <v>1997000</v>
      </c>
      <c r="O1516" s="53">
        <v>0</v>
      </c>
      <c r="P1516" s="53">
        <v>0</v>
      </c>
      <c r="Q1516" s="53">
        <v>0</v>
      </c>
      <c r="R1516" s="53">
        <v>0</v>
      </c>
    </row>
    <row r="1517" spans="1:18" x14ac:dyDescent="0.25">
      <c r="A1517" s="25" t="s">
        <v>153</v>
      </c>
      <c r="B1517" s="26">
        <v>2016</v>
      </c>
      <c r="C1517" s="74" t="s">
        <v>151</v>
      </c>
      <c r="D1517" s="27">
        <v>0</v>
      </c>
      <c r="E1517" s="53">
        <v>0</v>
      </c>
      <c r="F1517" s="53">
        <v>0</v>
      </c>
      <c r="G1517" s="53">
        <v>0</v>
      </c>
      <c r="H1517" s="53">
        <v>0</v>
      </c>
      <c r="I1517" s="53">
        <v>0</v>
      </c>
      <c r="J1517" s="53">
        <v>0</v>
      </c>
      <c r="K1517" s="53">
        <v>0</v>
      </c>
      <c r="L1517" s="53">
        <v>1805829.6</v>
      </c>
      <c r="M1517" s="53">
        <v>21156736.100000001</v>
      </c>
      <c r="N1517" s="53">
        <v>1537677597.1900001</v>
      </c>
      <c r="O1517" s="53">
        <v>2408198.65</v>
      </c>
      <c r="P1517" s="53">
        <v>0</v>
      </c>
      <c r="Q1517" s="53">
        <v>0</v>
      </c>
      <c r="R1517" s="53">
        <v>0</v>
      </c>
    </row>
    <row r="1518" spans="1:18" x14ac:dyDescent="0.25">
      <c r="A1518" s="25" t="s">
        <v>150</v>
      </c>
      <c r="B1518" s="26">
        <v>2016</v>
      </c>
      <c r="C1518" s="74" t="s">
        <v>149</v>
      </c>
      <c r="D1518" s="27">
        <v>0</v>
      </c>
      <c r="E1518" s="53">
        <v>0</v>
      </c>
      <c r="F1518" s="53">
        <v>0</v>
      </c>
      <c r="G1518" s="53">
        <v>0</v>
      </c>
      <c r="H1518" s="53">
        <v>0</v>
      </c>
      <c r="I1518" s="53">
        <v>0</v>
      </c>
      <c r="J1518" s="53">
        <v>0</v>
      </c>
      <c r="K1518" s="53">
        <v>0</v>
      </c>
      <c r="L1518" s="53">
        <v>12231431.02</v>
      </c>
      <c r="M1518" s="53">
        <v>0</v>
      </c>
      <c r="N1518" s="53">
        <v>0</v>
      </c>
      <c r="O1518" s="53">
        <v>1691891.32</v>
      </c>
      <c r="P1518" s="53">
        <v>0</v>
      </c>
      <c r="Q1518" s="53">
        <v>0</v>
      </c>
      <c r="R1518" s="53">
        <v>0</v>
      </c>
    </row>
    <row r="1519" spans="1:18" x14ac:dyDescent="0.25">
      <c r="A1519" s="25" t="s">
        <v>147</v>
      </c>
      <c r="B1519" s="26">
        <v>2016</v>
      </c>
      <c r="C1519" s="74" t="s">
        <v>146</v>
      </c>
      <c r="D1519" s="27">
        <v>0</v>
      </c>
      <c r="E1519" s="53">
        <v>0</v>
      </c>
      <c r="F1519" s="53">
        <v>0</v>
      </c>
      <c r="G1519" s="53">
        <v>0</v>
      </c>
      <c r="H1519" s="53">
        <v>0</v>
      </c>
      <c r="I1519" s="53">
        <v>0</v>
      </c>
      <c r="J1519" s="53">
        <v>0</v>
      </c>
      <c r="K1519" s="53">
        <v>0</v>
      </c>
      <c r="L1519" s="53">
        <v>41773591.060000002</v>
      </c>
      <c r="M1519" s="53">
        <v>37731285.359999999</v>
      </c>
      <c r="N1519" s="53">
        <v>34206294.670000002</v>
      </c>
      <c r="O1519" s="53">
        <v>35595225.390000001</v>
      </c>
      <c r="P1519" s="53">
        <v>0</v>
      </c>
      <c r="Q1519" s="53">
        <v>0</v>
      </c>
      <c r="R1519" s="53">
        <v>0</v>
      </c>
    </row>
    <row r="1520" spans="1:18" x14ac:dyDescent="0.25">
      <c r="A1520" s="25" t="s">
        <v>144</v>
      </c>
      <c r="B1520" s="26">
        <v>2016</v>
      </c>
      <c r="C1520" s="74" t="s">
        <v>143</v>
      </c>
      <c r="D1520" s="27">
        <v>0</v>
      </c>
      <c r="E1520" s="53">
        <v>0</v>
      </c>
      <c r="F1520" s="53">
        <v>0</v>
      </c>
      <c r="G1520" s="53">
        <v>0</v>
      </c>
      <c r="H1520" s="53">
        <v>0</v>
      </c>
      <c r="I1520" s="53">
        <v>0</v>
      </c>
      <c r="J1520" s="53">
        <v>0</v>
      </c>
      <c r="K1520" s="53">
        <v>0</v>
      </c>
      <c r="L1520" s="53">
        <v>288777619.05000001</v>
      </c>
      <c r="M1520" s="53">
        <v>602159456.62</v>
      </c>
      <c r="N1520" s="53">
        <v>242206345.09</v>
      </c>
      <c r="O1520" s="53">
        <v>664184194.48000002</v>
      </c>
      <c r="P1520" s="53">
        <v>0</v>
      </c>
      <c r="Q1520" s="53">
        <v>0</v>
      </c>
      <c r="R1520" s="53">
        <v>0</v>
      </c>
    </row>
    <row r="1521" spans="1:18" x14ac:dyDescent="0.25">
      <c r="A1521" s="25" t="s">
        <v>142</v>
      </c>
      <c r="B1521" s="26">
        <v>2016</v>
      </c>
      <c r="C1521" s="74" t="s">
        <v>141</v>
      </c>
      <c r="D1521" s="27">
        <v>0</v>
      </c>
      <c r="E1521" s="53">
        <v>0</v>
      </c>
      <c r="F1521" s="53">
        <v>0</v>
      </c>
      <c r="G1521" s="53">
        <v>0</v>
      </c>
      <c r="H1521" s="53">
        <v>0</v>
      </c>
      <c r="I1521" s="53">
        <v>0</v>
      </c>
      <c r="J1521" s="53">
        <v>0</v>
      </c>
      <c r="K1521" s="53">
        <v>0</v>
      </c>
      <c r="L1521" s="53">
        <v>178309008.84</v>
      </c>
      <c r="M1521" s="53">
        <v>234914918.72</v>
      </c>
      <c r="N1521" s="53">
        <v>561340493.65999997</v>
      </c>
      <c r="O1521" s="53">
        <v>155408640.56</v>
      </c>
      <c r="P1521" s="53">
        <v>0</v>
      </c>
      <c r="Q1521" s="53">
        <v>0</v>
      </c>
      <c r="R1521" s="53">
        <v>0</v>
      </c>
    </row>
    <row r="1522" spans="1:18" x14ac:dyDescent="0.25">
      <c r="A1522" s="25" t="s">
        <v>403</v>
      </c>
      <c r="B1522" s="26">
        <v>2016</v>
      </c>
      <c r="C1522" s="74" t="s">
        <v>400</v>
      </c>
      <c r="D1522" s="27">
        <v>0</v>
      </c>
      <c r="E1522" s="53">
        <v>0</v>
      </c>
      <c r="F1522" s="53">
        <v>0</v>
      </c>
      <c r="G1522" s="53">
        <v>0</v>
      </c>
      <c r="H1522" s="53">
        <v>0</v>
      </c>
      <c r="I1522" s="53">
        <v>0</v>
      </c>
      <c r="J1522" s="53">
        <v>0</v>
      </c>
      <c r="K1522" s="53">
        <v>0</v>
      </c>
      <c r="L1522" s="53">
        <v>0</v>
      </c>
      <c r="M1522" s="53">
        <v>0</v>
      </c>
      <c r="N1522" s="53">
        <v>0</v>
      </c>
      <c r="O1522" s="53">
        <v>0</v>
      </c>
      <c r="P1522" s="53">
        <v>0</v>
      </c>
      <c r="Q1522" s="53">
        <v>0</v>
      </c>
      <c r="R1522" s="53">
        <v>0</v>
      </c>
    </row>
    <row r="1523" spans="1:18" x14ac:dyDescent="0.25">
      <c r="A1523" s="25" t="s">
        <v>140</v>
      </c>
      <c r="B1523" s="26">
        <v>2016</v>
      </c>
      <c r="C1523" s="74" t="s">
        <v>139</v>
      </c>
      <c r="D1523" s="27">
        <v>0</v>
      </c>
      <c r="E1523" s="53">
        <v>0</v>
      </c>
      <c r="F1523" s="53">
        <v>0</v>
      </c>
      <c r="G1523" s="53">
        <v>0</v>
      </c>
      <c r="H1523" s="53">
        <v>0</v>
      </c>
      <c r="I1523" s="53">
        <v>0</v>
      </c>
      <c r="J1523" s="53">
        <v>0</v>
      </c>
      <c r="K1523" s="53">
        <v>0</v>
      </c>
      <c r="L1523" s="53">
        <v>0</v>
      </c>
      <c r="M1523" s="53">
        <v>11368509546.860001</v>
      </c>
      <c r="N1523" s="53">
        <v>0</v>
      </c>
      <c r="O1523" s="53">
        <v>11029098400.540001</v>
      </c>
      <c r="P1523" s="53">
        <v>0</v>
      </c>
      <c r="Q1523" s="53">
        <v>0</v>
      </c>
      <c r="R1523" s="53">
        <v>0</v>
      </c>
    </row>
    <row r="1524" spans="1:18" x14ac:dyDescent="0.25">
      <c r="A1524" s="25" t="s">
        <v>372</v>
      </c>
      <c r="B1524" s="26">
        <v>2016</v>
      </c>
      <c r="C1524" s="74" t="s">
        <v>398</v>
      </c>
      <c r="D1524" s="27">
        <v>0</v>
      </c>
      <c r="E1524" s="53">
        <v>0</v>
      </c>
      <c r="F1524" s="53">
        <v>0</v>
      </c>
      <c r="G1524" s="53">
        <v>0</v>
      </c>
      <c r="H1524" s="53">
        <v>0</v>
      </c>
      <c r="I1524" s="53">
        <v>0</v>
      </c>
      <c r="J1524" s="53">
        <v>0</v>
      </c>
      <c r="K1524" s="53">
        <v>0</v>
      </c>
      <c r="L1524" s="53">
        <v>0</v>
      </c>
      <c r="M1524" s="53">
        <v>0</v>
      </c>
      <c r="N1524" s="53">
        <v>0</v>
      </c>
      <c r="O1524" s="53">
        <v>0</v>
      </c>
      <c r="P1524" s="53">
        <v>0</v>
      </c>
      <c r="Q1524" s="53">
        <v>0</v>
      </c>
      <c r="R1524" s="53">
        <v>0</v>
      </c>
    </row>
    <row r="1525" spans="1:18" x14ac:dyDescent="0.25">
      <c r="A1525" s="25" t="s">
        <v>138</v>
      </c>
      <c r="B1525" s="26">
        <v>2016</v>
      </c>
      <c r="C1525" s="74" t="s">
        <v>137</v>
      </c>
      <c r="D1525" s="27">
        <v>0</v>
      </c>
      <c r="E1525" s="53">
        <v>0</v>
      </c>
      <c r="F1525" s="53">
        <v>0</v>
      </c>
      <c r="G1525" s="53">
        <v>0</v>
      </c>
      <c r="H1525" s="53">
        <v>0</v>
      </c>
      <c r="I1525" s="53">
        <v>0</v>
      </c>
      <c r="J1525" s="53">
        <v>0</v>
      </c>
      <c r="K1525" s="53">
        <v>0</v>
      </c>
      <c r="L1525" s="53">
        <v>1457742500</v>
      </c>
      <c r="M1525" s="53">
        <v>1836502500</v>
      </c>
      <c r="N1525" s="53">
        <v>1857211250</v>
      </c>
      <c r="O1525" s="53">
        <v>1435197500</v>
      </c>
      <c r="P1525" s="53">
        <v>0</v>
      </c>
      <c r="Q1525" s="53">
        <v>0</v>
      </c>
      <c r="R1525" s="53">
        <v>0</v>
      </c>
    </row>
    <row r="1526" spans="1:18" x14ac:dyDescent="0.25">
      <c r="A1526" s="25" t="s">
        <v>136</v>
      </c>
      <c r="B1526" s="26">
        <v>2016</v>
      </c>
      <c r="C1526" s="74" t="s">
        <v>135</v>
      </c>
      <c r="D1526" s="27">
        <v>0</v>
      </c>
      <c r="E1526" s="53">
        <v>0</v>
      </c>
      <c r="F1526" s="53">
        <v>0</v>
      </c>
      <c r="G1526" s="53">
        <v>0</v>
      </c>
      <c r="H1526" s="53">
        <v>0</v>
      </c>
      <c r="I1526" s="53">
        <v>0</v>
      </c>
      <c r="J1526" s="53">
        <v>0</v>
      </c>
      <c r="K1526" s="53">
        <v>0</v>
      </c>
      <c r="L1526" s="53">
        <v>0</v>
      </c>
      <c r="M1526" s="53">
        <v>333333333.33999997</v>
      </c>
      <c r="N1526" s="53">
        <v>0</v>
      </c>
      <c r="O1526" s="53">
        <v>0</v>
      </c>
      <c r="P1526" s="53">
        <v>0</v>
      </c>
      <c r="Q1526" s="53">
        <v>0</v>
      </c>
      <c r="R1526" s="53">
        <v>0</v>
      </c>
    </row>
    <row r="1527" spans="1:18" x14ac:dyDescent="0.25">
      <c r="A1527" s="25" t="s">
        <v>134</v>
      </c>
      <c r="B1527" s="26">
        <v>2016</v>
      </c>
      <c r="C1527" s="74" t="s">
        <v>133</v>
      </c>
      <c r="D1527" s="27">
        <v>0</v>
      </c>
      <c r="E1527" s="53">
        <v>0</v>
      </c>
      <c r="F1527" s="53">
        <v>0</v>
      </c>
      <c r="G1527" s="53">
        <v>0</v>
      </c>
      <c r="H1527" s="53">
        <v>0</v>
      </c>
      <c r="I1527" s="53">
        <v>0</v>
      </c>
      <c r="J1527" s="53">
        <v>0</v>
      </c>
      <c r="K1527" s="53">
        <v>0</v>
      </c>
      <c r="L1527" s="53">
        <v>5000000000</v>
      </c>
      <c r="M1527" s="53">
        <v>5000000000</v>
      </c>
      <c r="N1527" s="53">
        <v>7800581332.25</v>
      </c>
      <c r="O1527" s="53">
        <v>5000000000</v>
      </c>
      <c r="P1527" s="53">
        <v>0</v>
      </c>
      <c r="Q1527" s="53">
        <v>0</v>
      </c>
      <c r="R1527" s="53">
        <v>0</v>
      </c>
    </row>
    <row r="1528" spans="1:18" x14ac:dyDescent="0.25">
      <c r="A1528" s="25" t="s">
        <v>132</v>
      </c>
      <c r="B1528" s="26">
        <v>2016</v>
      </c>
      <c r="C1528" s="74" t="s">
        <v>131</v>
      </c>
      <c r="D1528" s="27">
        <v>0</v>
      </c>
      <c r="E1528" s="53">
        <v>0</v>
      </c>
      <c r="F1528" s="53">
        <v>0</v>
      </c>
      <c r="G1528" s="53">
        <v>0</v>
      </c>
      <c r="H1528" s="53">
        <v>0</v>
      </c>
      <c r="I1528" s="53">
        <v>0</v>
      </c>
      <c r="J1528" s="53">
        <v>0</v>
      </c>
      <c r="K1528" s="53">
        <v>0</v>
      </c>
      <c r="L1528" s="53">
        <v>0</v>
      </c>
      <c r="M1528" s="53">
        <v>3391092822.7399998</v>
      </c>
      <c r="N1528" s="53">
        <v>0</v>
      </c>
      <c r="O1528" s="53">
        <v>0</v>
      </c>
      <c r="P1528" s="53">
        <v>0</v>
      </c>
      <c r="Q1528" s="53">
        <v>0</v>
      </c>
      <c r="R1528" s="53">
        <v>0</v>
      </c>
    </row>
    <row r="1529" spans="1:18" x14ac:dyDescent="0.25">
      <c r="A1529" s="25" t="s">
        <v>130</v>
      </c>
      <c r="B1529" s="26">
        <v>2016</v>
      </c>
      <c r="C1529" s="74" t="s">
        <v>129</v>
      </c>
      <c r="D1529" s="27">
        <v>0</v>
      </c>
      <c r="E1529" s="53">
        <v>0</v>
      </c>
      <c r="F1529" s="53">
        <v>0</v>
      </c>
      <c r="G1529" s="53">
        <v>0</v>
      </c>
      <c r="H1529" s="53">
        <v>0</v>
      </c>
      <c r="I1529" s="53">
        <v>0</v>
      </c>
      <c r="J1529" s="53">
        <v>0</v>
      </c>
      <c r="K1529" s="53">
        <v>0</v>
      </c>
      <c r="L1529" s="53">
        <v>0</v>
      </c>
      <c r="M1529" s="53">
        <v>7405688500</v>
      </c>
      <c r="N1529" s="53">
        <v>0</v>
      </c>
      <c r="O1529" s="53">
        <v>8899340000</v>
      </c>
      <c r="P1529" s="53">
        <v>0</v>
      </c>
      <c r="Q1529" s="53">
        <v>0</v>
      </c>
      <c r="R1529" s="53">
        <v>0</v>
      </c>
    </row>
    <row r="1530" spans="1:18" x14ac:dyDescent="0.25">
      <c r="A1530" s="25" t="s">
        <v>128</v>
      </c>
      <c r="B1530" s="26">
        <v>2016</v>
      </c>
      <c r="C1530" s="74" t="s">
        <v>127</v>
      </c>
      <c r="D1530" s="27">
        <v>0</v>
      </c>
      <c r="E1530" s="53">
        <v>0</v>
      </c>
      <c r="F1530" s="53">
        <v>0</v>
      </c>
      <c r="G1530" s="53">
        <v>0</v>
      </c>
      <c r="H1530" s="53">
        <v>0</v>
      </c>
      <c r="I1530" s="53">
        <v>0</v>
      </c>
      <c r="J1530" s="53">
        <v>0</v>
      </c>
      <c r="K1530" s="53">
        <v>0</v>
      </c>
      <c r="L1530" s="53">
        <v>694125000</v>
      </c>
      <c r="M1530" s="53">
        <v>749250000</v>
      </c>
      <c r="N1530" s="53">
        <v>598825000</v>
      </c>
      <c r="O1530" s="53">
        <v>770250000</v>
      </c>
      <c r="P1530" s="53">
        <v>0</v>
      </c>
      <c r="Q1530" s="53">
        <v>0</v>
      </c>
      <c r="R1530" s="53">
        <v>0</v>
      </c>
    </row>
    <row r="1531" spans="1:18" x14ac:dyDescent="0.25">
      <c r="A1531" s="25" t="s">
        <v>126</v>
      </c>
      <c r="B1531" s="26">
        <v>2016</v>
      </c>
      <c r="C1531" s="74" t="s">
        <v>125</v>
      </c>
      <c r="D1531" s="27">
        <v>0</v>
      </c>
      <c r="E1531" s="53">
        <v>0</v>
      </c>
      <c r="F1531" s="53">
        <v>0</v>
      </c>
      <c r="G1531" s="53">
        <v>0</v>
      </c>
      <c r="H1531" s="53">
        <v>0</v>
      </c>
      <c r="I1531" s="53">
        <v>0</v>
      </c>
      <c r="J1531" s="53">
        <v>0</v>
      </c>
      <c r="K1531" s="53">
        <v>0</v>
      </c>
      <c r="L1531" s="53">
        <v>93874532</v>
      </c>
      <c r="M1531" s="53">
        <v>91379953</v>
      </c>
      <c r="N1531" s="53">
        <v>87304217</v>
      </c>
      <c r="O1531" s="53">
        <v>93854568</v>
      </c>
      <c r="P1531" s="53">
        <v>0</v>
      </c>
      <c r="Q1531" s="53">
        <v>0</v>
      </c>
      <c r="R1531" s="53">
        <v>0</v>
      </c>
    </row>
    <row r="1532" spans="1:18" x14ac:dyDescent="0.25">
      <c r="A1532" s="25" t="s">
        <v>122</v>
      </c>
      <c r="B1532" s="26">
        <v>2016</v>
      </c>
      <c r="C1532" s="74" t="s">
        <v>121</v>
      </c>
      <c r="D1532" s="27">
        <v>0</v>
      </c>
      <c r="E1532" s="53">
        <v>0</v>
      </c>
      <c r="F1532" s="53">
        <v>0</v>
      </c>
      <c r="G1532" s="53">
        <v>0</v>
      </c>
      <c r="H1532" s="53">
        <v>0</v>
      </c>
      <c r="I1532" s="53">
        <v>0</v>
      </c>
      <c r="J1532" s="53">
        <v>0</v>
      </c>
      <c r="K1532" s="53">
        <v>0</v>
      </c>
      <c r="L1532" s="53">
        <v>217767444.03999999</v>
      </c>
      <c r="M1532" s="53">
        <v>218923215.80000001</v>
      </c>
      <c r="N1532" s="53">
        <v>218255630.72</v>
      </c>
      <c r="O1532" s="53">
        <v>218433577.11000001</v>
      </c>
      <c r="P1532" s="53">
        <v>0</v>
      </c>
      <c r="Q1532" s="53">
        <v>0</v>
      </c>
      <c r="R1532" s="53">
        <v>0</v>
      </c>
    </row>
    <row r="1533" spans="1:18" x14ac:dyDescent="0.25">
      <c r="A1533" s="25" t="s">
        <v>120</v>
      </c>
      <c r="B1533" s="26">
        <v>2016</v>
      </c>
      <c r="C1533" s="74" t="s">
        <v>119</v>
      </c>
      <c r="D1533" s="27">
        <v>0</v>
      </c>
      <c r="E1533" s="53">
        <v>0</v>
      </c>
      <c r="F1533" s="53">
        <v>0</v>
      </c>
      <c r="G1533" s="53">
        <v>0</v>
      </c>
      <c r="H1533" s="53">
        <v>0</v>
      </c>
      <c r="I1533" s="53">
        <v>0</v>
      </c>
      <c r="J1533" s="53">
        <v>0</v>
      </c>
      <c r="K1533" s="53">
        <v>0</v>
      </c>
      <c r="L1533" s="53">
        <v>0</v>
      </c>
      <c r="M1533" s="53">
        <v>0</v>
      </c>
      <c r="N1533" s="53">
        <v>0</v>
      </c>
      <c r="O1533" s="53">
        <v>0</v>
      </c>
      <c r="P1533" s="53">
        <v>0</v>
      </c>
      <c r="Q1533" s="53">
        <v>0</v>
      </c>
      <c r="R1533" s="53">
        <v>0</v>
      </c>
    </row>
    <row r="1534" spans="1:18" x14ac:dyDescent="0.25">
      <c r="A1534" s="25" t="s">
        <v>118</v>
      </c>
      <c r="B1534" s="26">
        <v>2016</v>
      </c>
      <c r="C1534" s="74" t="s">
        <v>117</v>
      </c>
      <c r="D1534" s="27">
        <v>0</v>
      </c>
      <c r="E1534" s="53">
        <v>0</v>
      </c>
      <c r="F1534" s="53">
        <v>0</v>
      </c>
      <c r="G1534" s="53">
        <v>0</v>
      </c>
      <c r="H1534" s="53">
        <v>0</v>
      </c>
      <c r="I1534" s="53">
        <v>0</v>
      </c>
      <c r="J1534" s="53">
        <v>0</v>
      </c>
      <c r="K1534" s="53">
        <v>0</v>
      </c>
      <c r="L1534" s="53">
        <v>0</v>
      </c>
      <c r="M1534" s="53">
        <v>176273149.94</v>
      </c>
      <c r="N1534" s="53">
        <v>0</v>
      </c>
      <c r="O1534" s="53">
        <v>0</v>
      </c>
      <c r="P1534" s="53">
        <v>0</v>
      </c>
      <c r="Q1534" s="53">
        <v>0</v>
      </c>
      <c r="R1534" s="53">
        <v>0</v>
      </c>
    </row>
    <row r="1535" spans="1:18" x14ac:dyDescent="0.25">
      <c r="A1535" s="25" t="s">
        <v>397</v>
      </c>
      <c r="B1535" s="26">
        <v>2016</v>
      </c>
      <c r="C1535" s="74" t="s">
        <v>396</v>
      </c>
      <c r="D1535" s="27">
        <v>0</v>
      </c>
      <c r="E1535" s="53">
        <v>0</v>
      </c>
      <c r="F1535" s="53">
        <v>0</v>
      </c>
      <c r="G1535" s="53">
        <v>0</v>
      </c>
      <c r="H1535" s="53">
        <v>0</v>
      </c>
      <c r="I1535" s="53">
        <v>0</v>
      </c>
      <c r="J1535" s="53">
        <v>0</v>
      </c>
      <c r="K1535" s="53">
        <v>0</v>
      </c>
      <c r="L1535" s="53">
        <v>-202088990.25999999</v>
      </c>
      <c r="M1535" s="53">
        <v>0</v>
      </c>
      <c r="N1535" s="53">
        <v>0</v>
      </c>
      <c r="O1535" s="53">
        <v>0</v>
      </c>
      <c r="P1535" s="53">
        <v>0</v>
      </c>
      <c r="Q1535" s="53">
        <v>0</v>
      </c>
      <c r="R1535" s="53">
        <v>0</v>
      </c>
    </row>
    <row r="1536" spans="1:18" x14ac:dyDescent="0.25">
      <c r="A1536" s="25" t="s">
        <v>115</v>
      </c>
      <c r="B1536" s="26">
        <v>2016</v>
      </c>
      <c r="C1536" s="74" t="s">
        <v>114</v>
      </c>
      <c r="D1536" s="27">
        <v>0</v>
      </c>
      <c r="E1536" s="53">
        <v>0</v>
      </c>
      <c r="F1536" s="53">
        <v>0</v>
      </c>
      <c r="G1536" s="53">
        <v>0</v>
      </c>
      <c r="H1536" s="53">
        <v>0</v>
      </c>
      <c r="I1536" s="53">
        <v>0</v>
      </c>
      <c r="J1536" s="53">
        <v>0</v>
      </c>
      <c r="K1536" s="53">
        <v>0</v>
      </c>
      <c r="L1536" s="53">
        <v>0</v>
      </c>
      <c r="M1536" s="53">
        <v>0</v>
      </c>
      <c r="N1536" s="53">
        <v>0</v>
      </c>
      <c r="O1536" s="53">
        <v>0</v>
      </c>
      <c r="P1536" s="53">
        <v>0</v>
      </c>
      <c r="Q1536" s="53">
        <v>0</v>
      </c>
      <c r="R1536" s="53">
        <v>0</v>
      </c>
    </row>
    <row r="1537" spans="1:18" x14ac:dyDescent="0.25">
      <c r="A1537" s="25" t="s">
        <v>113</v>
      </c>
      <c r="B1537" s="26">
        <v>2016</v>
      </c>
      <c r="C1537" s="74" t="s">
        <v>112</v>
      </c>
      <c r="D1537" s="27">
        <v>0</v>
      </c>
      <c r="E1537" s="53">
        <v>0</v>
      </c>
      <c r="F1537" s="53">
        <v>0</v>
      </c>
      <c r="G1537" s="53">
        <v>0</v>
      </c>
      <c r="H1537" s="53">
        <v>0</v>
      </c>
      <c r="I1537" s="53">
        <v>0</v>
      </c>
      <c r="J1537" s="53">
        <v>0</v>
      </c>
      <c r="K1537" s="53">
        <v>0</v>
      </c>
      <c r="L1537" s="53">
        <v>0</v>
      </c>
      <c r="M1537" s="53">
        <v>0</v>
      </c>
      <c r="N1537" s="53">
        <v>0</v>
      </c>
      <c r="O1537" s="53">
        <v>0</v>
      </c>
      <c r="P1537" s="53">
        <v>0</v>
      </c>
      <c r="Q1537" s="53">
        <v>0</v>
      </c>
      <c r="R1537" s="53">
        <v>0</v>
      </c>
    </row>
    <row r="1538" spans="1:18" x14ac:dyDescent="0.25">
      <c r="A1538" s="25" t="s">
        <v>111</v>
      </c>
      <c r="B1538" s="26">
        <v>2016</v>
      </c>
      <c r="C1538" s="74" t="s">
        <v>110</v>
      </c>
      <c r="D1538" s="27">
        <v>0</v>
      </c>
      <c r="E1538" s="53">
        <v>0</v>
      </c>
      <c r="F1538" s="53">
        <v>0</v>
      </c>
      <c r="G1538" s="53">
        <v>0</v>
      </c>
      <c r="H1538" s="53">
        <v>0</v>
      </c>
      <c r="I1538" s="53">
        <v>0</v>
      </c>
      <c r="J1538" s="53">
        <v>0</v>
      </c>
      <c r="K1538" s="53">
        <v>0</v>
      </c>
      <c r="L1538" s="53">
        <v>0</v>
      </c>
      <c r="M1538" s="53">
        <v>0</v>
      </c>
      <c r="N1538" s="53">
        <v>0</v>
      </c>
      <c r="O1538" s="53">
        <v>0</v>
      </c>
      <c r="P1538" s="53">
        <v>0</v>
      </c>
      <c r="Q1538" s="53">
        <v>0</v>
      </c>
      <c r="R1538" s="53">
        <v>0</v>
      </c>
    </row>
    <row r="1539" spans="1:18" x14ac:dyDescent="0.25">
      <c r="A1539" s="25" t="s">
        <v>109</v>
      </c>
      <c r="B1539" s="26">
        <v>2016</v>
      </c>
      <c r="C1539" s="74" t="s">
        <v>108</v>
      </c>
      <c r="D1539" s="27">
        <v>0</v>
      </c>
      <c r="E1539" s="53">
        <v>0</v>
      </c>
      <c r="F1539" s="53">
        <v>0</v>
      </c>
      <c r="G1539" s="53">
        <v>0</v>
      </c>
      <c r="H1539" s="53">
        <v>0</v>
      </c>
      <c r="I1539" s="53">
        <v>0</v>
      </c>
      <c r="J1539" s="53">
        <v>0</v>
      </c>
      <c r="K1539" s="53">
        <v>0</v>
      </c>
      <c r="L1539" s="53">
        <v>0</v>
      </c>
      <c r="M1539" s="53">
        <v>0</v>
      </c>
      <c r="N1539" s="53">
        <v>0</v>
      </c>
      <c r="O1539" s="53">
        <v>0</v>
      </c>
      <c r="P1539" s="53">
        <v>0</v>
      </c>
      <c r="Q1539" s="53">
        <v>0</v>
      </c>
      <c r="R1539" s="53">
        <v>0</v>
      </c>
    </row>
    <row r="1540" spans="1:18" x14ac:dyDescent="0.25">
      <c r="A1540" s="25" t="s">
        <v>107</v>
      </c>
      <c r="B1540" s="26">
        <v>2016</v>
      </c>
      <c r="C1540" s="74" t="s">
        <v>106</v>
      </c>
      <c r="D1540" s="27">
        <v>0</v>
      </c>
      <c r="E1540" s="53">
        <v>0</v>
      </c>
      <c r="F1540" s="53">
        <v>0</v>
      </c>
      <c r="G1540" s="53">
        <v>0</v>
      </c>
      <c r="H1540" s="53">
        <v>0</v>
      </c>
      <c r="I1540" s="53">
        <v>0</v>
      </c>
      <c r="J1540" s="53">
        <v>0</v>
      </c>
      <c r="K1540" s="53">
        <v>0</v>
      </c>
      <c r="L1540" s="53">
        <v>0</v>
      </c>
      <c r="M1540" s="53">
        <v>0</v>
      </c>
      <c r="N1540" s="53">
        <v>0</v>
      </c>
      <c r="O1540" s="53">
        <v>0</v>
      </c>
      <c r="P1540" s="53">
        <v>0</v>
      </c>
      <c r="Q1540" s="53">
        <v>0</v>
      </c>
      <c r="R1540" s="53">
        <v>0</v>
      </c>
    </row>
    <row r="1541" spans="1:18" x14ac:dyDescent="0.25">
      <c r="A1541" s="25" t="s">
        <v>105</v>
      </c>
      <c r="B1541" s="26">
        <v>2016</v>
      </c>
      <c r="C1541" s="74" t="s">
        <v>104</v>
      </c>
      <c r="D1541" s="27">
        <v>0</v>
      </c>
      <c r="E1541" s="53">
        <v>0</v>
      </c>
      <c r="F1541" s="53">
        <v>0</v>
      </c>
      <c r="G1541" s="53">
        <v>0</v>
      </c>
      <c r="H1541" s="53">
        <v>0</v>
      </c>
      <c r="I1541" s="53">
        <v>0</v>
      </c>
      <c r="J1541" s="53">
        <v>0</v>
      </c>
      <c r="K1541" s="53">
        <v>0</v>
      </c>
      <c r="L1541" s="53">
        <v>0</v>
      </c>
      <c r="M1541" s="53">
        <v>0</v>
      </c>
      <c r="N1541" s="53">
        <v>0</v>
      </c>
      <c r="O1541" s="53">
        <v>0</v>
      </c>
      <c r="P1541" s="53">
        <v>0</v>
      </c>
      <c r="Q1541" s="53">
        <v>0</v>
      </c>
      <c r="R1541" s="53">
        <v>0</v>
      </c>
    </row>
    <row r="1542" spans="1:18" x14ac:dyDescent="0.25">
      <c r="A1542" s="25" t="s">
        <v>103</v>
      </c>
      <c r="B1542" s="26">
        <v>2016</v>
      </c>
      <c r="C1542" s="74" t="s">
        <v>102</v>
      </c>
      <c r="D1542" s="27">
        <v>0</v>
      </c>
      <c r="E1542" s="53">
        <v>0</v>
      </c>
      <c r="F1542" s="53">
        <v>0</v>
      </c>
      <c r="G1542" s="53">
        <v>0</v>
      </c>
      <c r="H1542" s="53">
        <v>0</v>
      </c>
      <c r="I1542" s="53">
        <v>0</v>
      </c>
      <c r="J1542" s="53">
        <v>0</v>
      </c>
      <c r="K1542" s="53">
        <v>0</v>
      </c>
      <c r="L1542" s="53">
        <v>0</v>
      </c>
      <c r="M1542" s="53">
        <v>0</v>
      </c>
      <c r="N1542" s="53">
        <v>0</v>
      </c>
      <c r="O1542" s="53">
        <v>0</v>
      </c>
      <c r="P1542" s="53">
        <v>0</v>
      </c>
      <c r="Q1542" s="53">
        <v>0</v>
      </c>
      <c r="R1542" s="53">
        <v>0</v>
      </c>
    </row>
    <row r="1543" spans="1:18" x14ac:dyDescent="0.25">
      <c r="A1543" s="25" t="s">
        <v>101</v>
      </c>
      <c r="B1543" s="26">
        <v>2016</v>
      </c>
      <c r="C1543" s="74" t="s">
        <v>100</v>
      </c>
      <c r="D1543" s="27">
        <v>0</v>
      </c>
      <c r="E1543" s="53">
        <v>0</v>
      </c>
      <c r="F1543" s="53">
        <v>0</v>
      </c>
      <c r="G1543" s="53">
        <v>0</v>
      </c>
      <c r="H1543" s="53">
        <v>0</v>
      </c>
      <c r="I1543" s="53">
        <v>0</v>
      </c>
      <c r="J1543" s="53">
        <v>0</v>
      </c>
      <c r="K1543" s="53">
        <v>0</v>
      </c>
      <c r="L1543" s="53">
        <v>0</v>
      </c>
      <c r="M1543" s="53">
        <v>0</v>
      </c>
      <c r="N1543" s="53">
        <v>0</v>
      </c>
      <c r="O1543" s="53">
        <v>10500000</v>
      </c>
      <c r="P1543" s="53">
        <v>0</v>
      </c>
      <c r="Q1543" s="53">
        <v>0</v>
      </c>
      <c r="R1543" s="53">
        <v>0</v>
      </c>
    </row>
    <row r="1544" spans="1:18" x14ac:dyDescent="0.25">
      <c r="A1544" s="25" t="s">
        <v>99</v>
      </c>
      <c r="B1544" s="26">
        <v>2016</v>
      </c>
      <c r="C1544" s="74" t="s">
        <v>98</v>
      </c>
      <c r="D1544" s="27">
        <v>0</v>
      </c>
      <c r="E1544" s="53">
        <v>0</v>
      </c>
      <c r="F1544" s="53">
        <v>0</v>
      </c>
      <c r="G1544" s="53">
        <v>0</v>
      </c>
      <c r="H1544" s="53">
        <v>0</v>
      </c>
      <c r="I1544" s="53">
        <v>0</v>
      </c>
      <c r="J1544" s="53">
        <v>0</v>
      </c>
      <c r="K1544" s="53">
        <v>0</v>
      </c>
      <c r="L1544" s="53">
        <v>0</v>
      </c>
      <c r="M1544" s="53">
        <v>0</v>
      </c>
      <c r="N1544" s="53">
        <v>0</v>
      </c>
      <c r="O1544" s="53">
        <v>0</v>
      </c>
      <c r="P1544" s="53">
        <v>0</v>
      </c>
      <c r="Q1544" s="53">
        <v>0</v>
      </c>
      <c r="R1544" s="53">
        <v>0</v>
      </c>
    </row>
    <row r="1545" spans="1:18" x14ac:dyDescent="0.25">
      <c r="A1545" s="25" t="s">
        <v>97</v>
      </c>
      <c r="B1545" s="26">
        <v>2016</v>
      </c>
      <c r="C1545" s="74" t="s">
        <v>96</v>
      </c>
      <c r="D1545" s="27">
        <v>0</v>
      </c>
      <c r="E1545" s="53">
        <v>0</v>
      </c>
      <c r="F1545" s="53">
        <v>0</v>
      </c>
      <c r="G1545" s="53">
        <v>0</v>
      </c>
      <c r="H1545" s="53">
        <v>0</v>
      </c>
      <c r="I1545" s="53">
        <v>0</v>
      </c>
      <c r="J1545" s="53">
        <v>0</v>
      </c>
      <c r="K1545" s="53">
        <v>0</v>
      </c>
      <c r="L1545" s="53">
        <v>0</v>
      </c>
      <c r="M1545" s="53">
        <v>0</v>
      </c>
      <c r="N1545" s="53">
        <v>0</v>
      </c>
      <c r="O1545" s="53">
        <v>0</v>
      </c>
      <c r="P1545" s="53">
        <v>0</v>
      </c>
      <c r="Q1545" s="53">
        <v>0</v>
      </c>
      <c r="R1545" s="53">
        <v>0</v>
      </c>
    </row>
    <row r="1546" spans="1:18" x14ac:dyDescent="0.25">
      <c r="A1546" s="25" t="s">
        <v>95</v>
      </c>
      <c r="B1546" s="26">
        <v>2016</v>
      </c>
      <c r="C1546" s="74" t="s">
        <v>94</v>
      </c>
      <c r="D1546" s="27">
        <v>0</v>
      </c>
      <c r="E1546" s="53">
        <v>0</v>
      </c>
      <c r="F1546" s="53">
        <v>0</v>
      </c>
      <c r="G1546" s="53">
        <v>0</v>
      </c>
      <c r="H1546" s="53">
        <v>0</v>
      </c>
      <c r="I1546" s="53">
        <v>0</v>
      </c>
      <c r="J1546" s="53">
        <v>0</v>
      </c>
      <c r="K1546" s="53">
        <v>0</v>
      </c>
      <c r="L1546" s="53">
        <v>0</v>
      </c>
      <c r="M1546" s="53">
        <v>0</v>
      </c>
      <c r="N1546" s="53">
        <v>0</v>
      </c>
      <c r="O1546" s="53">
        <v>0</v>
      </c>
      <c r="P1546" s="53">
        <v>0</v>
      </c>
      <c r="Q1546" s="53">
        <v>0</v>
      </c>
      <c r="R1546" s="53">
        <v>0</v>
      </c>
    </row>
    <row r="1547" spans="1:18" x14ac:dyDescent="0.25">
      <c r="A1547" s="25" t="s">
        <v>93</v>
      </c>
      <c r="B1547" s="26">
        <v>2016</v>
      </c>
      <c r="C1547" s="74" t="s">
        <v>92</v>
      </c>
      <c r="D1547" s="27">
        <v>0</v>
      </c>
      <c r="E1547" s="53">
        <v>0</v>
      </c>
      <c r="F1547" s="53">
        <v>0</v>
      </c>
      <c r="G1547" s="53">
        <v>0</v>
      </c>
      <c r="H1547" s="53">
        <v>0</v>
      </c>
      <c r="I1547" s="53">
        <v>0</v>
      </c>
      <c r="J1547" s="53">
        <v>0</v>
      </c>
      <c r="K1547" s="53">
        <v>0</v>
      </c>
      <c r="L1547" s="53">
        <v>0</v>
      </c>
      <c r="M1547" s="53">
        <v>4600000</v>
      </c>
      <c r="N1547" s="53">
        <v>0</v>
      </c>
      <c r="O1547" s="53">
        <v>0</v>
      </c>
      <c r="P1547" s="53">
        <v>0</v>
      </c>
      <c r="Q1547" s="53">
        <v>0</v>
      </c>
      <c r="R1547" s="53">
        <v>0</v>
      </c>
    </row>
    <row r="1548" spans="1:18" x14ac:dyDescent="0.25">
      <c r="A1548" s="25" t="s">
        <v>91</v>
      </c>
      <c r="B1548" s="26">
        <v>2016</v>
      </c>
      <c r="C1548" s="74" t="s">
        <v>90</v>
      </c>
      <c r="D1548" s="27">
        <v>0</v>
      </c>
      <c r="E1548" s="53">
        <v>0</v>
      </c>
      <c r="F1548" s="53">
        <v>0</v>
      </c>
      <c r="G1548" s="53">
        <v>0</v>
      </c>
      <c r="H1548" s="53">
        <v>0</v>
      </c>
      <c r="I1548" s="53">
        <v>0</v>
      </c>
      <c r="J1548" s="53">
        <v>0</v>
      </c>
      <c r="K1548" s="53">
        <v>0</v>
      </c>
      <c r="L1548" s="53">
        <v>0</v>
      </c>
      <c r="M1548" s="53">
        <v>5119129099</v>
      </c>
      <c r="N1548" s="53">
        <v>0</v>
      </c>
      <c r="O1548" s="53">
        <v>0</v>
      </c>
      <c r="P1548" s="53">
        <v>0</v>
      </c>
      <c r="Q1548" s="53">
        <v>0</v>
      </c>
      <c r="R1548" s="53">
        <v>0</v>
      </c>
    </row>
    <row r="1549" spans="1:18" x14ac:dyDescent="0.25">
      <c r="A1549" s="25" t="s">
        <v>89</v>
      </c>
      <c r="B1549" s="26">
        <v>2016</v>
      </c>
      <c r="C1549" s="74" t="s">
        <v>88</v>
      </c>
      <c r="D1549" s="27">
        <v>0</v>
      </c>
      <c r="E1549" s="53">
        <v>0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3">
        <v>0</v>
      </c>
      <c r="L1549" s="53">
        <v>35136305.079999998</v>
      </c>
      <c r="M1549" s="53">
        <v>35136305.079999998</v>
      </c>
      <c r="N1549" s="53">
        <v>35136305.079999998</v>
      </c>
      <c r="O1549" s="53">
        <v>28580097.620000001</v>
      </c>
      <c r="P1549" s="53">
        <v>0</v>
      </c>
      <c r="Q1549" s="53">
        <v>0</v>
      </c>
      <c r="R1549" s="53">
        <v>0</v>
      </c>
    </row>
    <row r="1550" spans="1:18" x14ac:dyDescent="0.25">
      <c r="A1550" s="25" t="s">
        <v>87</v>
      </c>
      <c r="B1550" s="26">
        <v>2016</v>
      </c>
      <c r="C1550" s="74" t="s">
        <v>86</v>
      </c>
      <c r="D1550" s="27">
        <v>0</v>
      </c>
      <c r="E1550" s="53">
        <v>0</v>
      </c>
      <c r="F1550" s="53">
        <v>0</v>
      </c>
      <c r="G1550" s="53">
        <v>0</v>
      </c>
      <c r="H1550" s="53">
        <v>0</v>
      </c>
      <c r="I1550" s="53">
        <v>0</v>
      </c>
      <c r="J1550" s="53">
        <v>0</v>
      </c>
      <c r="K1550" s="53">
        <v>0</v>
      </c>
      <c r="L1550" s="53">
        <v>424329073</v>
      </c>
      <c r="M1550" s="53">
        <v>0</v>
      </c>
      <c r="N1550" s="53">
        <v>0</v>
      </c>
      <c r="O1550" s="53">
        <v>0</v>
      </c>
      <c r="P1550" s="53">
        <v>0</v>
      </c>
      <c r="Q1550" s="53">
        <v>0</v>
      </c>
      <c r="R1550" s="53">
        <v>0</v>
      </c>
    </row>
    <row r="1551" spans="1:18" x14ac:dyDescent="0.25">
      <c r="A1551" s="25" t="s">
        <v>85</v>
      </c>
      <c r="B1551" s="26">
        <v>2016</v>
      </c>
      <c r="C1551" s="74" t="s">
        <v>84</v>
      </c>
      <c r="D1551" s="27">
        <v>0</v>
      </c>
      <c r="E1551" s="53">
        <v>0</v>
      </c>
      <c r="F1551" s="53">
        <v>0</v>
      </c>
      <c r="G1551" s="53">
        <v>0</v>
      </c>
      <c r="H1551" s="53">
        <v>0</v>
      </c>
      <c r="I1551" s="53">
        <v>0</v>
      </c>
      <c r="J1551" s="53">
        <v>0</v>
      </c>
      <c r="K1551" s="53">
        <v>0</v>
      </c>
      <c r="L1551" s="53">
        <v>0</v>
      </c>
      <c r="M1551" s="53">
        <v>0</v>
      </c>
      <c r="N1551" s="53">
        <v>0</v>
      </c>
      <c r="O1551" s="53">
        <v>0</v>
      </c>
      <c r="P1551" s="53">
        <v>0</v>
      </c>
      <c r="Q1551" s="53">
        <v>0</v>
      </c>
      <c r="R1551" s="53">
        <v>0</v>
      </c>
    </row>
    <row r="1552" spans="1:18" x14ac:dyDescent="0.25">
      <c r="A1552" s="25" t="s">
        <v>393</v>
      </c>
      <c r="B1552" s="26">
        <v>2016</v>
      </c>
      <c r="C1552" s="74" t="s">
        <v>392</v>
      </c>
      <c r="D1552" s="27">
        <v>0</v>
      </c>
      <c r="E1552" s="53">
        <v>0</v>
      </c>
      <c r="F1552" s="53">
        <v>0</v>
      </c>
      <c r="G1552" s="53">
        <v>0</v>
      </c>
      <c r="H1552" s="53">
        <v>0</v>
      </c>
      <c r="I1552" s="53">
        <v>0</v>
      </c>
      <c r="J1552" s="53">
        <v>0</v>
      </c>
      <c r="K1552" s="53">
        <v>0</v>
      </c>
      <c r="L1552" s="53">
        <v>0</v>
      </c>
      <c r="M1552" s="53">
        <v>0</v>
      </c>
      <c r="N1552" s="53">
        <v>100000000</v>
      </c>
      <c r="O1552" s="53">
        <v>0</v>
      </c>
      <c r="P1552" s="53">
        <v>0</v>
      </c>
      <c r="Q1552" s="53">
        <v>0</v>
      </c>
      <c r="R1552" s="53">
        <v>0</v>
      </c>
    </row>
    <row r="1553" spans="1:18" x14ac:dyDescent="0.25">
      <c r="A1553" s="25" t="s">
        <v>83</v>
      </c>
      <c r="B1553" s="26">
        <v>2016</v>
      </c>
      <c r="C1553" s="74" t="s">
        <v>82</v>
      </c>
      <c r="D1553" s="27">
        <v>0</v>
      </c>
      <c r="E1553" s="53">
        <v>0</v>
      </c>
      <c r="F1553" s="53">
        <v>0</v>
      </c>
      <c r="G1553" s="53">
        <v>0</v>
      </c>
      <c r="H1553" s="53">
        <v>0</v>
      </c>
      <c r="I1553" s="53">
        <v>0</v>
      </c>
      <c r="J1553" s="53">
        <v>0</v>
      </c>
      <c r="K1553" s="53">
        <v>0</v>
      </c>
      <c r="L1553" s="53">
        <v>85150357.530000001</v>
      </c>
      <c r="M1553" s="53">
        <v>78496464.120000005</v>
      </c>
      <c r="N1553" s="53">
        <v>102886382.06999999</v>
      </c>
      <c r="O1553" s="53">
        <v>75855734.829999998</v>
      </c>
      <c r="P1553" s="53">
        <v>0</v>
      </c>
      <c r="Q1553" s="53">
        <v>0</v>
      </c>
      <c r="R1553" s="53">
        <v>0</v>
      </c>
    </row>
    <row r="1554" spans="1:18" x14ac:dyDescent="0.25">
      <c r="A1554" s="25" t="s">
        <v>80</v>
      </c>
      <c r="B1554" s="26">
        <v>2016</v>
      </c>
      <c r="C1554" s="74" t="s">
        <v>79</v>
      </c>
      <c r="D1554" s="27">
        <v>0</v>
      </c>
      <c r="E1554" s="53">
        <v>0</v>
      </c>
      <c r="F1554" s="53">
        <v>0</v>
      </c>
      <c r="G1554" s="53">
        <v>0</v>
      </c>
      <c r="H1554" s="53">
        <v>0</v>
      </c>
      <c r="I1554" s="53">
        <v>0</v>
      </c>
      <c r="J1554" s="53">
        <v>0</v>
      </c>
      <c r="K1554" s="53">
        <v>0</v>
      </c>
      <c r="L1554" s="53">
        <v>0</v>
      </c>
      <c r="M1554" s="53">
        <v>16700000</v>
      </c>
      <c r="N1554" s="53">
        <v>0</v>
      </c>
      <c r="O1554" s="53">
        <v>0</v>
      </c>
      <c r="P1554" s="53">
        <v>0</v>
      </c>
      <c r="Q1554" s="53">
        <v>0</v>
      </c>
      <c r="R1554" s="53">
        <v>0</v>
      </c>
    </row>
    <row r="1555" spans="1:18" x14ac:dyDescent="0.25">
      <c r="A1555" s="25" t="s">
        <v>78</v>
      </c>
      <c r="B1555" s="26">
        <v>2016</v>
      </c>
      <c r="C1555" s="74" t="s">
        <v>77</v>
      </c>
      <c r="D1555" s="27">
        <v>0</v>
      </c>
      <c r="E1555" s="53">
        <v>0</v>
      </c>
      <c r="F1555" s="53">
        <v>0</v>
      </c>
      <c r="G1555" s="53">
        <v>0</v>
      </c>
      <c r="H1555" s="53">
        <v>0</v>
      </c>
      <c r="I1555" s="53">
        <v>0</v>
      </c>
      <c r="J1555" s="53">
        <v>0</v>
      </c>
      <c r="K1555" s="53">
        <v>0</v>
      </c>
      <c r="L1555" s="53">
        <v>0</v>
      </c>
      <c r="M1555" s="53">
        <v>0</v>
      </c>
      <c r="N1555" s="53">
        <v>0</v>
      </c>
      <c r="O1555" s="53">
        <v>0</v>
      </c>
      <c r="P1555" s="53">
        <v>0</v>
      </c>
      <c r="Q1555" s="53">
        <v>0</v>
      </c>
      <c r="R1555" s="53">
        <v>0</v>
      </c>
    </row>
    <row r="1556" spans="1:18" x14ac:dyDescent="0.25">
      <c r="A1556" s="25" t="s">
        <v>76</v>
      </c>
      <c r="B1556" s="26">
        <v>2016</v>
      </c>
      <c r="C1556" s="74" t="s">
        <v>75</v>
      </c>
      <c r="D1556" s="27">
        <v>0</v>
      </c>
      <c r="E1556" s="53">
        <v>0</v>
      </c>
      <c r="F1556" s="53">
        <v>0</v>
      </c>
      <c r="G1556" s="53">
        <v>0</v>
      </c>
      <c r="H1556" s="53">
        <v>0</v>
      </c>
      <c r="I1556" s="53">
        <v>0</v>
      </c>
      <c r="J1556" s="53">
        <v>0</v>
      </c>
      <c r="K1556" s="53">
        <v>0</v>
      </c>
      <c r="L1556" s="53">
        <v>14100000</v>
      </c>
      <c r="M1556" s="53">
        <v>0</v>
      </c>
      <c r="N1556" s="53">
        <v>0</v>
      </c>
      <c r="O1556" s="53">
        <v>0</v>
      </c>
      <c r="P1556" s="53">
        <v>0</v>
      </c>
      <c r="Q1556" s="53">
        <v>0</v>
      </c>
      <c r="R1556" s="53">
        <v>0</v>
      </c>
    </row>
    <row r="1557" spans="1:18" x14ac:dyDescent="0.25">
      <c r="A1557" s="25" t="s">
        <v>74</v>
      </c>
      <c r="B1557" s="26">
        <v>2016</v>
      </c>
      <c r="C1557" s="74" t="s">
        <v>73</v>
      </c>
      <c r="D1557" s="27">
        <v>0</v>
      </c>
      <c r="E1557" s="53">
        <v>0</v>
      </c>
      <c r="F1557" s="53">
        <v>0</v>
      </c>
      <c r="G1557" s="53">
        <v>0</v>
      </c>
      <c r="H1557" s="53">
        <v>0</v>
      </c>
      <c r="I1557" s="53">
        <v>0</v>
      </c>
      <c r="J1557" s="53">
        <v>0</v>
      </c>
      <c r="K1557" s="53">
        <v>0</v>
      </c>
      <c r="L1557" s="53">
        <v>0</v>
      </c>
      <c r="M1557" s="53">
        <v>0</v>
      </c>
      <c r="N1557" s="53">
        <v>0</v>
      </c>
      <c r="O1557" s="53">
        <v>0</v>
      </c>
      <c r="P1557" s="53">
        <v>0</v>
      </c>
      <c r="Q1557" s="53">
        <v>0</v>
      </c>
      <c r="R1557" s="53">
        <v>0</v>
      </c>
    </row>
    <row r="1558" spans="1:18" x14ac:dyDescent="0.25">
      <c r="A1558" s="25" t="s">
        <v>72</v>
      </c>
      <c r="B1558" s="26">
        <v>2016</v>
      </c>
      <c r="C1558" s="74" t="s">
        <v>71</v>
      </c>
      <c r="D1558" s="27">
        <v>0</v>
      </c>
      <c r="E1558" s="53">
        <v>0</v>
      </c>
      <c r="F1558" s="53">
        <v>0</v>
      </c>
      <c r="G1558" s="53">
        <v>0</v>
      </c>
      <c r="H1558" s="53">
        <v>0</v>
      </c>
      <c r="I1558" s="53">
        <v>0</v>
      </c>
      <c r="J1558" s="53">
        <v>0</v>
      </c>
      <c r="K1558" s="53">
        <v>0</v>
      </c>
      <c r="L1558" s="53">
        <v>0</v>
      </c>
      <c r="M1558" s="53">
        <v>0</v>
      </c>
      <c r="N1558" s="53">
        <v>0</v>
      </c>
      <c r="O1558" s="53">
        <v>0</v>
      </c>
      <c r="P1558" s="53">
        <v>0</v>
      </c>
      <c r="Q1558" s="53">
        <v>0</v>
      </c>
      <c r="R1558" s="53">
        <v>0</v>
      </c>
    </row>
    <row r="1559" spans="1:18" x14ac:dyDescent="0.25">
      <c r="A1559" s="25" t="s">
        <v>70</v>
      </c>
      <c r="B1559" s="26">
        <v>2016</v>
      </c>
      <c r="C1559" s="74" t="s">
        <v>69</v>
      </c>
      <c r="D1559" s="27">
        <v>0</v>
      </c>
      <c r="E1559" s="53">
        <v>0</v>
      </c>
      <c r="F1559" s="53">
        <v>0</v>
      </c>
      <c r="G1559" s="53">
        <v>0</v>
      </c>
      <c r="H1559" s="53">
        <v>0</v>
      </c>
      <c r="I1559" s="53">
        <v>0</v>
      </c>
      <c r="J1559" s="53">
        <v>0</v>
      </c>
      <c r="K1559" s="53">
        <v>0</v>
      </c>
      <c r="L1559" s="53">
        <v>0</v>
      </c>
      <c r="M1559" s="53">
        <v>0</v>
      </c>
      <c r="N1559" s="53">
        <v>0</v>
      </c>
      <c r="O1559" s="53">
        <v>0</v>
      </c>
      <c r="P1559" s="53">
        <v>0</v>
      </c>
      <c r="Q1559" s="53">
        <v>0</v>
      </c>
      <c r="R1559" s="53">
        <v>0</v>
      </c>
    </row>
    <row r="1560" spans="1:18" x14ac:dyDescent="0.25">
      <c r="A1560" s="25" t="s">
        <v>68</v>
      </c>
      <c r="B1560" s="26">
        <v>2016</v>
      </c>
      <c r="C1560" s="74" t="s">
        <v>67</v>
      </c>
      <c r="D1560" s="27">
        <v>0</v>
      </c>
      <c r="E1560" s="53">
        <v>0</v>
      </c>
      <c r="F1560" s="53">
        <v>0</v>
      </c>
      <c r="G1560" s="53">
        <v>0</v>
      </c>
      <c r="H1560" s="53">
        <v>0</v>
      </c>
      <c r="I1560" s="53">
        <v>0</v>
      </c>
      <c r="J1560" s="53">
        <v>0</v>
      </c>
      <c r="K1560" s="53">
        <v>0</v>
      </c>
      <c r="L1560" s="53">
        <v>0</v>
      </c>
      <c r="M1560" s="53">
        <v>0</v>
      </c>
      <c r="N1560" s="53">
        <v>0</v>
      </c>
      <c r="O1560" s="53">
        <v>0</v>
      </c>
      <c r="P1560" s="53">
        <v>0</v>
      </c>
      <c r="Q1560" s="53">
        <v>0</v>
      </c>
      <c r="R1560" s="53">
        <v>0</v>
      </c>
    </row>
    <row r="1561" spans="1:18" x14ac:dyDescent="0.25">
      <c r="A1561" s="25" t="s">
        <v>66</v>
      </c>
      <c r="B1561" s="26">
        <v>2016</v>
      </c>
      <c r="C1561" s="74" t="s">
        <v>65</v>
      </c>
      <c r="D1561" s="27">
        <v>0</v>
      </c>
      <c r="E1561" s="53">
        <v>0</v>
      </c>
      <c r="F1561" s="53">
        <v>0</v>
      </c>
      <c r="G1561" s="53">
        <v>0</v>
      </c>
      <c r="H1561" s="53">
        <v>0</v>
      </c>
      <c r="I1561" s="53">
        <v>0</v>
      </c>
      <c r="J1561" s="53">
        <v>0</v>
      </c>
      <c r="K1561" s="53">
        <v>0</v>
      </c>
      <c r="L1561" s="53">
        <v>7858334</v>
      </c>
      <c r="M1561" s="53">
        <v>7858334</v>
      </c>
      <c r="N1561" s="53">
        <v>7858334</v>
      </c>
      <c r="O1561" s="53">
        <v>7858334</v>
      </c>
      <c r="P1561" s="53">
        <v>0</v>
      </c>
      <c r="Q1561" s="53">
        <v>0</v>
      </c>
      <c r="R1561" s="53">
        <v>0</v>
      </c>
    </row>
    <row r="1562" spans="1:18" x14ac:dyDescent="0.25">
      <c r="A1562" s="25" t="s">
        <v>64</v>
      </c>
      <c r="B1562" s="26">
        <v>2016</v>
      </c>
      <c r="C1562" s="74" t="s">
        <v>63</v>
      </c>
      <c r="D1562" s="27">
        <v>0</v>
      </c>
      <c r="E1562" s="53">
        <v>0</v>
      </c>
      <c r="F1562" s="53">
        <v>0</v>
      </c>
      <c r="G1562" s="53">
        <v>0</v>
      </c>
      <c r="H1562" s="53">
        <v>0</v>
      </c>
      <c r="I1562" s="53">
        <v>0</v>
      </c>
      <c r="J1562" s="53">
        <v>0</v>
      </c>
      <c r="K1562" s="53">
        <v>0</v>
      </c>
      <c r="L1562" s="53">
        <v>0</v>
      </c>
      <c r="M1562" s="53">
        <v>0</v>
      </c>
      <c r="N1562" s="53">
        <v>0</v>
      </c>
      <c r="O1562" s="53">
        <v>0</v>
      </c>
      <c r="P1562" s="53">
        <v>0</v>
      </c>
      <c r="Q1562" s="53">
        <v>0</v>
      </c>
      <c r="R1562" s="53">
        <v>0</v>
      </c>
    </row>
    <row r="1563" spans="1:18" x14ac:dyDescent="0.25">
      <c r="A1563" s="25" t="s">
        <v>62</v>
      </c>
      <c r="B1563" s="26">
        <v>2016</v>
      </c>
      <c r="C1563" s="74" t="s">
        <v>61</v>
      </c>
      <c r="D1563" s="27">
        <v>0</v>
      </c>
      <c r="E1563" s="53">
        <v>0</v>
      </c>
      <c r="F1563" s="53">
        <v>0</v>
      </c>
      <c r="G1563" s="53">
        <v>0</v>
      </c>
      <c r="H1563" s="53">
        <v>0</v>
      </c>
      <c r="I1563" s="53">
        <v>0</v>
      </c>
      <c r="J1563" s="53">
        <v>0</v>
      </c>
      <c r="K1563" s="53">
        <v>0</v>
      </c>
      <c r="L1563" s="53">
        <v>0</v>
      </c>
      <c r="M1563" s="53">
        <v>0</v>
      </c>
      <c r="N1563" s="53">
        <v>0</v>
      </c>
      <c r="O1563" s="53">
        <v>0</v>
      </c>
      <c r="P1563" s="53">
        <v>0</v>
      </c>
      <c r="Q1563" s="53">
        <v>0</v>
      </c>
      <c r="R1563" s="53">
        <v>0</v>
      </c>
    </row>
    <row r="1564" spans="1:18" x14ac:dyDescent="0.25">
      <c r="A1564" s="25" t="s">
        <v>60</v>
      </c>
      <c r="B1564" s="26">
        <v>2016</v>
      </c>
      <c r="C1564" s="74" t="s">
        <v>59</v>
      </c>
      <c r="D1564" s="27">
        <v>0</v>
      </c>
      <c r="E1564" s="53">
        <v>0</v>
      </c>
      <c r="F1564" s="53">
        <v>0</v>
      </c>
      <c r="G1564" s="53">
        <v>0</v>
      </c>
      <c r="H1564" s="53">
        <v>0</v>
      </c>
      <c r="I1564" s="53">
        <v>0</v>
      </c>
      <c r="J1564" s="53">
        <v>0</v>
      </c>
      <c r="K1564" s="53">
        <v>0</v>
      </c>
      <c r="L1564" s="53">
        <v>0</v>
      </c>
      <c r="M1564" s="53">
        <v>0</v>
      </c>
      <c r="N1564" s="53">
        <v>0</v>
      </c>
      <c r="O1564" s="53">
        <v>0</v>
      </c>
      <c r="P1564" s="53">
        <v>0</v>
      </c>
      <c r="Q1564" s="53">
        <v>0</v>
      </c>
      <c r="R1564" s="53">
        <v>0</v>
      </c>
    </row>
    <row r="1565" spans="1:18" x14ac:dyDescent="0.25">
      <c r="A1565" s="25" t="s">
        <v>57</v>
      </c>
      <c r="B1565" s="26">
        <v>2016</v>
      </c>
      <c r="C1565" s="74" t="s">
        <v>56</v>
      </c>
      <c r="D1565" s="27">
        <v>0</v>
      </c>
      <c r="E1565" s="53">
        <v>0</v>
      </c>
      <c r="F1565" s="53">
        <v>0</v>
      </c>
      <c r="G1565" s="53">
        <v>0</v>
      </c>
      <c r="H1565" s="53">
        <v>0</v>
      </c>
      <c r="I1565" s="53">
        <v>0</v>
      </c>
      <c r="J1565" s="53">
        <v>0</v>
      </c>
      <c r="K1565" s="53">
        <v>0</v>
      </c>
      <c r="L1565" s="53">
        <v>0</v>
      </c>
      <c r="M1565" s="53">
        <v>0</v>
      </c>
      <c r="N1565" s="53">
        <v>60650700</v>
      </c>
      <c r="O1565" s="53">
        <v>0</v>
      </c>
      <c r="P1565" s="53">
        <v>0</v>
      </c>
      <c r="Q1565" s="53">
        <v>0</v>
      </c>
      <c r="R1565" s="53">
        <v>0</v>
      </c>
    </row>
    <row r="1566" spans="1:18" x14ac:dyDescent="0.25">
      <c r="A1566" s="25" t="s">
        <v>389</v>
      </c>
      <c r="B1566" s="26">
        <v>2016</v>
      </c>
      <c r="C1566" s="74" t="s">
        <v>388</v>
      </c>
      <c r="D1566" s="27">
        <v>0</v>
      </c>
      <c r="E1566" s="53">
        <v>0</v>
      </c>
      <c r="F1566" s="53">
        <v>0</v>
      </c>
      <c r="G1566" s="53">
        <v>0</v>
      </c>
      <c r="H1566" s="53">
        <v>0</v>
      </c>
      <c r="I1566" s="53">
        <v>0</v>
      </c>
      <c r="J1566" s="53">
        <v>0</v>
      </c>
      <c r="K1566" s="53">
        <v>0</v>
      </c>
      <c r="L1566" s="53">
        <v>0</v>
      </c>
      <c r="M1566" s="53">
        <v>-136396719.36000001</v>
      </c>
      <c r="N1566" s="53">
        <v>0</v>
      </c>
      <c r="O1566" s="53">
        <v>0</v>
      </c>
      <c r="P1566" s="53">
        <v>0</v>
      </c>
      <c r="Q1566" s="53">
        <v>0</v>
      </c>
      <c r="R1566" s="53">
        <v>0</v>
      </c>
    </row>
    <row r="1567" spans="1:18" x14ac:dyDescent="0.25">
      <c r="A1567" s="25" t="s">
        <v>387</v>
      </c>
      <c r="B1567" s="26">
        <v>2016</v>
      </c>
      <c r="C1567" s="74" t="s">
        <v>386</v>
      </c>
      <c r="D1567" s="27">
        <v>0</v>
      </c>
      <c r="E1567" s="53">
        <v>0</v>
      </c>
      <c r="F1567" s="53">
        <v>0</v>
      </c>
      <c r="G1567" s="53">
        <v>0</v>
      </c>
      <c r="H1567" s="53">
        <v>0</v>
      </c>
      <c r="I1567" s="53">
        <v>0</v>
      </c>
      <c r="J1567" s="53">
        <v>0</v>
      </c>
      <c r="K1567" s="53">
        <v>0</v>
      </c>
      <c r="L1567" s="53">
        <v>0</v>
      </c>
      <c r="M1567" s="53">
        <v>0</v>
      </c>
      <c r="N1567" s="53">
        <v>0</v>
      </c>
      <c r="O1567" s="53">
        <v>0</v>
      </c>
      <c r="P1567" s="53">
        <v>0</v>
      </c>
      <c r="Q1567" s="53">
        <v>0</v>
      </c>
      <c r="R1567" s="53">
        <v>0</v>
      </c>
    </row>
    <row r="1568" spans="1:18" x14ac:dyDescent="0.25">
      <c r="A1568" s="25" t="s">
        <v>367</v>
      </c>
      <c r="B1568" s="26">
        <v>2016</v>
      </c>
      <c r="C1568" s="74" t="s">
        <v>385</v>
      </c>
      <c r="D1568" s="27">
        <v>0</v>
      </c>
      <c r="E1568" s="53">
        <v>0</v>
      </c>
      <c r="F1568" s="53">
        <v>0</v>
      </c>
      <c r="G1568" s="53">
        <v>0</v>
      </c>
      <c r="H1568" s="53">
        <v>0</v>
      </c>
      <c r="I1568" s="53">
        <v>0</v>
      </c>
      <c r="J1568" s="53">
        <v>0</v>
      </c>
      <c r="K1568" s="53">
        <v>0</v>
      </c>
      <c r="L1568" s="53">
        <v>0</v>
      </c>
      <c r="M1568" s="53">
        <v>0</v>
      </c>
      <c r="N1568" s="53">
        <v>0</v>
      </c>
      <c r="O1568" s="53">
        <v>0</v>
      </c>
      <c r="P1568" s="53">
        <v>0</v>
      </c>
      <c r="Q1568" s="53">
        <v>0</v>
      </c>
      <c r="R1568" s="53">
        <v>0</v>
      </c>
    </row>
    <row r="1569" spans="1:18" x14ac:dyDescent="0.25">
      <c r="A1569" s="25" t="s">
        <v>366</v>
      </c>
      <c r="B1569" s="26">
        <v>2016</v>
      </c>
      <c r="C1569" s="74" t="s">
        <v>384</v>
      </c>
      <c r="D1569" s="27">
        <v>0</v>
      </c>
      <c r="E1569" s="53">
        <v>0</v>
      </c>
      <c r="F1569" s="53">
        <v>0</v>
      </c>
      <c r="G1569" s="53">
        <v>0</v>
      </c>
      <c r="H1569" s="53">
        <v>0</v>
      </c>
      <c r="I1569" s="53">
        <v>0</v>
      </c>
      <c r="J1569" s="53">
        <v>0</v>
      </c>
      <c r="K1569" s="53">
        <v>0</v>
      </c>
      <c r="L1569" s="53">
        <v>0</v>
      </c>
      <c r="M1569" s="53">
        <v>0</v>
      </c>
      <c r="N1569" s="53">
        <v>0</v>
      </c>
      <c r="O1569" s="53">
        <v>0</v>
      </c>
      <c r="P1569" s="53">
        <v>0</v>
      </c>
      <c r="Q1569" s="53">
        <v>0</v>
      </c>
      <c r="R1569" s="53">
        <v>0</v>
      </c>
    </row>
    <row r="1570" spans="1:18" x14ac:dyDescent="0.25">
      <c r="A1570" s="25" t="s">
        <v>49</v>
      </c>
      <c r="B1570" s="26">
        <v>2016</v>
      </c>
      <c r="C1570" s="74" t="s">
        <v>48</v>
      </c>
      <c r="D1570" s="27">
        <v>0</v>
      </c>
      <c r="E1570" s="53">
        <v>0</v>
      </c>
      <c r="F1570" s="53">
        <v>0</v>
      </c>
      <c r="G1570" s="53">
        <v>0</v>
      </c>
      <c r="H1570" s="53">
        <v>0</v>
      </c>
      <c r="I1570" s="53">
        <v>0</v>
      </c>
      <c r="J1570" s="53">
        <v>0</v>
      </c>
      <c r="K1570" s="53">
        <v>0</v>
      </c>
      <c r="L1570" s="53">
        <v>24057274065.66</v>
      </c>
      <c r="M1570" s="53">
        <v>21548402559.07</v>
      </c>
      <c r="N1570" s="53">
        <v>74416277932.360001</v>
      </c>
      <c r="O1570" s="53">
        <v>36917946101.239998</v>
      </c>
      <c r="P1570" s="53">
        <v>0</v>
      </c>
      <c r="Q1570" s="53">
        <v>0</v>
      </c>
      <c r="R1570" s="53">
        <v>0</v>
      </c>
    </row>
    <row r="1571" spans="1:18" x14ac:dyDescent="0.25">
      <c r="A1571" s="25" t="s">
        <v>43</v>
      </c>
      <c r="B1571" s="26">
        <v>2016</v>
      </c>
      <c r="C1571" s="74" t="s">
        <v>42</v>
      </c>
      <c r="D1571" s="27">
        <v>0</v>
      </c>
      <c r="E1571" s="53">
        <v>0</v>
      </c>
      <c r="F1571" s="53">
        <v>0</v>
      </c>
      <c r="G1571" s="53">
        <v>0</v>
      </c>
      <c r="H1571" s="53">
        <v>0</v>
      </c>
      <c r="I1571" s="53">
        <v>0</v>
      </c>
      <c r="J1571" s="53">
        <v>0</v>
      </c>
      <c r="K1571" s="53">
        <v>0</v>
      </c>
      <c r="L1571" s="53">
        <v>251018088920.53</v>
      </c>
      <c r="M1571" s="53">
        <v>439996721197.90002</v>
      </c>
      <c r="N1571" s="53">
        <v>307118919120.84003</v>
      </c>
      <c r="O1571" s="53">
        <v>142313789683.25</v>
      </c>
      <c r="P1571" s="53">
        <v>0</v>
      </c>
      <c r="Q1571" s="53">
        <v>0</v>
      </c>
      <c r="R1571" s="53">
        <v>0</v>
      </c>
    </row>
    <row r="1572" spans="1:18" x14ac:dyDescent="0.25">
      <c r="A1572" s="25" t="s">
        <v>47</v>
      </c>
      <c r="B1572" s="26">
        <v>2016</v>
      </c>
      <c r="C1572" s="74" t="s">
        <v>46</v>
      </c>
      <c r="D1572" s="27">
        <v>0</v>
      </c>
      <c r="E1572" s="53">
        <v>0</v>
      </c>
      <c r="F1572" s="53">
        <v>0</v>
      </c>
      <c r="G1572" s="53">
        <v>0</v>
      </c>
      <c r="H1572" s="53">
        <v>0</v>
      </c>
      <c r="I1572" s="53">
        <v>0</v>
      </c>
      <c r="J1572" s="53">
        <v>0</v>
      </c>
      <c r="K1572" s="53">
        <v>0</v>
      </c>
      <c r="L1572" s="53">
        <v>0</v>
      </c>
      <c r="M1572" s="53">
        <v>0</v>
      </c>
      <c r="N1572" s="53">
        <v>0</v>
      </c>
      <c r="O1572" s="53">
        <v>0</v>
      </c>
      <c r="P1572" s="53">
        <v>0</v>
      </c>
      <c r="Q1572" s="53">
        <v>0</v>
      </c>
      <c r="R1572" s="53">
        <v>0</v>
      </c>
    </row>
    <row r="1573" spans="1:18" x14ac:dyDescent="0.25">
      <c r="A1573" s="25" t="s">
        <v>45</v>
      </c>
      <c r="B1573" s="26">
        <v>2016</v>
      </c>
      <c r="C1573" s="74" t="s">
        <v>44</v>
      </c>
      <c r="D1573" s="27">
        <v>0</v>
      </c>
      <c r="E1573" s="53">
        <v>0</v>
      </c>
      <c r="F1573" s="53">
        <v>0</v>
      </c>
      <c r="G1573" s="53">
        <v>0</v>
      </c>
      <c r="H1573" s="53">
        <v>0</v>
      </c>
      <c r="I1573" s="53">
        <v>0</v>
      </c>
      <c r="J1573" s="53">
        <v>0</v>
      </c>
      <c r="K1573" s="53">
        <v>0</v>
      </c>
      <c r="L1573" s="53">
        <v>0</v>
      </c>
      <c r="M1573" s="53">
        <v>0</v>
      </c>
      <c r="N1573" s="53">
        <v>0</v>
      </c>
      <c r="O1573" s="53">
        <v>0</v>
      </c>
      <c r="P1573" s="53">
        <v>0</v>
      </c>
      <c r="Q1573" s="53">
        <v>0</v>
      </c>
      <c r="R1573" s="53">
        <v>0</v>
      </c>
    </row>
    <row r="1574" spans="1:18" x14ac:dyDescent="0.25">
      <c r="A1574" s="25" t="s">
        <v>41</v>
      </c>
      <c r="B1574" s="26">
        <v>2016</v>
      </c>
      <c r="C1574" s="74" t="s">
        <v>40</v>
      </c>
      <c r="D1574" s="27">
        <v>0</v>
      </c>
      <c r="E1574" s="53">
        <v>0</v>
      </c>
      <c r="F1574" s="53"/>
      <c r="G1574" s="53">
        <v>0</v>
      </c>
      <c r="H1574" s="53">
        <v>0</v>
      </c>
      <c r="I1574" s="53">
        <v>0</v>
      </c>
      <c r="J1574" s="53">
        <v>0</v>
      </c>
      <c r="K1574" s="53">
        <v>0</v>
      </c>
      <c r="L1574" s="53">
        <v>2177371726.4200001</v>
      </c>
      <c r="M1574" s="53">
        <v>-2177371726.4200001</v>
      </c>
      <c r="N1574" s="53">
        <v>0</v>
      </c>
      <c r="O1574" s="53">
        <v>1482783032</v>
      </c>
      <c r="P1574" s="53">
        <v>0</v>
      </c>
      <c r="Q1574" s="53">
        <v>0</v>
      </c>
      <c r="R1574" s="53">
        <v>0</v>
      </c>
    </row>
    <row r="1575" spans="1:18" x14ac:dyDescent="0.25">
      <c r="A1575" s="25" t="s">
        <v>37</v>
      </c>
      <c r="B1575" s="26">
        <v>2016</v>
      </c>
      <c r="C1575" s="74" t="s">
        <v>36</v>
      </c>
      <c r="D1575" s="27">
        <v>0</v>
      </c>
      <c r="E1575" s="53">
        <v>0</v>
      </c>
      <c r="F1575" s="53"/>
      <c r="G1575" s="53">
        <v>0</v>
      </c>
      <c r="H1575" s="53">
        <v>0</v>
      </c>
      <c r="I1575" s="53">
        <v>0</v>
      </c>
      <c r="J1575" s="53">
        <v>0</v>
      </c>
      <c r="K1575" s="53">
        <v>0</v>
      </c>
      <c r="L1575" s="53">
        <v>70010636.319999993</v>
      </c>
      <c r="M1575" s="53">
        <v>-70010636.319999993</v>
      </c>
      <c r="N1575" s="53">
        <v>0</v>
      </c>
      <c r="O1575" s="53">
        <v>0</v>
      </c>
      <c r="P1575" s="53">
        <v>0</v>
      </c>
      <c r="Q1575" s="53">
        <v>0</v>
      </c>
      <c r="R1575" s="53">
        <v>0</v>
      </c>
    </row>
    <row r="1576" spans="1:18" x14ac:dyDescent="0.25">
      <c r="A1576" s="25" t="s">
        <v>35</v>
      </c>
      <c r="B1576" s="26">
        <v>2016</v>
      </c>
      <c r="C1576" s="74" t="s">
        <v>34</v>
      </c>
      <c r="D1576" s="27">
        <v>0</v>
      </c>
      <c r="E1576" s="53">
        <v>0</v>
      </c>
      <c r="F1576" s="53"/>
      <c r="G1576" s="53">
        <v>0</v>
      </c>
      <c r="H1576" s="53">
        <v>0</v>
      </c>
      <c r="I1576" s="53">
        <v>0</v>
      </c>
      <c r="J1576" s="53">
        <v>0</v>
      </c>
      <c r="K1576" s="53">
        <v>0</v>
      </c>
      <c r="L1576" s="53">
        <v>0</v>
      </c>
      <c r="M1576" s="53">
        <v>0</v>
      </c>
      <c r="N1576" s="53">
        <v>0</v>
      </c>
      <c r="O1576" s="53">
        <v>0</v>
      </c>
      <c r="P1576" s="53">
        <v>0</v>
      </c>
      <c r="Q1576" s="53">
        <v>0</v>
      </c>
      <c r="R1576" s="53">
        <v>0</v>
      </c>
    </row>
    <row r="1577" spans="1:18" x14ac:dyDescent="0.25">
      <c r="A1577" s="25" t="s">
        <v>33</v>
      </c>
      <c r="B1577" s="26">
        <v>2016</v>
      </c>
      <c r="C1577" s="74" t="s">
        <v>32</v>
      </c>
      <c r="D1577" s="27">
        <v>0</v>
      </c>
      <c r="E1577" s="53">
        <v>0</v>
      </c>
      <c r="F1577" s="53"/>
      <c r="G1577" s="53">
        <v>0</v>
      </c>
      <c r="H1577" s="53">
        <v>0</v>
      </c>
      <c r="I1577" s="53">
        <v>0</v>
      </c>
      <c r="J1577" s="53">
        <v>0</v>
      </c>
      <c r="K1577" s="53">
        <v>0</v>
      </c>
      <c r="L1577" s="53">
        <v>1613113711.77</v>
      </c>
      <c r="M1577" s="53">
        <v>831818139.77999997</v>
      </c>
      <c r="N1577" s="53">
        <v>802425919.89999998</v>
      </c>
      <c r="O1577" s="53">
        <v>267434789.46000001</v>
      </c>
      <c r="P1577" s="53">
        <v>0</v>
      </c>
      <c r="Q1577" s="53">
        <v>0</v>
      </c>
      <c r="R1577" s="53">
        <v>0</v>
      </c>
    </row>
    <row r="1578" spans="1:18" x14ac:dyDescent="0.25">
      <c r="A1578" s="25" t="s">
        <v>31</v>
      </c>
      <c r="B1578" s="26">
        <v>2016</v>
      </c>
      <c r="C1578" s="74" t="s">
        <v>30</v>
      </c>
      <c r="D1578" s="27">
        <v>0</v>
      </c>
      <c r="E1578" s="53">
        <v>0</v>
      </c>
      <c r="F1578" s="53"/>
      <c r="G1578" s="53">
        <v>0</v>
      </c>
      <c r="H1578" s="53">
        <v>0</v>
      </c>
      <c r="I1578" s="53">
        <v>0</v>
      </c>
      <c r="J1578" s="53">
        <v>0</v>
      </c>
      <c r="K1578" s="53">
        <v>0</v>
      </c>
      <c r="L1578" s="53">
        <v>978437103.85000002</v>
      </c>
      <c r="M1578" s="53">
        <v>0</v>
      </c>
      <c r="N1578" s="53">
        <v>0</v>
      </c>
      <c r="O1578" s="53">
        <v>602452560.22000003</v>
      </c>
      <c r="P1578" s="53">
        <v>0</v>
      </c>
      <c r="Q1578" s="53">
        <v>0</v>
      </c>
      <c r="R1578" s="53">
        <v>0</v>
      </c>
    </row>
    <row r="1579" spans="1:18" x14ac:dyDescent="0.25">
      <c r="A1579" s="25" t="s">
        <v>29</v>
      </c>
      <c r="B1579" s="26">
        <v>2016</v>
      </c>
      <c r="C1579" s="74" t="s">
        <v>28</v>
      </c>
      <c r="D1579" s="27">
        <v>0</v>
      </c>
      <c r="E1579" s="53">
        <v>0</v>
      </c>
      <c r="F1579" s="53"/>
      <c r="G1579" s="53">
        <v>0</v>
      </c>
      <c r="H1579" s="53">
        <v>0</v>
      </c>
      <c r="I1579" s="53">
        <v>0</v>
      </c>
      <c r="J1579" s="53">
        <v>0</v>
      </c>
      <c r="K1579" s="53">
        <v>0</v>
      </c>
      <c r="L1579" s="53">
        <v>8235600000</v>
      </c>
      <c r="M1579" s="53">
        <v>0</v>
      </c>
      <c r="N1579" s="53">
        <v>0</v>
      </c>
      <c r="O1579" s="53">
        <v>0</v>
      </c>
      <c r="P1579" s="53">
        <v>0</v>
      </c>
      <c r="Q1579" s="53">
        <v>0</v>
      </c>
      <c r="R1579" s="53">
        <v>0</v>
      </c>
    </row>
    <row r="1580" spans="1:18" x14ac:dyDescent="0.25">
      <c r="A1580" s="25" t="s">
        <v>27</v>
      </c>
      <c r="B1580" s="26">
        <v>2016</v>
      </c>
      <c r="C1580" s="74" t="s">
        <v>26</v>
      </c>
      <c r="D1580" s="27">
        <v>0</v>
      </c>
      <c r="E1580" s="53">
        <v>0</v>
      </c>
      <c r="F1580" s="53"/>
      <c r="G1580" s="53">
        <v>0</v>
      </c>
      <c r="H1580" s="53">
        <v>0</v>
      </c>
      <c r="I1580" s="53">
        <v>0</v>
      </c>
      <c r="J1580" s="53">
        <v>0</v>
      </c>
      <c r="K1580" s="53">
        <v>0</v>
      </c>
      <c r="L1580" s="53">
        <v>4188273265.8299999</v>
      </c>
      <c r="M1580" s="53">
        <v>-3507357591.6100001</v>
      </c>
      <c r="N1580" s="53">
        <v>333050002.75</v>
      </c>
      <c r="O1580" s="53">
        <v>297629433.63999999</v>
      </c>
      <c r="P1580" s="53">
        <v>0</v>
      </c>
      <c r="Q1580" s="53">
        <v>0</v>
      </c>
      <c r="R1580" s="53">
        <v>0</v>
      </c>
    </row>
    <row r="1581" spans="1:18" x14ac:dyDescent="0.25">
      <c r="A1581" s="25" t="s">
        <v>25</v>
      </c>
      <c r="B1581" s="26">
        <v>2016</v>
      </c>
      <c r="C1581" s="74" t="s">
        <v>24</v>
      </c>
      <c r="D1581" s="27">
        <v>0</v>
      </c>
      <c r="E1581" s="53">
        <v>0</v>
      </c>
      <c r="F1581" s="53"/>
      <c r="G1581" s="53">
        <v>0</v>
      </c>
      <c r="H1581" s="53">
        <v>0</v>
      </c>
      <c r="I1581" s="53">
        <v>0</v>
      </c>
      <c r="J1581" s="53">
        <v>0</v>
      </c>
      <c r="K1581" s="53">
        <v>0</v>
      </c>
      <c r="L1581" s="53">
        <v>0</v>
      </c>
      <c r="M1581" s="53">
        <v>0</v>
      </c>
      <c r="N1581" s="53">
        <v>0</v>
      </c>
      <c r="O1581" s="53">
        <v>0</v>
      </c>
      <c r="P1581" s="53">
        <v>0</v>
      </c>
      <c r="Q1581" s="53">
        <v>0</v>
      </c>
      <c r="R1581" s="53">
        <v>0</v>
      </c>
    </row>
    <row r="1582" spans="1:18" x14ac:dyDescent="0.25">
      <c r="A1582" s="25" t="s">
        <v>23</v>
      </c>
      <c r="B1582" s="26">
        <v>2016</v>
      </c>
      <c r="C1582" s="74" t="s">
        <v>22</v>
      </c>
      <c r="D1582" s="27">
        <v>0</v>
      </c>
      <c r="E1582" s="53">
        <v>0</v>
      </c>
      <c r="F1582" s="53"/>
      <c r="G1582" s="53">
        <v>0</v>
      </c>
      <c r="H1582" s="53">
        <v>0</v>
      </c>
      <c r="I1582" s="53">
        <v>0</v>
      </c>
      <c r="J1582" s="53">
        <v>0</v>
      </c>
      <c r="K1582" s="53">
        <v>0</v>
      </c>
      <c r="L1582" s="53">
        <v>0</v>
      </c>
      <c r="M1582" s="53">
        <v>0</v>
      </c>
      <c r="N1582" s="53">
        <v>0</v>
      </c>
      <c r="O1582" s="53">
        <v>0</v>
      </c>
      <c r="P1582" s="53">
        <v>0</v>
      </c>
      <c r="Q1582" s="53">
        <v>0</v>
      </c>
      <c r="R1582" s="53">
        <v>0</v>
      </c>
    </row>
    <row r="1583" spans="1:18" x14ac:dyDescent="0.25">
      <c r="A1583" s="25" t="s">
        <v>6</v>
      </c>
      <c r="B1583" s="26">
        <v>2016</v>
      </c>
      <c r="C1583" s="74" t="s">
        <v>4</v>
      </c>
      <c r="D1583" s="27">
        <v>0</v>
      </c>
      <c r="E1583" s="53">
        <v>0</v>
      </c>
      <c r="F1583" s="53"/>
      <c r="G1583" s="53">
        <v>0</v>
      </c>
      <c r="H1583" s="53">
        <v>0</v>
      </c>
      <c r="I1583" s="53">
        <v>0</v>
      </c>
      <c r="J1583" s="53">
        <v>0</v>
      </c>
      <c r="K1583" s="53">
        <v>0</v>
      </c>
      <c r="L1583" s="53">
        <v>0</v>
      </c>
      <c r="M1583" s="53">
        <v>0</v>
      </c>
      <c r="N1583" s="53">
        <v>0</v>
      </c>
      <c r="O1583" s="53">
        <v>0</v>
      </c>
      <c r="P1583" s="53">
        <v>0</v>
      </c>
      <c r="Q1583" s="53">
        <v>0</v>
      </c>
      <c r="R1583" s="53">
        <v>0</v>
      </c>
    </row>
    <row r="1584" spans="1:18" x14ac:dyDescent="0.25">
      <c r="A1584" s="25" t="s">
        <v>5</v>
      </c>
      <c r="B1584" s="26">
        <v>2016</v>
      </c>
      <c r="C1584" s="74" t="s">
        <v>4</v>
      </c>
      <c r="D1584" s="27">
        <v>0</v>
      </c>
      <c r="E1584" s="53">
        <v>0</v>
      </c>
      <c r="F1584" s="53"/>
      <c r="G1584" s="53">
        <v>0</v>
      </c>
      <c r="H1584" s="53">
        <v>0</v>
      </c>
      <c r="I1584" s="53">
        <v>0</v>
      </c>
      <c r="J1584" s="53">
        <v>0</v>
      </c>
      <c r="K1584" s="53">
        <v>0</v>
      </c>
      <c r="L1584" s="53">
        <v>0</v>
      </c>
      <c r="M1584" s="53">
        <v>0</v>
      </c>
      <c r="N1584" s="53">
        <v>0</v>
      </c>
      <c r="O1584" s="53">
        <v>0</v>
      </c>
      <c r="P1584" s="53">
        <v>0</v>
      </c>
      <c r="Q1584" s="53">
        <v>0</v>
      </c>
      <c r="R1584" s="53">
        <v>0</v>
      </c>
    </row>
    <row r="1585" spans="1:18" x14ac:dyDescent="0.25">
      <c r="A1585" s="25" t="s">
        <v>39</v>
      </c>
      <c r="B1585" s="26">
        <v>2016</v>
      </c>
      <c r="C1585" s="74" t="s">
        <v>38</v>
      </c>
      <c r="D1585" s="27">
        <v>0</v>
      </c>
      <c r="E1585" s="53">
        <v>0</v>
      </c>
      <c r="F1585" s="53"/>
      <c r="G1585" s="53">
        <v>0</v>
      </c>
      <c r="H1585" s="53">
        <v>0</v>
      </c>
      <c r="I1585" s="53">
        <v>0</v>
      </c>
      <c r="J1585" s="53">
        <v>0</v>
      </c>
      <c r="K1585" s="53">
        <v>0</v>
      </c>
      <c r="L1585" s="53">
        <v>0</v>
      </c>
      <c r="M1585" s="53">
        <v>0</v>
      </c>
      <c r="N1585" s="53">
        <v>0</v>
      </c>
      <c r="O1585" s="53">
        <v>0</v>
      </c>
      <c r="P1585" s="53">
        <v>0</v>
      </c>
      <c r="Q1585" s="53">
        <v>0</v>
      </c>
      <c r="R1585" s="53">
        <v>0</v>
      </c>
    </row>
    <row r="1586" spans="1:18" x14ac:dyDescent="0.25">
      <c r="A1586" s="25" t="s">
        <v>383</v>
      </c>
      <c r="B1586" s="26">
        <v>2016</v>
      </c>
      <c r="C1586" s="74" t="s">
        <v>382</v>
      </c>
      <c r="D1586" s="27">
        <v>0</v>
      </c>
      <c r="E1586" s="53">
        <v>0</v>
      </c>
      <c r="F1586" s="53"/>
      <c r="G1586" s="53">
        <v>0</v>
      </c>
      <c r="H1586" s="53">
        <v>0</v>
      </c>
      <c r="I1586" s="53">
        <v>0</v>
      </c>
      <c r="J1586" s="53">
        <v>0</v>
      </c>
      <c r="K1586" s="53">
        <v>0</v>
      </c>
      <c r="L1586" s="53">
        <v>0</v>
      </c>
      <c r="M1586" s="53">
        <v>0</v>
      </c>
      <c r="N1586" s="53">
        <v>0</v>
      </c>
      <c r="O1586" s="53">
        <v>0</v>
      </c>
      <c r="P1586" s="53">
        <v>0</v>
      </c>
      <c r="Q1586" s="53">
        <v>0</v>
      </c>
      <c r="R1586" s="53">
        <v>0</v>
      </c>
    </row>
    <row r="1587" spans="1:18" x14ac:dyDescent="0.25">
      <c r="A1587" s="25" t="s">
        <v>381</v>
      </c>
      <c r="B1587" s="26">
        <v>2016</v>
      </c>
      <c r="C1587" s="74" t="s">
        <v>380</v>
      </c>
      <c r="D1587" s="27">
        <v>0</v>
      </c>
      <c r="E1587" s="53">
        <v>0</v>
      </c>
      <c r="F1587" s="53"/>
      <c r="G1587" s="53">
        <v>0</v>
      </c>
      <c r="H1587" s="53">
        <v>0</v>
      </c>
      <c r="I1587" s="53">
        <v>0</v>
      </c>
      <c r="J1587" s="53">
        <v>0</v>
      </c>
      <c r="K1587" s="53">
        <v>0</v>
      </c>
      <c r="L1587" s="53">
        <v>0</v>
      </c>
      <c r="M1587" s="53">
        <v>0</v>
      </c>
      <c r="N1587" s="53">
        <v>0</v>
      </c>
      <c r="O1587" s="53">
        <v>0</v>
      </c>
      <c r="P1587" s="53">
        <v>0</v>
      </c>
      <c r="Q1587" s="53">
        <v>0</v>
      </c>
      <c r="R1587" s="53">
        <v>0</v>
      </c>
    </row>
    <row r="1588" spans="1:18" x14ac:dyDescent="0.25">
      <c r="A1588" s="25" t="s">
        <v>15</v>
      </c>
      <c r="B1588" s="26">
        <v>2016</v>
      </c>
      <c r="C1588" s="74" t="s">
        <v>14</v>
      </c>
      <c r="D1588" s="27">
        <v>0</v>
      </c>
      <c r="E1588" s="53">
        <v>0</v>
      </c>
      <c r="F1588" s="53"/>
      <c r="G1588" s="53">
        <v>0</v>
      </c>
      <c r="H1588" s="53">
        <v>0</v>
      </c>
      <c r="I1588" s="53">
        <v>0</v>
      </c>
      <c r="J1588" s="53">
        <v>0</v>
      </c>
      <c r="K1588" s="53">
        <v>0</v>
      </c>
      <c r="L1588" s="53">
        <v>0</v>
      </c>
      <c r="M1588" s="53">
        <v>0</v>
      </c>
      <c r="N1588" s="53">
        <v>0</v>
      </c>
      <c r="O1588" s="53">
        <v>0</v>
      </c>
      <c r="P1588" s="53">
        <v>0</v>
      </c>
      <c r="Q1588" s="53">
        <v>0</v>
      </c>
      <c r="R1588" s="53">
        <v>0</v>
      </c>
    </row>
    <row r="1589" spans="1:18" x14ac:dyDescent="0.25">
      <c r="A1589" s="25" t="s">
        <v>13</v>
      </c>
      <c r="B1589" s="26">
        <v>2016</v>
      </c>
      <c r="C1589" s="74" t="s">
        <v>11</v>
      </c>
      <c r="D1589" s="27">
        <v>0</v>
      </c>
      <c r="E1589" s="53">
        <v>0</v>
      </c>
      <c r="F1589" s="53"/>
      <c r="G1589" s="53">
        <v>0</v>
      </c>
      <c r="H1589" s="53">
        <v>0</v>
      </c>
      <c r="I1589" s="53">
        <v>0</v>
      </c>
      <c r="J1589" s="53">
        <v>0</v>
      </c>
      <c r="K1589" s="53">
        <v>0</v>
      </c>
      <c r="L1589" s="53">
        <v>5930194746.4499998</v>
      </c>
      <c r="M1589" s="53">
        <v>0</v>
      </c>
      <c r="N1589" s="53">
        <v>0</v>
      </c>
      <c r="O1589" s="53">
        <v>0</v>
      </c>
      <c r="P1589" s="53">
        <v>0</v>
      </c>
      <c r="Q1589" s="53">
        <v>0</v>
      </c>
      <c r="R1589" s="53">
        <v>0</v>
      </c>
    </row>
    <row r="1590" spans="1:18" x14ac:dyDescent="0.25">
      <c r="A1590" s="25" t="s">
        <v>10</v>
      </c>
      <c r="B1590" s="26">
        <v>2016</v>
      </c>
      <c r="C1590" s="74" t="s">
        <v>9</v>
      </c>
      <c r="D1590" s="27">
        <v>0</v>
      </c>
      <c r="E1590" s="53">
        <v>0</v>
      </c>
      <c r="F1590" s="53"/>
      <c r="G1590" s="53">
        <v>0</v>
      </c>
      <c r="H1590" s="53">
        <v>0</v>
      </c>
      <c r="I1590" s="53">
        <v>0</v>
      </c>
      <c r="J1590" s="53">
        <v>0</v>
      </c>
      <c r="K1590" s="53">
        <v>0</v>
      </c>
      <c r="L1590" s="53">
        <v>406446962.25999999</v>
      </c>
      <c r="M1590" s="53">
        <v>120948907.33</v>
      </c>
      <c r="N1590" s="53">
        <v>268691562.75</v>
      </c>
      <c r="O1590" s="53">
        <v>581263182.37</v>
      </c>
      <c r="P1590" s="53">
        <v>0</v>
      </c>
      <c r="Q1590" s="53">
        <v>0</v>
      </c>
      <c r="R1590" s="53">
        <v>0</v>
      </c>
    </row>
    <row r="1591" spans="1:18" x14ac:dyDescent="0.25">
      <c r="A1591" s="25" t="s">
        <v>8</v>
      </c>
      <c r="B1591" s="26">
        <v>2016</v>
      </c>
      <c r="C1591" s="74" t="s">
        <v>7</v>
      </c>
      <c r="D1591" s="27">
        <v>0</v>
      </c>
      <c r="E1591" s="53">
        <v>0</v>
      </c>
      <c r="F1591" s="53"/>
      <c r="G1591" s="53">
        <v>0</v>
      </c>
      <c r="H1591" s="53">
        <v>0</v>
      </c>
      <c r="I1591" s="53">
        <v>0</v>
      </c>
      <c r="J1591" s="53">
        <v>0</v>
      </c>
      <c r="K1591" s="53">
        <v>0</v>
      </c>
      <c r="L1591" s="53">
        <v>0</v>
      </c>
      <c r="M1591" s="53">
        <v>0</v>
      </c>
      <c r="N1591" s="53">
        <v>766807584.12</v>
      </c>
      <c r="O1591" s="53">
        <v>52488164.149999999</v>
      </c>
      <c r="P1591" s="53">
        <v>0</v>
      </c>
      <c r="Q1591" s="53">
        <v>0</v>
      </c>
      <c r="R1591" s="53">
        <v>0</v>
      </c>
    </row>
    <row r="1592" spans="1:18" x14ac:dyDescent="0.25">
      <c r="A1592" s="25" t="s">
        <v>3</v>
      </c>
      <c r="B1592" s="26">
        <v>2016</v>
      </c>
      <c r="C1592" s="74" t="s">
        <v>0</v>
      </c>
      <c r="D1592" s="27">
        <v>0</v>
      </c>
      <c r="E1592" s="53">
        <v>0</v>
      </c>
      <c r="F1592" s="53"/>
      <c r="G1592" s="53">
        <v>0</v>
      </c>
      <c r="H1592" s="53">
        <v>0</v>
      </c>
      <c r="I1592" s="53">
        <v>0</v>
      </c>
      <c r="J1592" s="53">
        <v>0</v>
      </c>
      <c r="K1592" s="53">
        <v>0</v>
      </c>
      <c r="L1592" s="53">
        <v>19998294.829999998</v>
      </c>
      <c r="M1592" s="53">
        <v>166473925</v>
      </c>
      <c r="N1592" s="53">
        <v>0</v>
      </c>
      <c r="O1592" s="53">
        <v>0</v>
      </c>
      <c r="P1592" s="53">
        <v>0</v>
      </c>
      <c r="Q1592" s="53">
        <v>0</v>
      </c>
      <c r="R1592" s="53">
        <v>0</v>
      </c>
    </row>
    <row r="1593" spans="1:18" x14ac:dyDescent="0.25">
      <c r="A1593" s="25" t="s">
        <v>361</v>
      </c>
      <c r="B1593" s="26">
        <v>2016</v>
      </c>
      <c r="C1593" s="74" t="s">
        <v>379</v>
      </c>
      <c r="D1593" s="27">
        <v>0</v>
      </c>
      <c r="E1593" s="53">
        <v>0</v>
      </c>
      <c r="F1593" s="53">
        <v>0</v>
      </c>
      <c r="G1593" s="53">
        <v>0</v>
      </c>
      <c r="H1593" s="53">
        <v>0</v>
      </c>
      <c r="I1593" s="53">
        <v>0</v>
      </c>
      <c r="J1593" s="53">
        <v>0</v>
      </c>
      <c r="K1593" s="53">
        <v>0</v>
      </c>
      <c r="L1593" s="53">
        <v>0</v>
      </c>
      <c r="M1593" s="53">
        <v>0</v>
      </c>
      <c r="N1593" s="53">
        <v>0</v>
      </c>
      <c r="O1593" s="53">
        <v>0</v>
      </c>
      <c r="P1593" s="53">
        <v>0</v>
      </c>
      <c r="Q1593" s="53">
        <v>0</v>
      </c>
      <c r="R1593" s="53">
        <v>0</v>
      </c>
    </row>
    <row r="1594" spans="1:18" x14ac:dyDescent="0.25">
      <c r="A1594" s="25" t="s">
        <v>360</v>
      </c>
      <c r="B1594" s="26">
        <v>2016</v>
      </c>
      <c r="C1594" s="74" t="s">
        <v>359</v>
      </c>
      <c r="D1594" s="27">
        <v>0</v>
      </c>
      <c r="E1594" s="53">
        <v>0</v>
      </c>
      <c r="F1594" s="53">
        <v>0</v>
      </c>
      <c r="G1594" s="53">
        <v>0</v>
      </c>
      <c r="H1594" s="53">
        <v>0</v>
      </c>
      <c r="I1594" s="53">
        <v>0</v>
      </c>
      <c r="J1594" s="53">
        <v>0</v>
      </c>
      <c r="K1594" s="53">
        <v>0</v>
      </c>
      <c r="L1594" s="53">
        <v>0</v>
      </c>
      <c r="M1594" s="53">
        <v>0</v>
      </c>
      <c r="N1594" s="53">
        <v>0</v>
      </c>
      <c r="O1594" s="53">
        <v>0</v>
      </c>
      <c r="P1594" s="53">
        <v>0</v>
      </c>
      <c r="Q1594" s="53">
        <v>0</v>
      </c>
      <c r="R1594" s="53">
        <v>0</v>
      </c>
    </row>
    <row r="1595" spans="1:18" x14ac:dyDescent="0.25">
      <c r="A1595" s="25" t="s">
        <v>358</v>
      </c>
      <c r="B1595" s="26">
        <v>2016</v>
      </c>
      <c r="C1595" s="74" t="s">
        <v>357</v>
      </c>
      <c r="D1595" s="27">
        <v>0</v>
      </c>
      <c r="E1595" s="53">
        <v>0</v>
      </c>
      <c r="F1595" s="53">
        <v>0</v>
      </c>
      <c r="G1595" s="53">
        <v>0</v>
      </c>
      <c r="H1595" s="53">
        <v>0</v>
      </c>
      <c r="I1595" s="53">
        <v>0</v>
      </c>
      <c r="J1595" s="53">
        <v>0</v>
      </c>
      <c r="K1595" s="53">
        <v>0</v>
      </c>
      <c r="L1595" s="53">
        <v>0</v>
      </c>
      <c r="M1595" s="53">
        <v>0</v>
      </c>
      <c r="N1595" s="53">
        <v>0</v>
      </c>
      <c r="O1595" s="53">
        <v>0</v>
      </c>
      <c r="P1595" s="53">
        <v>0</v>
      </c>
      <c r="Q1595" s="53">
        <v>0</v>
      </c>
      <c r="R1595" s="53">
        <v>0</v>
      </c>
    </row>
    <row r="1596" spans="1:18" x14ac:dyDescent="0.25">
      <c r="A1596" s="25" t="s">
        <v>356</v>
      </c>
      <c r="B1596" s="26">
        <v>2016</v>
      </c>
      <c r="C1596" s="74" t="s">
        <v>355</v>
      </c>
      <c r="D1596" s="27">
        <v>0</v>
      </c>
      <c r="E1596" s="53">
        <v>0</v>
      </c>
      <c r="F1596" s="53">
        <v>0</v>
      </c>
      <c r="G1596" s="53">
        <v>0</v>
      </c>
      <c r="H1596" s="53">
        <v>0</v>
      </c>
      <c r="I1596" s="53">
        <v>0</v>
      </c>
      <c r="J1596" s="53">
        <v>0</v>
      </c>
      <c r="K1596" s="53">
        <v>0</v>
      </c>
      <c r="L1596" s="53">
        <v>0</v>
      </c>
      <c r="M1596" s="53">
        <v>0</v>
      </c>
      <c r="N1596" s="53">
        <v>0</v>
      </c>
      <c r="O1596" s="53">
        <v>0</v>
      </c>
      <c r="P1596" s="53">
        <v>0</v>
      </c>
      <c r="Q1596" s="53">
        <v>0</v>
      </c>
      <c r="R1596" s="53">
        <v>0</v>
      </c>
    </row>
    <row r="1597" spans="1:18" x14ac:dyDescent="0.25">
      <c r="A1597" s="25" t="s">
        <v>353</v>
      </c>
      <c r="B1597" s="26">
        <v>2016</v>
      </c>
      <c r="C1597" s="74" t="s">
        <v>352</v>
      </c>
      <c r="D1597" s="27">
        <v>0</v>
      </c>
      <c r="E1597" s="53">
        <v>0</v>
      </c>
      <c r="F1597" s="53">
        <v>0</v>
      </c>
      <c r="G1597" s="53">
        <v>0</v>
      </c>
      <c r="H1597" s="53">
        <v>0</v>
      </c>
      <c r="I1597" s="53">
        <v>0</v>
      </c>
      <c r="J1597" s="53">
        <v>0</v>
      </c>
      <c r="K1597" s="53">
        <v>0</v>
      </c>
      <c r="L1597" s="53">
        <v>0</v>
      </c>
      <c r="M1597" s="53">
        <v>0</v>
      </c>
      <c r="N1597" s="53">
        <v>0</v>
      </c>
      <c r="O1597" s="53">
        <v>0</v>
      </c>
      <c r="P1597" s="53">
        <v>0</v>
      </c>
      <c r="Q1597" s="53">
        <v>0</v>
      </c>
      <c r="R1597" s="53">
        <v>0</v>
      </c>
    </row>
    <row r="1598" spans="1:18" x14ac:dyDescent="0.25">
      <c r="A1598" s="25" t="s">
        <v>351</v>
      </c>
      <c r="B1598" s="26">
        <v>2016</v>
      </c>
      <c r="C1598" s="74" t="s">
        <v>350</v>
      </c>
      <c r="D1598" s="27">
        <v>0</v>
      </c>
      <c r="E1598" s="53">
        <v>0</v>
      </c>
      <c r="F1598" s="53">
        <v>0</v>
      </c>
      <c r="G1598" s="53">
        <v>0</v>
      </c>
      <c r="H1598" s="53">
        <v>0</v>
      </c>
      <c r="I1598" s="53">
        <v>0</v>
      </c>
      <c r="J1598" s="53">
        <v>0</v>
      </c>
      <c r="K1598" s="53">
        <v>0</v>
      </c>
      <c r="L1598" s="53">
        <v>0</v>
      </c>
      <c r="M1598" s="53">
        <v>0</v>
      </c>
      <c r="N1598" s="53">
        <v>0</v>
      </c>
      <c r="O1598" s="53">
        <v>0</v>
      </c>
      <c r="P1598" s="53">
        <v>0</v>
      </c>
      <c r="Q1598" s="53">
        <v>0</v>
      </c>
      <c r="R1598" s="53">
        <v>0</v>
      </c>
    </row>
    <row r="1599" spans="1:18" x14ac:dyDescent="0.25">
      <c r="A1599" s="25" t="s">
        <v>348</v>
      </c>
      <c r="B1599" s="26">
        <v>2016</v>
      </c>
      <c r="C1599" s="74" t="s">
        <v>344</v>
      </c>
      <c r="D1599" s="27">
        <v>0</v>
      </c>
      <c r="E1599" s="53">
        <v>0</v>
      </c>
      <c r="F1599" s="53">
        <v>0</v>
      </c>
      <c r="G1599" s="53">
        <v>0</v>
      </c>
      <c r="H1599" s="53">
        <v>0</v>
      </c>
      <c r="I1599" s="53">
        <v>0</v>
      </c>
      <c r="J1599" s="53">
        <v>0</v>
      </c>
      <c r="K1599" s="53">
        <v>0</v>
      </c>
      <c r="L1599" s="53">
        <v>0</v>
      </c>
      <c r="M1599" s="53">
        <v>0</v>
      </c>
      <c r="N1599" s="53">
        <v>0</v>
      </c>
      <c r="O1599" s="53">
        <v>0</v>
      </c>
      <c r="P1599" s="53">
        <v>0</v>
      </c>
      <c r="Q1599" s="53">
        <v>0</v>
      </c>
      <c r="R1599" s="53">
        <v>0</v>
      </c>
    </row>
    <row r="1600" spans="1:18" x14ac:dyDescent="0.25">
      <c r="A1600" s="25" t="s">
        <v>347</v>
      </c>
      <c r="B1600" s="26">
        <v>2016</v>
      </c>
      <c r="C1600" s="74" t="s">
        <v>342</v>
      </c>
      <c r="D1600" s="27">
        <v>0</v>
      </c>
      <c r="E1600" s="53">
        <v>0</v>
      </c>
      <c r="F1600" s="53">
        <v>0</v>
      </c>
      <c r="G1600" s="53">
        <v>0</v>
      </c>
      <c r="H1600" s="53">
        <v>0</v>
      </c>
      <c r="I1600" s="53">
        <v>0</v>
      </c>
      <c r="J1600" s="53">
        <v>0</v>
      </c>
      <c r="K1600" s="53">
        <v>0</v>
      </c>
      <c r="L1600" s="53">
        <v>0</v>
      </c>
      <c r="M1600" s="53">
        <v>0</v>
      </c>
      <c r="N1600" s="53">
        <v>0</v>
      </c>
      <c r="O1600" s="53">
        <v>0</v>
      </c>
      <c r="P1600" s="53">
        <v>0</v>
      </c>
      <c r="Q1600" s="53">
        <v>0</v>
      </c>
      <c r="R1600" s="53">
        <v>0</v>
      </c>
    </row>
    <row r="1601" spans="1:18" x14ac:dyDescent="0.25">
      <c r="A1601" s="25" t="s">
        <v>345</v>
      </c>
      <c r="B1601" s="26">
        <v>2016</v>
      </c>
      <c r="C1601" s="74" t="s">
        <v>344</v>
      </c>
      <c r="D1601" s="27">
        <v>0</v>
      </c>
      <c r="E1601" s="53">
        <v>0</v>
      </c>
      <c r="F1601" s="53">
        <v>0</v>
      </c>
      <c r="G1601" s="53">
        <v>0</v>
      </c>
      <c r="H1601" s="53">
        <v>0</v>
      </c>
      <c r="I1601" s="53">
        <v>0</v>
      </c>
      <c r="J1601" s="53">
        <v>0</v>
      </c>
      <c r="K1601" s="53">
        <v>0</v>
      </c>
      <c r="L1601" s="53">
        <v>0</v>
      </c>
      <c r="M1601" s="53">
        <v>0</v>
      </c>
      <c r="N1601" s="53">
        <v>0</v>
      </c>
      <c r="O1601" s="53">
        <v>0</v>
      </c>
      <c r="P1601" s="53">
        <v>0</v>
      </c>
      <c r="Q1601" s="53">
        <v>0</v>
      </c>
      <c r="R1601" s="53">
        <v>0</v>
      </c>
    </row>
    <row r="1602" spans="1:18" x14ac:dyDescent="0.25">
      <c r="A1602" s="25" t="s">
        <v>343</v>
      </c>
      <c r="B1602" s="26">
        <v>2016</v>
      </c>
      <c r="C1602" s="74" t="s">
        <v>342</v>
      </c>
      <c r="D1602" s="27">
        <v>0</v>
      </c>
      <c r="E1602" s="53">
        <v>0</v>
      </c>
      <c r="F1602" s="53">
        <v>0</v>
      </c>
      <c r="G1602" s="53">
        <v>0</v>
      </c>
      <c r="H1602" s="53">
        <v>0</v>
      </c>
      <c r="I1602" s="53">
        <v>0</v>
      </c>
      <c r="J1602" s="53">
        <v>0</v>
      </c>
      <c r="K1602" s="53">
        <v>0</v>
      </c>
      <c r="L1602" s="53">
        <v>0</v>
      </c>
      <c r="M1602" s="53">
        <v>0</v>
      </c>
      <c r="N1602" s="53">
        <v>0</v>
      </c>
      <c r="O1602" s="53">
        <v>0</v>
      </c>
      <c r="P1602" s="53">
        <v>0</v>
      </c>
      <c r="Q1602" s="53">
        <v>0</v>
      </c>
      <c r="R1602" s="53">
        <v>0</v>
      </c>
    </row>
    <row r="1603" spans="1:18" x14ac:dyDescent="0.25">
      <c r="A1603" s="25" t="s">
        <v>340</v>
      </c>
      <c r="B1603" s="26">
        <v>2016</v>
      </c>
      <c r="C1603" s="74" t="s">
        <v>339</v>
      </c>
      <c r="D1603" s="27">
        <v>0</v>
      </c>
      <c r="E1603" s="53">
        <v>0</v>
      </c>
      <c r="F1603" s="53">
        <v>0</v>
      </c>
      <c r="G1603" s="53">
        <v>0</v>
      </c>
      <c r="H1603" s="53">
        <v>0</v>
      </c>
      <c r="I1603" s="53">
        <v>0</v>
      </c>
      <c r="J1603" s="53">
        <v>0</v>
      </c>
      <c r="K1603" s="53">
        <v>0</v>
      </c>
      <c r="L1603" s="53">
        <v>0</v>
      </c>
      <c r="M1603" s="53">
        <v>0</v>
      </c>
      <c r="N1603" s="53">
        <v>0</v>
      </c>
      <c r="O1603" s="53">
        <v>0</v>
      </c>
      <c r="P1603" s="53">
        <v>0</v>
      </c>
      <c r="Q1603" s="53">
        <v>0</v>
      </c>
      <c r="R1603" s="53">
        <v>0</v>
      </c>
    </row>
    <row r="1604" spans="1:18" x14ac:dyDescent="0.25">
      <c r="A1604" s="25" t="s">
        <v>338</v>
      </c>
      <c r="B1604" s="26">
        <v>2016</v>
      </c>
      <c r="C1604" s="74" t="s">
        <v>337</v>
      </c>
      <c r="D1604" s="27">
        <v>0</v>
      </c>
      <c r="E1604" s="53">
        <v>0</v>
      </c>
      <c r="F1604" s="53">
        <v>0</v>
      </c>
      <c r="G1604" s="53">
        <v>0</v>
      </c>
      <c r="H1604" s="53">
        <v>0</v>
      </c>
      <c r="I1604" s="53">
        <v>0</v>
      </c>
      <c r="J1604" s="53">
        <v>0</v>
      </c>
      <c r="K1604" s="53">
        <v>0</v>
      </c>
      <c r="L1604" s="53">
        <v>0</v>
      </c>
      <c r="M1604" s="53">
        <v>0</v>
      </c>
      <c r="N1604" s="53">
        <v>0</v>
      </c>
      <c r="O1604" s="53">
        <v>0</v>
      </c>
      <c r="P1604" s="53">
        <v>0</v>
      </c>
      <c r="Q1604" s="53">
        <v>0</v>
      </c>
      <c r="R1604" s="53">
        <v>0</v>
      </c>
    </row>
    <row r="1605" spans="1:18" x14ac:dyDescent="0.25">
      <c r="A1605" s="25" t="s">
        <v>335</v>
      </c>
      <c r="B1605" s="26">
        <v>2016</v>
      </c>
      <c r="C1605" s="74" t="s">
        <v>334</v>
      </c>
      <c r="D1605" s="27">
        <v>0</v>
      </c>
      <c r="E1605" s="53">
        <v>0</v>
      </c>
      <c r="F1605" s="53">
        <v>0</v>
      </c>
      <c r="G1605" s="53">
        <v>0</v>
      </c>
      <c r="H1605" s="53">
        <v>0</v>
      </c>
      <c r="I1605" s="53">
        <v>0</v>
      </c>
      <c r="J1605" s="53">
        <v>0</v>
      </c>
      <c r="K1605" s="53">
        <v>0</v>
      </c>
      <c r="L1605" s="53">
        <v>0</v>
      </c>
      <c r="M1605" s="53">
        <v>0</v>
      </c>
      <c r="N1605" s="53">
        <v>0</v>
      </c>
      <c r="O1605" s="53">
        <v>0</v>
      </c>
      <c r="P1605" s="53">
        <v>0</v>
      </c>
      <c r="Q1605" s="53">
        <v>0</v>
      </c>
      <c r="R1605" s="53">
        <v>0</v>
      </c>
    </row>
    <row r="1606" spans="1:18" x14ac:dyDescent="0.25">
      <c r="A1606" s="25" t="s">
        <v>332</v>
      </c>
      <c r="B1606" s="26">
        <v>2016</v>
      </c>
      <c r="C1606" s="74" t="s">
        <v>331</v>
      </c>
      <c r="D1606" s="27">
        <v>0</v>
      </c>
      <c r="E1606" s="53">
        <v>0</v>
      </c>
      <c r="F1606" s="53">
        <v>0</v>
      </c>
      <c r="G1606" s="53">
        <v>0</v>
      </c>
      <c r="H1606" s="53">
        <v>0</v>
      </c>
      <c r="I1606" s="53">
        <v>0</v>
      </c>
      <c r="J1606" s="53">
        <v>0</v>
      </c>
      <c r="K1606" s="53">
        <v>0</v>
      </c>
      <c r="L1606" s="53">
        <v>0</v>
      </c>
      <c r="M1606" s="53">
        <v>0</v>
      </c>
      <c r="N1606" s="53">
        <v>0</v>
      </c>
      <c r="O1606" s="53">
        <v>0</v>
      </c>
      <c r="P1606" s="53">
        <v>0</v>
      </c>
      <c r="Q1606" s="53">
        <v>0</v>
      </c>
      <c r="R1606" s="53">
        <v>0</v>
      </c>
    </row>
    <row r="1607" spans="1:18" x14ac:dyDescent="0.25">
      <c r="A1607" s="25" t="s">
        <v>329</v>
      </c>
      <c r="B1607" s="26">
        <v>2016</v>
      </c>
      <c r="C1607" s="74" t="s">
        <v>328</v>
      </c>
      <c r="D1607" s="27">
        <v>0</v>
      </c>
      <c r="E1607" s="53">
        <v>0</v>
      </c>
      <c r="F1607" s="53">
        <v>0</v>
      </c>
      <c r="G1607" s="53">
        <v>0</v>
      </c>
      <c r="H1607" s="53">
        <v>0</v>
      </c>
      <c r="I1607" s="53">
        <v>0</v>
      </c>
      <c r="J1607" s="53">
        <v>0</v>
      </c>
      <c r="K1607" s="53">
        <v>0</v>
      </c>
      <c r="L1607" s="53">
        <v>0</v>
      </c>
      <c r="M1607" s="53">
        <v>0</v>
      </c>
      <c r="N1607" s="53">
        <v>0</v>
      </c>
      <c r="O1607" s="53">
        <v>0</v>
      </c>
      <c r="P1607" s="53">
        <v>0</v>
      </c>
      <c r="Q1607" s="53">
        <v>0</v>
      </c>
      <c r="R1607" s="53">
        <v>0</v>
      </c>
    </row>
    <row r="1608" spans="1:18" x14ac:dyDescent="0.25">
      <c r="A1608" s="25" t="s">
        <v>325</v>
      </c>
      <c r="B1608" s="26">
        <v>2016</v>
      </c>
      <c r="C1608" s="74" t="s">
        <v>324</v>
      </c>
      <c r="D1608" s="27">
        <v>0</v>
      </c>
      <c r="E1608" s="53">
        <v>0</v>
      </c>
      <c r="F1608" s="53">
        <v>0</v>
      </c>
      <c r="G1608" s="53">
        <v>0</v>
      </c>
      <c r="H1608" s="53">
        <v>0</v>
      </c>
      <c r="I1608" s="53">
        <v>0</v>
      </c>
      <c r="J1608" s="53">
        <v>0</v>
      </c>
      <c r="K1608" s="53">
        <v>0</v>
      </c>
      <c r="L1608" s="53">
        <v>0</v>
      </c>
      <c r="M1608" s="53">
        <v>0</v>
      </c>
      <c r="N1608" s="53">
        <v>0</v>
      </c>
      <c r="O1608" s="53">
        <v>0</v>
      </c>
      <c r="P1608" s="53">
        <v>0</v>
      </c>
      <c r="Q1608" s="53">
        <v>0</v>
      </c>
      <c r="R1608" s="53">
        <v>0</v>
      </c>
    </row>
    <row r="1609" spans="1:18" x14ac:dyDescent="0.25">
      <c r="A1609" s="25" t="s">
        <v>378</v>
      </c>
      <c r="B1609" s="26">
        <v>2016</v>
      </c>
      <c r="C1609" s="74" t="s">
        <v>411</v>
      </c>
      <c r="D1609" s="27">
        <v>0</v>
      </c>
      <c r="E1609" s="53">
        <v>0</v>
      </c>
      <c r="F1609" s="53">
        <v>0</v>
      </c>
      <c r="G1609" s="53">
        <v>0</v>
      </c>
      <c r="H1609" s="53">
        <v>0</v>
      </c>
      <c r="I1609" s="53">
        <v>0</v>
      </c>
      <c r="J1609" s="53">
        <v>0</v>
      </c>
      <c r="K1609" s="53">
        <v>0</v>
      </c>
      <c r="L1609" s="53">
        <v>0</v>
      </c>
      <c r="M1609" s="53">
        <v>0</v>
      </c>
      <c r="N1609" s="53">
        <v>0</v>
      </c>
      <c r="O1609" s="53">
        <v>0</v>
      </c>
      <c r="P1609" s="53">
        <v>0</v>
      </c>
      <c r="Q1609" s="53">
        <v>0</v>
      </c>
      <c r="R1609" s="53">
        <v>0</v>
      </c>
    </row>
    <row r="1610" spans="1:18" x14ac:dyDescent="0.25">
      <c r="A1610" s="25" t="s">
        <v>320</v>
      </c>
      <c r="B1610" s="26">
        <v>2016</v>
      </c>
      <c r="C1610" s="74" t="s">
        <v>319</v>
      </c>
      <c r="D1610" s="27">
        <v>0</v>
      </c>
      <c r="E1610" s="53">
        <v>0</v>
      </c>
      <c r="F1610" s="53">
        <v>0</v>
      </c>
      <c r="G1610" s="53">
        <v>0</v>
      </c>
      <c r="H1610" s="53">
        <v>0</v>
      </c>
      <c r="I1610" s="53">
        <v>0</v>
      </c>
      <c r="J1610" s="53">
        <v>0</v>
      </c>
      <c r="K1610" s="53">
        <v>0</v>
      </c>
      <c r="L1610" s="53">
        <v>0</v>
      </c>
      <c r="M1610" s="53">
        <v>0</v>
      </c>
      <c r="N1610" s="53">
        <v>0</v>
      </c>
      <c r="O1610" s="53">
        <v>0</v>
      </c>
      <c r="P1610" s="53">
        <v>0</v>
      </c>
      <c r="Q1610" s="53">
        <v>0</v>
      </c>
      <c r="R1610" s="53">
        <v>0</v>
      </c>
    </row>
    <row r="1611" spans="1:18" x14ac:dyDescent="0.25">
      <c r="A1611" s="25" t="s">
        <v>317</v>
      </c>
      <c r="B1611" s="26">
        <v>2016</v>
      </c>
      <c r="C1611" s="74" t="s">
        <v>316</v>
      </c>
      <c r="D1611" s="27">
        <v>0</v>
      </c>
      <c r="E1611" s="53">
        <v>0</v>
      </c>
      <c r="F1611" s="53">
        <v>0</v>
      </c>
      <c r="G1611" s="53">
        <v>0</v>
      </c>
      <c r="H1611" s="53">
        <v>0</v>
      </c>
      <c r="I1611" s="53">
        <v>0</v>
      </c>
      <c r="J1611" s="53">
        <v>0</v>
      </c>
      <c r="K1611" s="53">
        <v>0</v>
      </c>
      <c r="L1611" s="53">
        <v>0</v>
      </c>
      <c r="M1611" s="53">
        <v>0</v>
      </c>
      <c r="N1611" s="53">
        <v>0</v>
      </c>
      <c r="O1611" s="53">
        <v>0</v>
      </c>
      <c r="P1611" s="53">
        <v>0</v>
      </c>
      <c r="Q1611" s="53">
        <v>0</v>
      </c>
      <c r="R1611" s="53">
        <v>0</v>
      </c>
    </row>
    <row r="1612" spans="1:18" x14ac:dyDescent="0.25">
      <c r="A1612" s="25" t="s">
        <v>313</v>
      </c>
      <c r="B1612" s="26">
        <v>2016</v>
      </c>
      <c r="C1612" s="74" t="s">
        <v>312</v>
      </c>
      <c r="D1612" s="27">
        <v>0</v>
      </c>
      <c r="E1612" s="53">
        <v>0</v>
      </c>
      <c r="F1612" s="53">
        <v>0</v>
      </c>
      <c r="G1612" s="53">
        <v>0</v>
      </c>
      <c r="H1612" s="53">
        <v>0</v>
      </c>
      <c r="I1612" s="53">
        <v>0</v>
      </c>
      <c r="J1612" s="53">
        <v>0</v>
      </c>
      <c r="K1612" s="53">
        <v>0</v>
      </c>
      <c r="L1612" s="53">
        <v>0</v>
      </c>
      <c r="M1612" s="53">
        <v>0</v>
      </c>
      <c r="N1612" s="53">
        <v>0</v>
      </c>
      <c r="O1612" s="53">
        <v>0</v>
      </c>
      <c r="P1612" s="53">
        <v>0</v>
      </c>
      <c r="Q1612" s="53">
        <v>0</v>
      </c>
      <c r="R1612" s="53">
        <v>0</v>
      </c>
    </row>
    <row r="1613" spans="1:18" x14ac:dyDescent="0.25">
      <c r="A1613" s="25" t="s">
        <v>310</v>
      </c>
      <c r="B1613" s="26">
        <v>2016</v>
      </c>
      <c r="C1613" s="74" t="s">
        <v>309</v>
      </c>
      <c r="D1613" s="27">
        <v>0</v>
      </c>
      <c r="E1613" s="53">
        <v>0</v>
      </c>
      <c r="F1613" s="53">
        <v>0</v>
      </c>
      <c r="G1613" s="53">
        <v>0</v>
      </c>
      <c r="H1613" s="53">
        <v>0</v>
      </c>
      <c r="I1613" s="53">
        <v>0</v>
      </c>
      <c r="J1613" s="53">
        <v>0</v>
      </c>
      <c r="K1613" s="53">
        <v>0</v>
      </c>
      <c r="L1613" s="53">
        <v>0</v>
      </c>
      <c r="M1613" s="53">
        <v>0</v>
      </c>
      <c r="N1613" s="53">
        <v>0</v>
      </c>
      <c r="O1613" s="53">
        <v>0</v>
      </c>
      <c r="P1613" s="53">
        <v>0</v>
      </c>
      <c r="Q1613" s="53">
        <v>0</v>
      </c>
      <c r="R1613" s="53">
        <v>0</v>
      </c>
    </row>
    <row r="1614" spans="1:18" x14ac:dyDescent="0.25">
      <c r="A1614" s="25" t="s">
        <v>306</v>
      </c>
      <c r="B1614" s="26">
        <v>2016</v>
      </c>
      <c r="C1614" s="74" t="s">
        <v>305</v>
      </c>
      <c r="D1614" s="27">
        <v>0</v>
      </c>
      <c r="E1614" s="53">
        <v>0</v>
      </c>
      <c r="F1614" s="53">
        <v>0</v>
      </c>
      <c r="G1614" s="53">
        <v>0</v>
      </c>
      <c r="H1614" s="53">
        <v>0</v>
      </c>
      <c r="I1614" s="53">
        <v>0</v>
      </c>
      <c r="J1614" s="53">
        <v>0</v>
      </c>
      <c r="K1614" s="53">
        <v>0</v>
      </c>
      <c r="L1614" s="53">
        <v>0</v>
      </c>
      <c r="M1614" s="53">
        <v>0</v>
      </c>
      <c r="N1614" s="53">
        <v>0</v>
      </c>
      <c r="O1614" s="53">
        <v>0</v>
      </c>
      <c r="P1614" s="53">
        <v>0</v>
      </c>
      <c r="Q1614" s="53">
        <v>0</v>
      </c>
      <c r="R1614" s="53">
        <v>0</v>
      </c>
    </row>
    <row r="1615" spans="1:18" x14ac:dyDescent="0.25">
      <c r="A1615" s="25" t="s">
        <v>303</v>
      </c>
      <c r="B1615" s="26">
        <v>2016</v>
      </c>
      <c r="C1615" s="74" t="s">
        <v>302</v>
      </c>
      <c r="D1615" s="27">
        <v>0</v>
      </c>
      <c r="E1615" s="53">
        <v>0</v>
      </c>
      <c r="F1615" s="53">
        <v>0</v>
      </c>
      <c r="G1615" s="53">
        <v>0</v>
      </c>
      <c r="H1615" s="53">
        <v>0</v>
      </c>
      <c r="I1615" s="53">
        <v>0</v>
      </c>
      <c r="J1615" s="53">
        <v>0</v>
      </c>
      <c r="K1615" s="53">
        <v>0</v>
      </c>
      <c r="L1615" s="53">
        <v>0</v>
      </c>
      <c r="M1615" s="53">
        <v>0</v>
      </c>
      <c r="N1615" s="53">
        <v>0</v>
      </c>
      <c r="O1615" s="53">
        <v>0</v>
      </c>
      <c r="P1615" s="53">
        <v>0</v>
      </c>
      <c r="Q1615" s="53">
        <v>0</v>
      </c>
      <c r="R1615" s="53">
        <v>0</v>
      </c>
    </row>
    <row r="1616" spans="1:18" x14ac:dyDescent="0.25">
      <c r="A1616" s="25" t="s">
        <v>298</v>
      </c>
      <c r="B1616" s="26">
        <v>2016</v>
      </c>
      <c r="C1616" s="74" t="s">
        <v>281</v>
      </c>
      <c r="D1616" s="27">
        <v>0</v>
      </c>
      <c r="E1616" s="53">
        <v>0</v>
      </c>
      <c r="F1616" s="53">
        <v>0</v>
      </c>
      <c r="G1616" s="53">
        <v>0</v>
      </c>
      <c r="H1616" s="53">
        <v>0</v>
      </c>
      <c r="I1616" s="53">
        <v>0</v>
      </c>
      <c r="J1616" s="53">
        <v>0</v>
      </c>
      <c r="K1616" s="53">
        <v>0</v>
      </c>
      <c r="L1616" s="53">
        <v>0</v>
      </c>
      <c r="M1616" s="53">
        <v>0</v>
      </c>
      <c r="N1616" s="53">
        <v>0</v>
      </c>
      <c r="O1616" s="53">
        <v>0</v>
      </c>
      <c r="P1616" s="53">
        <v>0</v>
      </c>
      <c r="Q1616" s="53">
        <v>0</v>
      </c>
      <c r="R1616" s="53">
        <v>0</v>
      </c>
    </row>
    <row r="1617" spans="1:18" x14ac:dyDescent="0.25">
      <c r="A1617" s="25" t="s">
        <v>297</v>
      </c>
      <c r="B1617" s="26">
        <v>2016</v>
      </c>
      <c r="C1617" s="74" t="s">
        <v>287</v>
      </c>
      <c r="D1617" s="27">
        <v>0</v>
      </c>
      <c r="E1617" s="53">
        <v>0</v>
      </c>
      <c r="F1617" s="53">
        <v>0</v>
      </c>
      <c r="G1617" s="53">
        <v>0</v>
      </c>
      <c r="H1617" s="53">
        <v>0</v>
      </c>
      <c r="I1617" s="53">
        <v>0</v>
      </c>
      <c r="J1617" s="53">
        <v>0</v>
      </c>
      <c r="K1617" s="53">
        <v>0</v>
      </c>
      <c r="L1617" s="53">
        <v>0</v>
      </c>
      <c r="M1617" s="53">
        <v>0</v>
      </c>
      <c r="N1617" s="53">
        <v>0</v>
      </c>
      <c r="O1617" s="53">
        <v>0</v>
      </c>
      <c r="P1617" s="53">
        <v>0</v>
      </c>
      <c r="Q1617" s="53">
        <v>0</v>
      </c>
      <c r="R1617" s="53">
        <v>0</v>
      </c>
    </row>
    <row r="1618" spans="1:18" x14ac:dyDescent="0.25">
      <c r="A1618" s="25" t="s">
        <v>295</v>
      </c>
      <c r="B1618" s="26">
        <v>2016</v>
      </c>
      <c r="C1618" s="74" t="s">
        <v>281</v>
      </c>
      <c r="D1618" s="27">
        <v>0</v>
      </c>
      <c r="E1618" s="53">
        <v>0</v>
      </c>
      <c r="F1618" s="53">
        <v>0</v>
      </c>
      <c r="G1618" s="53">
        <v>0</v>
      </c>
      <c r="H1618" s="53">
        <v>0</v>
      </c>
      <c r="I1618" s="53">
        <v>0</v>
      </c>
      <c r="J1618" s="53">
        <v>0</v>
      </c>
      <c r="K1618" s="53">
        <v>0</v>
      </c>
      <c r="L1618" s="53">
        <v>0</v>
      </c>
      <c r="M1618" s="53">
        <v>0</v>
      </c>
      <c r="N1618" s="53">
        <v>0</v>
      </c>
      <c r="O1618" s="53">
        <v>0</v>
      </c>
      <c r="P1618" s="53">
        <v>0</v>
      </c>
      <c r="Q1618" s="53">
        <v>0</v>
      </c>
      <c r="R1618" s="53">
        <v>0</v>
      </c>
    </row>
    <row r="1619" spans="1:18" x14ac:dyDescent="0.25">
      <c r="A1619" s="25" t="s">
        <v>294</v>
      </c>
      <c r="B1619" s="26">
        <v>2016</v>
      </c>
      <c r="C1619" s="74" t="s">
        <v>287</v>
      </c>
      <c r="D1619" s="27">
        <v>0</v>
      </c>
      <c r="E1619" s="53">
        <v>0</v>
      </c>
      <c r="F1619" s="53">
        <v>0</v>
      </c>
      <c r="G1619" s="53">
        <v>0</v>
      </c>
      <c r="H1619" s="53">
        <v>0</v>
      </c>
      <c r="I1619" s="53">
        <v>0</v>
      </c>
      <c r="J1619" s="53">
        <v>0</v>
      </c>
      <c r="K1619" s="53">
        <v>0</v>
      </c>
      <c r="L1619" s="53">
        <v>0</v>
      </c>
      <c r="M1619" s="53">
        <v>0</v>
      </c>
      <c r="N1619" s="53">
        <v>0</v>
      </c>
      <c r="O1619" s="53">
        <v>0</v>
      </c>
      <c r="P1619" s="53">
        <v>0</v>
      </c>
      <c r="Q1619" s="53">
        <v>0</v>
      </c>
      <c r="R1619" s="53">
        <v>0</v>
      </c>
    </row>
    <row r="1620" spans="1:18" x14ac:dyDescent="0.25">
      <c r="A1620" s="25" t="s">
        <v>292</v>
      </c>
      <c r="B1620" s="26">
        <v>2016</v>
      </c>
      <c r="C1620" s="74" t="s">
        <v>281</v>
      </c>
      <c r="D1620" s="27">
        <v>0</v>
      </c>
      <c r="E1620" s="53">
        <v>0</v>
      </c>
      <c r="F1620" s="53">
        <v>0</v>
      </c>
      <c r="G1620" s="53">
        <v>0</v>
      </c>
      <c r="H1620" s="53">
        <v>0</v>
      </c>
      <c r="I1620" s="53">
        <v>0</v>
      </c>
      <c r="J1620" s="53">
        <v>0</v>
      </c>
      <c r="K1620" s="53">
        <v>0</v>
      </c>
      <c r="L1620" s="53">
        <v>0</v>
      </c>
      <c r="M1620" s="53">
        <v>0</v>
      </c>
      <c r="N1620" s="53">
        <v>0</v>
      </c>
      <c r="O1620" s="53">
        <v>0</v>
      </c>
      <c r="P1620" s="53">
        <v>0</v>
      </c>
      <c r="Q1620" s="53">
        <v>0</v>
      </c>
      <c r="R1620" s="53">
        <v>0</v>
      </c>
    </row>
    <row r="1621" spans="1:18" x14ac:dyDescent="0.25">
      <c r="A1621" s="25" t="s">
        <v>291</v>
      </c>
      <c r="B1621" s="26">
        <v>2016</v>
      </c>
      <c r="C1621" s="74" t="s">
        <v>287</v>
      </c>
      <c r="D1621" s="27">
        <v>0</v>
      </c>
      <c r="E1621" s="53">
        <v>0</v>
      </c>
      <c r="F1621" s="53">
        <v>0</v>
      </c>
      <c r="G1621" s="53">
        <v>0</v>
      </c>
      <c r="H1621" s="53">
        <v>0</v>
      </c>
      <c r="I1621" s="53">
        <v>0</v>
      </c>
      <c r="J1621" s="53">
        <v>0</v>
      </c>
      <c r="K1621" s="53">
        <v>0</v>
      </c>
      <c r="L1621" s="53">
        <v>0</v>
      </c>
      <c r="M1621" s="53">
        <v>0</v>
      </c>
      <c r="N1621" s="53">
        <v>0</v>
      </c>
      <c r="O1621" s="53">
        <v>0</v>
      </c>
      <c r="P1621" s="53">
        <v>0</v>
      </c>
      <c r="Q1621" s="53">
        <v>0</v>
      </c>
      <c r="R1621" s="53">
        <v>0</v>
      </c>
    </row>
    <row r="1622" spans="1:18" x14ac:dyDescent="0.25">
      <c r="A1622" s="25" t="s">
        <v>289</v>
      </c>
      <c r="B1622" s="26">
        <v>2016</v>
      </c>
      <c r="C1622" s="74" t="s">
        <v>287</v>
      </c>
      <c r="D1622" s="27">
        <v>0</v>
      </c>
      <c r="E1622" s="53">
        <v>0</v>
      </c>
      <c r="F1622" s="53">
        <v>0</v>
      </c>
      <c r="G1622" s="53">
        <v>0</v>
      </c>
      <c r="H1622" s="53">
        <v>0</v>
      </c>
      <c r="I1622" s="53">
        <v>0</v>
      </c>
      <c r="J1622" s="53">
        <v>0</v>
      </c>
      <c r="K1622" s="53">
        <v>0</v>
      </c>
      <c r="L1622" s="53">
        <v>0</v>
      </c>
      <c r="M1622" s="53">
        <v>0</v>
      </c>
      <c r="N1622" s="53">
        <v>0</v>
      </c>
      <c r="O1622" s="53">
        <v>0</v>
      </c>
      <c r="P1622" s="53">
        <v>0</v>
      </c>
      <c r="Q1622" s="53">
        <v>0</v>
      </c>
      <c r="R1622" s="53">
        <v>0</v>
      </c>
    </row>
    <row r="1623" spans="1:18" x14ac:dyDescent="0.25">
      <c r="A1623" s="25" t="s">
        <v>286</v>
      </c>
      <c r="B1623" s="26">
        <v>2016</v>
      </c>
      <c r="C1623" s="74" t="s">
        <v>285</v>
      </c>
      <c r="D1623" s="27">
        <v>0</v>
      </c>
      <c r="E1623" s="53">
        <v>0</v>
      </c>
      <c r="F1623" s="53">
        <v>0</v>
      </c>
      <c r="G1623" s="53">
        <v>0</v>
      </c>
      <c r="H1623" s="53">
        <v>0</v>
      </c>
      <c r="I1623" s="53">
        <v>0</v>
      </c>
      <c r="J1623" s="53">
        <v>0</v>
      </c>
      <c r="K1623" s="53">
        <v>0</v>
      </c>
      <c r="L1623" s="53">
        <v>0</v>
      </c>
      <c r="M1623" s="53">
        <v>0</v>
      </c>
      <c r="N1623" s="53">
        <v>0</v>
      </c>
      <c r="O1623" s="53">
        <v>0</v>
      </c>
      <c r="P1623" s="53">
        <v>0</v>
      </c>
      <c r="Q1623" s="53">
        <v>0</v>
      </c>
      <c r="R1623" s="53">
        <v>0</v>
      </c>
    </row>
    <row r="1624" spans="1:18" x14ac:dyDescent="0.25">
      <c r="A1624" s="25" t="s">
        <v>283</v>
      </c>
      <c r="B1624" s="26">
        <v>2016</v>
      </c>
      <c r="C1624" s="74" t="s">
        <v>282</v>
      </c>
      <c r="D1624" s="27">
        <v>0</v>
      </c>
      <c r="E1624" s="53">
        <v>0</v>
      </c>
      <c r="F1624" s="53">
        <v>0</v>
      </c>
      <c r="G1624" s="53">
        <v>0</v>
      </c>
      <c r="H1624" s="53">
        <v>0</v>
      </c>
      <c r="I1624" s="53">
        <v>0</v>
      </c>
      <c r="J1624" s="53">
        <v>0</v>
      </c>
      <c r="K1624" s="53">
        <v>0</v>
      </c>
      <c r="L1624" s="53">
        <v>0</v>
      </c>
      <c r="M1624" s="53">
        <v>0</v>
      </c>
      <c r="N1624" s="53">
        <v>0</v>
      </c>
      <c r="O1624" s="53">
        <v>0</v>
      </c>
      <c r="P1624" s="53">
        <v>0</v>
      </c>
      <c r="Q1624" s="53">
        <v>0</v>
      </c>
      <c r="R1624" s="53">
        <v>0</v>
      </c>
    </row>
    <row r="1625" spans="1:18" x14ac:dyDescent="0.25">
      <c r="A1625" s="25" t="s">
        <v>280</v>
      </c>
      <c r="B1625" s="26">
        <v>2016</v>
      </c>
      <c r="C1625" s="74" t="s">
        <v>279</v>
      </c>
      <c r="D1625" s="27">
        <v>0</v>
      </c>
      <c r="E1625" s="53">
        <v>0</v>
      </c>
      <c r="F1625" s="53">
        <v>0</v>
      </c>
      <c r="G1625" s="53">
        <v>0</v>
      </c>
      <c r="H1625" s="53">
        <v>0</v>
      </c>
      <c r="I1625" s="53">
        <v>0</v>
      </c>
      <c r="J1625" s="53">
        <v>0</v>
      </c>
      <c r="K1625" s="53">
        <v>0</v>
      </c>
      <c r="L1625" s="53">
        <v>0</v>
      </c>
      <c r="M1625" s="53">
        <v>0</v>
      </c>
      <c r="N1625" s="53">
        <v>0</v>
      </c>
      <c r="O1625" s="53">
        <v>0</v>
      </c>
      <c r="P1625" s="53">
        <v>0</v>
      </c>
      <c r="Q1625" s="53">
        <v>0</v>
      </c>
      <c r="R1625" s="53">
        <v>0</v>
      </c>
    </row>
    <row r="1626" spans="1:18" x14ac:dyDescent="0.25">
      <c r="A1626" s="25" t="s">
        <v>276</v>
      </c>
      <c r="B1626" s="26">
        <v>2016</v>
      </c>
      <c r="C1626" s="74" t="s">
        <v>275</v>
      </c>
      <c r="D1626" s="27">
        <v>0</v>
      </c>
      <c r="E1626" s="53">
        <v>0</v>
      </c>
      <c r="F1626" s="53">
        <v>0</v>
      </c>
      <c r="G1626" s="53">
        <v>0</v>
      </c>
      <c r="H1626" s="53">
        <v>0</v>
      </c>
      <c r="I1626" s="53">
        <v>0</v>
      </c>
      <c r="J1626" s="53">
        <v>0</v>
      </c>
      <c r="K1626" s="53">
        <v>0</v>
      </c>
      <c r="L1626" s="53">
        <v>0</v>
      </c>
      <c r="M1626" s="53">
        <v>0</v>
      </c>
      <c r="N1626" s="53">
        <v>0</v>
      </c>
      <c r="O1626" s="53">
        <v>0</v>
      </c>
      <c r="P1626" s="53">
        <v>0</v>
      </c>
      <c r="Q1626" s="53">
        <v>0</v>
      </c>
      <c r="R1626" s="53">
        <v>0</v>
      </c>
    </row>
    <row r="1627" spans="1:18" x14ac:dyDescent="0.25">
      <c r="A1627" s="25" t="s">
        <v>274</v>
      </c>
      <c r="B1627" s="26">
        <v>2016</v>
      </c>
      <c r="C1627" s="74" t="s">
        <v>273</v>
      </c>
      <c r="D1627" s="27">
        <v>0</v>
      </c>
      <c r="E1627" s="53">
        <v>0</v>
      </c>
      <c r="F1627" s="53">
        <v>0</v>
      </c>
      <c r="G1627" s="53">
        <v>0</v>
      </c>
      <c r="H1627" s="53">
        <v>0</v>
      </c>
      <c r="I1627" s="53">
        <v>0</v>
      </c>
      <c r="J1627" s="53">
        <v>0</v>
      </c>
      <c r="K1627" s="53">
        <v>0</v>
      </c>
      <c r="L1627" s="53">
        <v>0</v>
      </c>
      <c r="M1627" s="53">
        <v>0</v>
      </c>
      <c r="N1627" s="53">
        <v>0</v>
      </c>
      <c r="O1627" s="53">
        <v>0</v>
      </c>
      <c r="P1627" s="53">
        <v>0</v>
      </c>
      <c r="Q1627" s="53">
        <v>0</v>
      </c>
      <c r="R1627" s="53">
        <v>0</v>
      </c>
    </row>
    <row r="1628" spans="1:18" x14ac:dyDescent="0.25">
      <c r="A1628" s="25" t="s">
        <v>268</v>
      </c>
      <c r="B1628" s="26">
        <v>2016</v>
      </c>
      <c r="C1628" s="74" t="s">
        <v>267</v>
      </c>
      <c r="D1628" s="27">
        <v>0</v>
      </c>
      <c r="E1628" s="53">
        <v>0</v>
      </c>
      <c r="F1628" s="53">
        <v>0</v>
      </c>
      <c r="G1628" s="53">
        <v>0</v>
      </c>
      <c r="H1628" s="53">
        <v>0</v>
      </c>
      <c r="I1628" s="53">
        <v>0</v>
      </c>
      <c r="J1628" s="53">
        <v>0</v>
      </c>
      <c r="K1628" s="53">
        <v>0</v>
      </c>
      <c r="L1628" s="53">
        <v>0</v>
      </c>
      <c r="M1628" s="53">
        <v>0</v>
      </c>
      <c r="N1628" s="53">
        <v>0</v>
      </c>
      <c r="O1628" s="53">
        <v>0</v>
      </c>
      <c r="P1628" s="53">
        <v>0</v>
      </c>
      <c r="Q1628" s="53">
        <v>0</v>
      </c>
      <c r="R1628" s="53">
        <v>0</v>
      </c>
    </row>
    <row r="1629" spans="1:18" x14ac:dyDescent="0.25">
      <c r="A1629" s="25" t="s">
        <v>264</v>
      </c>
      <c r="B1629" s="26">
        <v>2016</v>
      </c>
      <c r="C1629" s="74" t="s">
        <v>263</v>
      </c>
      <c r="D1629" s="27">
        <v>0</v>
      </c>
      <c r="E1629" s="53">
        <v>0</v>
      </c>
      <c r="F1629" s="53">
        <v>0</v>
      </c>
      <c r="G1629" s="53">
        <v>0</v>
      </c>
      <c r="H1629" s="53">
        <v>0</v>
      </c>
      <c r="I1629" s="53">
        <v>0</v>
      </c>
      <c r="J1629" s="53">
        <v>0</v>
      </c>
      <c r="K1629" s="53">
        <v>0</v>
      </c>
      <c r="L1629" s="53">
        <v>0</v>
      </c>
      <c r="M1629" s="53">
        <v>0</v>
      </c>
      <c r="N1629" s="53">
        <v>0</v>
      </c>
      <c r="O1629" s="53">
        <v>0</v>
      </c>
      <c r="P1629" s="53">
        <v>0</v>
      </c>
      <c r="Q1629" s="53">
        <v>0</v>
      </c>
      <c r="R1629" s="53">
        <v>0</v>
      </c>
    </row>
    <row r="1630" spans="1:18" x14ac:dyDescent="0.25">
      <c r="A1630" s="25" t="s">
        <v>260</v>
      </c>
      <c r="B1630" s="26">
        <v>2016</v>
      </c>
      <c r="C1630" s="74" t="s">
        <v>259</v>
      </c>
      <c r="D1630" s="27">
        <v>0</v>
      </c>
      <c r="E1630" s="53">
        <v>0</v>
      </c>
      <c r="F1630" s="53">
        <v>0</v>
      </c>
      <c r="G1630" s="53">
        <v>0</v>
      </c>
      <c r="H1630" s="53">
        <v>0</v>
      </c>
      <c r="I1630" s="53">
        <v>0</v>
      </c>
      <c r="J1630" s="53">
        <v>0</v>
      </c>
      <c r="K1630" s="53">
        <v>0</v>
      </c>
      <c r="L1630" s="53">
        <v>0</v>
      </c>
      <c r="M1630" s="53">
        <v>0</v>
      </c>
      <c r="N1630" s="53">
        <v>0</v>
      </c>
      <c r="O1630" s="53">
        <v>0</v>
      </c>
      <c r="P1630" s="53">
        <v>0</v>
      </c>
      <c r="Q1630" s="53">
        <v>0</v>
      </c>
      <c r="R1630" s="53">
        <v>0</v>
      </c>
    </row>
    <row r="1631" spans="1:18" x14ac:dyDescent="0.25">
      <c r="A1631" s="25" t="s">
        <v>258</v>
      </c>
      <c r="B1631" s="26">
        <v>2016</v>
      </c>
      <c r="C1631" s="74" t="s">
        <v>257</v>
      </c>
      <c r="D1631" s="27">
        <v>0</v>
      </c>
      <c r="E1631" s="53">
        <v>0</v>
      </c>
      <c r="F1631" s="53">
        <v>0</v>
      </c>
      <c r="G1631" s="53">
        <v>0</v>
      </c>
      <c r="H1631" s="53">
        <v>0</v>
      </c>
      <c r="I1631" s="53">
        <v>0</v>
      </c>
      <c r="J1631" s="53">
        <v>0</v>
      </c>
      <c r="K1631" s="53">
        <v>0</v>
      </c>
      <c r="L1631" s="53">
        <v>0</v>
      </c>
      <c r="M1631" s="53">
        <v>0</v>
      </c>
      <c r="N1631" s="53">
        <v>0</v>
      </c>
      <c r="O1631" s="53">
        <v>0</v>
      </c>
      <c r="P1631" s="53">
        <v>0</v>
      </c>
      <c r="Q1631" s="53">
        <v>0</v>
      </c>
      <c r="R1631" s="53">
        <v>0</v>
      </c>
    </row>
    <row r="1632" spans="1:18" x14ac:dyDescent="0.25">
      <c r="A1632" s="25" t="s">
        <v>256</v>
      </c>
      <c r="B1632" s="26">
        <v>2016</v>
      </c>
      <c r="C1632" s="74" t="s">
        <v>255</v>
      </c>
      <c r="D1632" s="27">
        <v>0</v>
      </c>
      <c r="E1632" s="53">
        <v>0</v>
      </c>
      <c r="F1632" s="53">
        <v>0</v>
      </c>
      <c r="G1632" s="53">
        <v>0</v>
      </c>
      <c r="H1632" s="53">
        <v>0</v>
      </c>
      <c r="I1632" s="53">
        <v>0</v>
      </c>
      <c r="J1632" s="53">
        <v>0</v>
      </c>
      <c r="K1632" s="53">
        <v>0</v>
      </c>
      <c r="L1632" s="53">
        <v>0</v>
      </c>
      <c r="M1632" s="53">
        <v>0</v>
      </c>
      <c r="N1632" s="53">
        <v>0</v>
      </c>
      <c r="O1632" s="53">
        <v>0</v>
      </c>
      <c r="P1632" s="53">
        <v>0</v>
      </c>
      <c r="Q1632" s="53">
        <v>0</v>
      </c>
      <c r="R1632" s="53">
        <v>0</v>
      </c>
    </row>
    <row r="1633" spans="1:18" x14ac:dyDescent="0.25">
      <c r="A1633" s="25" t="s">
        <v>253</v>
      </c>
      <c r="B1633" s="26">
        <v>2016</v>
      </c>
      <c r="C1633" s="74" t="s">
        <v>252</v>
      </c>
      <c r="D1633" s="27">
        <v>0</v>
      </c>
      <c r="E1633" s="53">
        <v>0</v>
      </c>
      <c r="F1633" s="53">
        <v>0</v>
      </c>
      <c r="G1633" s="53">
        <v>0</v>
      </c>
      <c r="H1633" s="53">
        <v>0</v>
      </c>
      <c r="I1633" s="53">
        <v>0</v>
      </c>
      <c r="J1633" s="53">
        <v>0</v>
      </c>
      <c r="K1633" s="53">
        <v>0</v>
      </c>
      <c r="L1633" s="53">
        <v>0</v>
      </c>
      <c r="M1633" s="53">
        <v>0</v>
      </c>
      <c r="N1633" s="53">
        <v>0</v>
      </c>
      <c r="O1633" s="53">
        <v>0</v>
      </c>
      <c r="P1633" s="53">
        <v>0</v>
      </c>
      <c r="Q1633" s="53">
        <v>0</v>
      </c>
      <c r="R1633" s="53">
        <v>0</v>
      </c>
    </row>
    <row r="1634" spans="1:18" x14ac:dyDescent="0.25">
      <c r="A1634" s="25" t="s">
        <v>251</v>
      </c>
      <c r="B1634" s="26">
        <v>2016</v>
      </c>
      <c r="C1634" s="74" t="s">
        <v>250</v>
      </c>
      <c r="D1634" s="27">
        <v>0</v>
      </c>
      <c r="E1634" s="53">
        <v>0</v>
      </c>
      <c r="F1634" s="53">
        <v>0</v>
      </c>
      <c r="G1634" s="53">
        <v>0</v>
      </c>
      <c r="H1634" s="53">
        <v>0</v>
      </c>
      <c r="I1634" s="53">
        <v>0</v>
      </c>
      <c r="J1634" s="53">
        <v>0</v>
      </c>
      <c r="K1634" s="53">
        <v>0</v>
      </c>
      <c r="L1634" s="53">
        <v>0</v>
      </c>
      <c r="M1634" s="53">
        <v>0</v>
      </c>
      <c r="N1634" s="53">
        <v>0</v>
      </c>
      <c r="O1634" s="53">
        <v>0</v>
      </c>
      <c r="P1634" s="53">
        <v>0</v>
      </c>
      <c r="Q1634" s="53">
        <v>0</v>
      </c>
      <c r="R1634" s="53">
        <v>0</v>
      </c>
    </row>
    <row r="1635" spans="1:18" x14ac:dyDescent="0.25">
      <c r="A1635" s="25" t="s">
        <v>249</v>
      </c>
      <c r="B1635" s="26">
        <v>2016</v>
      </c>
      <c r="C1635" s="74" t="s">
        <v>248</v>
      </c>
      <c r="D1635" s="27">
        <v>0</v>
      </c>
      <c r="E1635" s="53">
        <v>0</v>
      </c>
      <c r="F1635" s="53">
        <v>0</v>
      </c>
      <c r="G1635" s="53">
        <v>0</v>
      </c>
      <c r="H1635" s="53">
        <v>0</v>
      </c>
      <c r="I1635" s="53">
        <v>0</v>
      </c>
      <c r="J1635" s="53">
        <v>0</v>
      </c>
      <c r="K1635" s="53">
        <v>0</v>
      </c>
      <c r="L1635" s="53">
        <v>0</v>
      </c>
      <c r="M1635" s="53">
        <v>0</v>
      </c>
      <c r="N1635" s="53">
        <v>0</v>
      </c>
      <c r="O1635" s="53">
        <v>0</v>
      </c>
      <c r="P1635" s="53">
        <v>0</v>
      </c>
      <c r="Q1635" s="53">
        <v>0</v>
      </c>
      <c r="R1635" s="53">
        <v>0</v>
      </c>
    </row>
    <row r="1636" spans="1:18" x14ac:dyDescent="0.25">
      <c r="A1636" s="25" t="s">
        <v>246</v>
      </c>
      <c r="B1636" s="26">
        <v>2016</v>
      </c>
      <c r="C1636" s="74" t="s">
        <v>245</v>
      </c>
      <c r="D1636" s="27">
        <v>0</v>
      </c>
      <c r="E1636" s="53">
        <v>0</v>
      </c>
      <c r="F1636" s="53">
        <v>0</v>
      </c>
      <c r="G1636" s="53">
        <v>0</v>
      </c>
      <c r="H1636" s="53">
        <v>0</v>
      </c>
      <c r="I1636" s="53">
        <v>0</v>
      </c>
      <c r="J1636" s="53">
        <v>0</v>
      </c>
      <c r="K1636" s="53">
        <v>0</v>
      </c>
      <c r="L1636" s="53">
        <v>0</v>
      </c>
      <c r="M1636" s="53">
        <v>0</v>
      </c>
      <c r="N1636" s="53">
        <v>0</v>
      </c>
      <c r="O1636" s="53">
        <v>0</v>
      </c>
      <c r="P1636" s="53">
        <v>0</v>
      </c>
      <c r="Q1636" s="53">
        <v>0</v>
      </c>
      <c r="R1636" s="53">
        <v>0</v>
      </c>
    </row>
    <row r="1637" spans="1:18" x14ac:dyDescent="0.25">
      <c r="A1637" s="25" t="s">
        <v>244</v>
      </c>
      <c r="B1637" s="26">
        <v>2016</v>
      </c>
      <c r="C1637" s="74" t="s">
        <v>243</v>
      </c>
      <c r="D1637" s="27">
        <v>0</v>
      </c>
      <c r="E1637" s="53">
        <v>0</v>
      </c>
      <c r="F1637" s="53">
        <v>0</v>
      </c>
      <c r="G1637" s="53">
        <v>0</v>
      </c>
      <c r="H1637" s="53">
        <v>0</v>
      </c>
      <c r="I1637" s="53">
        <v>0</v>
      </c>
      <c r="J1637" s="53">
        <v>0</v>
      </c>
      <c r="K1637" s="53">
        <v>0</v>
      </c>
      <c r="L1637" s="53">
        <v>0</v>
      </c>
      <c r="M1637" s="53">
        <v>0</v>
      </c>
      <c r="N1637" s="53">
        <v>0</v>
      </c>
      <c r="O1637" s="53">
        <v>0</v>
      </c>
      <c r="P1637" s="53">
        <v>0</v>
      </c>
      <c r="Q1637" s="53">
        <v>0</v>
      </c>
      <c r="R1637" s="53">
        <v>0</v>
      </c>
    </row>
    <row r="1638" spans="1:18" x14ac:dyDescent="0.25">
      <c r="A1638" s="25" t="s">
        <v>242</v>
      </c>
      <c r="B1638" s="26">
        <v>2016</v>
      </c>
      <c r="C1638" s="74" t="s">
        <v>241</v>
      </c>
      <c r="D1638" s="27">
        <v>0</v>
      </c>
      <c r="E1638" s="53">
        <v>0</v>
      </c>
      <c r="F1638" s="53">
        <v>0</v>
      </c>
      <c r="G1638" s="53">
        <v>0</v>
      </c>
      <c r="H1638" s="53">
        <v>0</v>
      </c>
      <c r="I1638" s="53">
        <v>0</v>
      </c>
      <c r="J1638" s="53">
        <v>0</v>
      </c>
      <c r="K1638" s="53">
        <v>0</v>
      </c>
      <c r="L1638" s="53">
        <v>0</v>
      </c>
      <c r="M1638" s="53">
        <v>0</v>
      </c>
      <c r="N1638" s="53">
        <v>0</v>
      </c>
      <c r="O1638" s="53">
        <v>0</v>
      </c>
      <c r="P1638" s="53">
        <v>0</v>
      </c>
      <c r="Q1638" s="53">
        <v>0</v>
      </c>
      <c r="R1638" s="53">
        <v>0</v>
      </c>
    </row>
    <row r="1639" spans="1:18" x14ac:dyDescent="0.25">
      <c r="A1639" s="25" t="s">
        <v>240</v>
      </c>
      <c r="B1639" s="26">
        <v>2016</v>
      </c>
      <c r="C1639" s="74" t="s">
        <v>239</v>
      </c>
      <c r="D1639" s="27">
        <v>0</v>
      </c>
      <c r="E1639" s="53">
        <v>0</v>
      </c>
      <c r="F1639" s="53">
        <v>0</v>
      </c>
      <c r="G1639" s="53">
        <v>0</v>
      </c>
      <c r="H1639" s="53">
        <v>0</v>
      </c>
      <c r="I1639" s="53">
        <v>0</v>
      </c>
      <c r="J1639" s="53">
        <v>0</v>
      </c>
      <c r="K1639" s="53">
        <v>0</v>
      </c>
      <c r="L1639" s="53">
        <v>0</v>
      </c>
      <c r="M1639" s="53">
        <v>0</v>
      </c>
      <c r="N1639" s="53">
        <v>0</v>
      </c>
      <c r="O1639" s="53">
        <v>0</v>
      </c>
      <c r="P1639" s="53">
        <v>0</v>
      </c>
      <c r="Q1639" s="53">
        <v>0</v>
      </c>
      <c r="R1639" s="53">
        <v>0</v>
      </c>
    </row>
    <row r="1640" spans="1:18" x14ac:dyDescent="0.25">
      <c r="A1640" s="25" t="s">
        <v>236</v>
      </c>
      <c r="B1640" s="26">
        <v>2016</v>
      </c>
      <c r="C1640" s="74" t="s">
        <v>235</v>
      </c>
      <c r="D1640" s="27">
        <v>0</v>
      </c>
      <c r="E1640" s="53">
        <v>0</v>
      </c>
      <c r="F1640" s="53">
        <v>0</v>
      </c>
      <c r="G1640" s="53">
        <v>0</v>
      </c>
      <c r="H1640" s="53">
        <v>0</v>
      </c>
      <c r="I1640" s="53">
        <v>0</v>
      </c>
      <c r="J1640" s="53">
        <v>0</v>
      </c>
      <c r="K1640" s="53">
        <v>0</v>
      </c>
      <c r="L1640" s="53">
        <v>0</v>
      </c>
      <c r="M1640" s="53">
        <v>0</v>
      </c>
      <c r="N1640" s="53">
        <v>0</v>
      </c>
      <c r="O1640" s="53">
        <v>0</v>
      </c>
      <c r="P1640" s="53">
        <v>0</v>
      </c>
      <c r="Q1640" s="53">
        <v>0</v>
      </c>
      <c r="R1640" s="53">
        <v>0</v>
      </c>
    </row>
    <row r="1641" spans="1:18" x14ac:dyDescent="0.25">
      <c r="A1641" s="25" t="s">
        <v>234</v>
      </c>
      <c r="B1641" s="26">
        <v>2016</v>
      </c>
      <c r="C1641" s="74" t="s">
        <v>233</v>
      </c>
      <c r="D1641" s="27">
        <v>0</v>
      </c>
      <c r="E1641" s="53">
        <v>0</v>
      </c>
      <c r="F1641" s="53">
        <v>0</v>
      </c>
      <c r="G1641" s="53">
        <v>0</v>
      </c>
      <c r="H1641" s="53">
        <v>0</v>
      </c>
      <c r="I1641" s="53">
        <v>0</v>
      </c>
      <c r="J1641" s="53">
        <v>0</v>
      </c>
      <c r="K1641" s="53">
        <v>0</v>
      </c>
      <c r="L1641" s="53">
        <v>0</v>
      </c>
      <c r="M1641" s="53">
        <v>0</v>
      </c>
      <c r="N1641" s="53">
        <v>0</v>
      </c>
      <c r="O1641" s="53">
        <v>0</v>
      </c>
      <c r="P1641" s="53">
        <v>0</v>
      </c>
      <c r="Q1641" s="53">
        <v>0</v>
      </c>
      <c r="R1641" s="53">
        <v>0</v>
      </c>
    </row>
    <row r="1642" spans="1:18" x14ac:dyDescent="0.25">
      <c r="A1642" s="25" t="s">
        <v>230</v>
      </c>
      <c r="B1642" s="26">
        <v>2016</v>
      </c>
      <c r="C1642" s="74" t="s">
        <v>229</v>
      </c>
      <c r="D1642" s="27">
        <v>0</v>
      </c>
      <c r="E1642" s="53">
        <v>0</v>
      </c>
      <c r="F1642" s="53">
        <v>0</v>
      </c>
      <c r="G1642" s="53">
        <v>0</v>
      </c>
      <c r="H1642" s="53">
        <v>0</v>
      </c>
      <c r="I1642" s="53">
        <v>0</v>
      </c>
      <c r="J1642" s="53">
        <v>0</v>
      </c>
      <c r="K1642" s="53">
        <v>0</v>
      </c>
      <c r="L1642" s="53">
        <v>0</v>
      </c>
      <c r="M1642" s="53">
        <v>0</v>
      </c>
      <c r="N1642" s="53">
        <v>0</v>
      </c>
      <c r="O1642" s="53">
        <v>0</v>
      </c>
      <c r="P1642" s="53">
        <v>0</v>
      </c>
      <c r="Q1642" s="53">
        <v>0</v>
      </c>
      <c r="R1642" s="53">
        <v>0</v>
      </c>
    </row>
    <row r="1643" spans="1:18" x14ac:dyDescent="0.25">
      <c r="A1643" s="25" t="s">
        <v>377</v>
      </c>
      <c r="B1643" s="26">
        <v>2016</v>
      </c>
      <c r="C1643" s="74" t="s">
        <v>410</v>
      </c>
      <c r="D1643" s="27">
        <v>0</v>
      </c>
      <c r="E1643" s="53">
        <v>0</v>
      </c>
      <c r="F1643" s="53">
        <v>0</v>
      </c>
      <c r="G1643" s="53">
        <v>0</v>
      </c>
      <c r="H1643" s="53">
        <v>0</v>
      </c>
      <c r="I1643" s="53">
        <v>0</v>
      </c>
      <c r="J1643" s="53">
        <v>0</v>
      </c>
      <c r="K1643" s="53">
        <v>0</v>
      </c>
      <c r="L1643" s="53">
        <v>0</v>
      </c>
      <c r="M1643" s="53">
        <v>0</v>
      </c>
      <c r="N1643" s="53">
        <v>0</v>
      </c>
      <c r="O1643" s="53">
        <v>0</v>
      </c>
      <c r="P1643" s="53">
        <v>0</v>
      </c>
      <c r="Q1643" s="53">
        <v>0</v>
      </c>
      <c r="R1643" s="53">
        <v>0</v>
      </c>
    </row>
    <row r="1644" spans="1:18" x14ac:dyDescent="0.25">
      <c r="A1644" s="25" t="s">
        <v>228</v>
      </c>
      <c r="B1644" s="26">
        <v>2016</v>
      </c>
      <c r="C1644" s="74" t="s">
        <v>227</v>
      </c>
      <c r="D1644" s="27">
        <v>0</v>
      </c>
      <c r="E1644" s="53">
        <v>0</v>
      </c>
      <c r="F1644" s="53">
        <v>0</v>
      </c>
      <c r="G1644" s="53">
        <v>0</v>
      </c>
      <c r="H1644" s="53">
        <v>0</v>
      </c>
      <c r="I1644" s="53">
        <v>0</v>
      </c>
      <c r="J1644" s="53">
        <v>0</v>
      </c>
      <c r="K1644" s="53">
        <v>0</v>
      </c>
      <c r="L1644" s="53">
        <v>0</v>
      </c>
      <c r="M1644" s="53">
        <v>0</v>
      </c>
      <c r="N1644" s="53">
        <v>0</v>
      </c>
      <c r="O1644" s="53">
        <v>0</v>
      </c>
      <c r="P1644" s="53">
        <v>0</v>
      </c>
      <c r="Q1644" s="53">
        <v>0</v>
      </c>
      <c r="R1644" s="53">
        <v>0</v>
      </c>
    </row>
    <row r="1645" spans="1:18" x14ac:dyDescent="0.25">
      <c r="A1645" s="25" t="s">
        <v>226</v>
      </c>
      <c r="B1645" s="26">
        <v>2016</v>
      </c>
      <c r="C1645" s="74" t="s">
        <v>225</v>
      </c>
      <c r="D1645" s="27">
        <v>0</v>
      </c>
      <c r="E1645" s="53">
        <v>0</v>
      </c>
      <c r="F1645" s="53">
        <v>0</v>
      </c>
      <c r="G1645" s="53">
        <v>0</v>
      </c>
      <c r="H1645" s="53">
        <v>0</v>
      </c>
      <c r="I1645" s="53">
        <v>0</v>
      </c>
      <c r="J1645" s="53">
        <v>0</v>
      </c>
      <c r="K1645" s="53">
        <v>0</v>
      </c>
      <c r="L1645" s="53">
        <v>0</v>
      </c>
      <c r="M1645" s="53">
        <v>0</v>
      </c>
      <c r="N1645" s="53">
        <v>0</v>
      </c>
      <c r="O1645" s="53">
        <v>0</v>
      </c>
      <c r="P1645" s="53">
        <v>0</v>
      </c>
      <c r="Q1645" s="53">
        <v>0</v>
      </c>
      <c r="R1645" s="53">
        <v>0</v>
      </c>
    </row>
    <row r="1646" spans="1:18" x14ac:dyDescent="0.25">
      <c r="A1646" s="25" t="s">
        <v>222</v>
      </c>
      <c r="B1646" s="26">
        <v>2016</v>
      </c>
      <c r="C1646" s="74" t="s">
        <v>221</v>
      </c>
      <c r="D1646" s="27">
        <v>0</v>
      </c>
      <c r="E1646" s="53">
        <v>0</v>
      </c>
      <c r="F1646" s="53">
        <v>0</v>
      </c>
      <c r="G1646" s="53">
        <v>0</v>
      </c>
      <c r="H1646" s="53">
        <v>0</v>
      </c>
      <c r="I1646" s="53">
        <v>0</v>
      </c>
      <c r="J1646" s="53">
        <v>0</v>
      </c>
      <c r="K1646" s="53">
        <v>0</v>
      </c>
      <c r="L1646" s="53">
        <v>0</v>
      </c>
      <c r="M1646" s="53">
        <v>0</v>
      </c>
      <c r="N1646" s="53">
        <v>0</v>
      </c>
      <c r="O1646" s="53">
        <v>0</v>
      </c>
      <c r="P1646" s="53">
        <v>0</v>
      </c>
      <c r="Q1646" s="53">
        <v>0</v>
      </c>
      <c r="R1646" s="53">
        <v>0</v>
      </c>
    </row>
    <row r="1647" spans="1:18" x14ac:dyDescent="0.25">
      <c r="A1647" s="25" t="s">
        <v>409</v>
      </c>
      <c r="B1647" s="26">
        <v>2016</v>
      </c>
      <c r="C1647" s="74" t="s">
        <v>408</v>
      </c>
      <c r="D1647" s="27">
        <v>0</v>
      </c>
      <c r="E1647" s="53">
        <v>0</v>
      </c>
      <c r="F1647" s="53">
        <v>0</v>
      </c>
      <c r="G1647" s="53">
        <v>0</v>
      </c>
      <c r="H1647" s="53">
        <v>0</v>
      </c>
      <c r="I1647" s="53">
        <v>0</v>
      </c>
      <c r="J1647" s="53">
        <v>0</v>
      </c>
      <c r="K1647" s="53">
        <v>0</v>
      </c>
      <c r="L1647" s="53">
        <v>0</v>
      </c>
      <c r="M1647" s="53">
        <v>0</v>
      </c>
      <c r="N1647" s="53">
        <v>0</v>
      </c>
      <c r="O1647" s="53">
        <v>0</v>
      </c>
      <c r="P1647" s="53">
        <v>0</v>
      </c>
      <c r="Q1647" s="53">
        <v>0</v>
      </c>
      <c r="R1647" s="53">
        <v>0</v>
      </c>
    </row>
    <row r="1648" spans="1:18" x14ac:dyDescent="0.25">
      <c r="A1648" s="25" t="s">
        <v>219</v>
      </c>
      <c r="B1648" s="26">
        <v>2016</v>
      </c>
      <c r="C1648" s="74" t="s">
        <v>408</v>
      </c>
      <c r="D1648" s="27">
        <v>0</v>
      </c>
      <c r="E1648" s="53">
        <v>0</v>
      </c>
      <c r="F1648" s="53">
        <v>0</v>
      </c>
      <c r="G1648" s="53">
        <v>0</v>
      </c>
      <c r="H1648" s="53">
        <v>0</v>
      </c>
      <c r="I1648" s="53">
        <v>0</v>
      </c>
      <c r="J1648" s="53">
        <v>0</v>
      </c>
      <c r="K1648" s="53">
        <v>0</v>
      </c>
      <c r="L1648" s="53">
        <v>0</v>
      </c>
      <c r="M1648" s="53">
        <v>0</v>
      </c>
      <c r="N1648" s="53">
        <v>0</v>
      </c>
      <c r="O1648" s="53">
        <v>0</v>
      </c>
      <c r="P1648" s="53">
        <v>0</v>
      </c>
      <c r="Q1648" s="53">
        <v>0</v>
      </c>
      <c r="R1648" s="53">
        <v>0</v>
      </c>
    </row>
    <row r="1649" spans="1:18" x14ac:dyDescent="0.25">
      <c r="A1649" s="25" t="s">
        <v>217</v>
      </c>
      <c r="B1649" s="26">
        <v>2016</v>
      </c>
      <c r="C1649" s="74" t="s">
        <v>216</v>
      </c>
      <c r="D1649" s="27">
        <v>0</v>
      </c>
      <c r="E1649" s="53">
        <v>0</v>
      </c>
      <c r="F1649" s="53">
        <v>0</v>
      </c>
      <c r="G1649" s="53">
        <v>0</v>
      </c>
      <c r="H1649" s="53">
        <v>0</v>
      </c>
      <c r="I1649" s="53">
        <v>0</v>
      </c>
      <c r="J1649" s="53">
        <v>0</v>
      </c>
      <c r="K1649" s="53">
        <v>0</v>
      </c>
      <c r="L1649" s="53">
        <v>0</v>
      </c>
      <c r="M1649" s="53">
        <v>0</v>
      </c>
      <c r="N1649" s="53">
        <v>0</v>
      </c>
      <c r="O1649" s="53">
        <v>0</v>
      </c>
      <c r="P1649" s="53">
        <v>0</v>
      </c>
      <c r="Q1649" s="53">
        <v>0</v>
      </c>
      <c r="R1649" s="53">
        <v>0</v>
      </c>
    </row>
    <row r="1650" spans="1:18" x14ac:dyDescent="0.25">
      <c r="A1650" s="25" t="s">
        <v>215</v>
      </c>
      <c r="B1650" s="26">
        <v>2016</v>
      </c>
      <c r="C1650" s="74" t="s">
        <v>214</v>
      </c>
      <c r="D1650" s="27">
        <v>0</v>
      </c>
      <c r="E1650" s="53">
        <v>0</v>
      </c>
      <c r="F1650" s="53">
        <v>0</v>
      </c>
      <c r="G1650" s="53">
        <v>0</v>
      </c>
      <c r="H1650" s="53">
        <v>0</v>
      </c>
      <c r="I1650" s="53">
        <v>0</v>
      </c>
      <c r="J1650" s="53">
        <v>0</v>
      </c>
      <c r="K1650" s="53">
        <v>0</v>
      </c>
      <c r="L1650" s="53">
        <v>0</v>
      </c>
      <c r="M1650" s="53">
        <v>0</v>
      </c>
      <c r="N1650" s="53">
        <v>0</v>
      </c>
      <c r="O1650" s="53">
        <v>0</v>
      </c>
      <c r="P1650" s="53">
        <v>0</v>
      </c>
      <c r="Q1650" s="53">
        <v>0</v>
      </c>
      <c r="R1650" s="53">
        <v>0</v>
      </c>
    </row>
    <row r="1651" spans="1:18" x14ac:dyDescent="0.25">
      <c r="A1651" s="25" t="s">
        <v>213</v>
      </c>
      <c r="B1651" s="26">
        <v>2016</v>
      </c>
      <c r="C1651" s="74" t="s">
        <v>212</v>
      </c>
      <c r="D1651" s="27">
        <v>0</v>
      </c>
      <c r="E1651" s="53">
        <v>0</v>
      </c>
      <c r="F1651" s="53">
        <v>0</v>
      </c>
      <c r="G1651" s="53">
        <v>0</v>
      </c>
      <c r="H1651" s="53">
        <v>0</v>
      </c>
      <c r="I1651" s="53">
        <v>0</v>
      </c>
      <c r="J1651" s="53">
        <v>0</v>
      </c>
      <c r="K1651" s="53">
        <v>0</v>
      </c>
      <c r="L1651" s="53">
        <v>0</v>
      </c>
      <c r="M1651" s="53">
        <v>0</v>
      </c>
      <c r="N1651" s="53">
        <v>0</v>
      </c>
      <c r="O1651" s="53">
        <v>0</v>
      </c>
      <c r="P1651" s="53">
        <v>0</v>
      </c>
      <c r="Q1651" s="53">
        <v>0</v>
      </c>
      <c r="R1651" s="53">
        <v>0</v>
      </c>
    </row>
    <row r="1652" spans="1:18" x14ac:dyDescent="0.25">
      <c r="A1652" s="25" t="s">
        <v>211</v>
      </c>
      <c r="B1652" s="26">
        <v>2016</v>
      </c>
      <c r="C1652" s="74" t="s">
        <v>210</v>
      </c>
      <c r="D1652" s="27">
        <v>0</v>
      </c>
      <c r="E1652" s="53">
        <v>0</v>
      </c>
      <c r="F1652" s="53">
        <v>0</v>
      </c>
      <c r="G1652" s="53">
        <v>0</v>
      </c>
      <c r="H1652" s="53">
        <v>0</v>
      </c>
      <c r="I1652" s="53">
        <v>0</v>
      </c>
      <c r="J1652" s="53">
        <v>0</v>
      </c>
      <c r="K1652" s="53">
        <v>0</v>
      </c>
      <c r="L1652" s="53">
        <v>0</v>
      </c>
      <c r="M1652" s="53">
        <v>0</v>
      </c>
      <c r="N1652" s="53">
        <v>0</v>
      </c>
      <c r="O1652" s="53">
        <v>0</v>
      </c>
      <c r="P1652" s="53">
        <v>0</v>
      </c>
      <c r="Q1652" s="53">
        <v>0</v>
      </c>
      <c r="R1652" s="53">
        <v>0</v>
      </c>
    </row>
    <row r="1653" spans="1:18" x14ac:dyDescent="0.25">
      <c r="A1653" s="25" t="s">
        <v>209</v>
      </c>
      <c r="B1653" s="26">
        <v>2016</v>
      </c>
      <c r="C1653" s="74" t="s">
        <v>208</v>
      </c>
      <c r="D1653" s="27">
        <v>0</v>
      </c>
      <c r="E1653" s="53">
        <v>0</v>
      </c>
      <c r="F1653" s="53">
        <v>0</v>
      </c>
      <c r="G1653" s="53">
        <v>0</v>
      </c>
      <c r="H1653" s="53">
        <v>0</v>
      </c>
      <c r="I1653" s="53">
        <v>0</v>
      </c>
      <c r="J1653" s="53">
        <v>0</v>
      </c>
      <c r="K1653" s="53">
        <v>0</v>
      </c>
      <c r="L1653" s="53">
        <v>0</v>
      </c>
      <c r="M1653" s="53">
        <v>0</v>
      </c>
      <c r="N1653" s="53">
        <v>0</v>
      </c>
      <c r="O1653" s="53">
        <v>0</v>
      </c>
      <c r="P1653" s="53">
        <v>0</v>
      </c>
      <c r="Q1653" s="53">
        <v>0</v>
      </c>
      <c r="R1653" s="53">
        <v>0</v>
      </c>
    </row>
    <row r="1654" spans="1:18" x14ac:dyDescent="0.25">
      <c r="A1654" s="25" t="s">
        <v>407</v>
      </c>
      <c r="B1654" s="26">
        <v>2016</v>
      </c>
      <c r="C1654" s="74" t="s">
        <v>406</v>
      </c>
      <c r="D1654" s="27">
        <v>0</v>
      </c>
      <c r="E1654" s="53">
        <v>0</v>
      </c>
      <c r="F1654" s="53">
        <v>0</v>
      </c>
      <c r="G1654" s="53">
        <v>0</v>
      </c>
      <c r="H1654" s="53">
        <v>0</v>
      </c>
      <c r="I1654" s="53">
        <v>0</v>
      </c>
      <c r="J1654" s="53">
        <v>0</v>
      </c>
      <c r="K1654" s="53">
        <v>0</v>
      </c>
      <c r="L1654" s="53">
        <v>0</v>
      </c>
      <c r="M1654" s="53">
        <v>0</v>
      </c>
      <c r="N1654" s="53">
        <v>0</v>
      </c>
      <c r="O1654" s="53">
        <v>0</v>
      </c>
      <c r="P1654" s="53">
        <v>0</v>
      </c>
      <c r="Q1654" s="53">
        <v>0</v>
      </c>
      <c r="R1654" s="53">
        <v>0</v>
      </c>
    </row>
    <row r="1655" spans="1:18" x14ac:dyDescent="0.25">
      <c r="A1655" s="25" t="s">
        <v>207</v>
      </c>
      <c r="B1655" s="26">
        <v>2016</v>
      </c>
      <c r="C1655" s="74" t="s">
        <v>206</v>
      </c>
      <c r="D1655" s="27">
        <v>0</v>
      </c>
      <c r="E1655" s="53">
        <v>0</v>
      </c>
      <c r="F1655" s="53">
        <v>0</v>
      </c>
      <c r="G1655" s="53">
        <v>0</v>
      </c>
      <c r="H1655" s="53">
        <v>0</v>
      </c>
      <c r="I1655" s="53">
        <v>0</v>
      </c>
      <c r="J1655" s="53">
        <v>0</v>
      </c>
      <c r="K1655" s="53">
        <v>0</v>
      </c>
      <c r="L1655" s="53">
        <v>0</v>
      </c>
      <c r="M1655" s="53">
        <v>0</v>
      </c>
      <c r="N1655" s="53">
        <v>0</v>
      </c>
      <c r="O1655" s="53">
        <v>0</v>
      </c>
      <c r="P1655" s="53">
        <v>0</v>
      </c>
      <c r="Q1655" s="53">
        <v>0</v>
      </c>
      <c r="R1655" s="53">
        <v>0</v>
      </c>
    </row>
    <row r="1656" spans="1:18" x14ac:dyDescent="0.25">
      <c r="A1656" s="25" t="s">
        <v>205</v>
      </c>
      <c r="B1656" s="26">
        <v>2016</v>
      </c>
      <c r="C1656" s="74" t="s">
        <v>204</v>
      </c>
      <c r="D1656" s="27">
        <v>0</v>
      </c>
      <c r="E1656" s="53">
        <v>0</v>
      </c>
      <c r="F1656" s="53">
        <v>0</v>
      </c>
      <c r="G1656" s="53">
        <v>0</v>
      </c>
      <c r="H1656" s="53">
        <v>0</v>
      </c>
      <c r="I1656" s="53">
        <v>0</v>
      </c>
      <c r="J1656" s="53">
        <v>0</v>
      </c>
      <c r="K1656" s="53">
        <v>0</v>
      </c>
      <c r="L1656" s="53">
        <v>0</v>
      </c>
      <c r="M1656" s="53">
        <v>0</v>
      </c>
      <c r="N1656" s="53">
        <v>0</v>
      </c>
      <c r="O1656" s="53">
        <v>0</v>
      </c>
      <c r="P1656" s="53">
        <v>0</v>
      </c>
      <c r="Q1656" s="53">
        <v>0</v>
      </c>
      <c r="R1656" s="53">
        <v>0</v>
      </c>
    </row>
    <row r="1657" spans="1:18" x14ac:dyDescent="0.25">
      <c r="A1657" s="25" t="s">
        <v>374</v>
      </c>
      <c r="B1657" s="26">
        <v>2016</v>
      </c>
      <c r="C1657" s="74" t="s">
        <v>405</v>
      </c>
      <c r="D1657" s="27">
        <v>0</v>
      </c>
      <c r="E1657" s="53">
        <v>0</v>
      </c>
      <c r="F1657" s="53">
        <v>0</v>
      </c>
      <c r="G1657" s="53">
        <v>0</v>
      </c>
      <c r="H1657" s="53">
        <v>0</v>
      </c>
      <c r="I1657" s="53">
        <v>0</v>
      </c>
      <c r="J1657" s="53">
        <v>0</v>
      </c>
      <c r="K1657" s="53">
        <v>0</v>
      </c>
      <c r="L1657" s="53">
        <v>0</v>
      </c>
      <c r="M1657" s="53">
        <v>0</v>
      </c>
      <c r="N1657" s="53">
        <v>0</v>
      </c>
      <c r="O1657" s="53">
        <v>0</v>
      </c>
      <c r="P1657" s="53">
        <v>0</v>
      </c>
      <c r="Q1657" s="53">
        <v>0</v>
      </c>
      <c r="R1657" s="53">
        <v>0</v>
      </c>
    </row>
    <row r="1658" spans="1:18" x14ac:dyDescent="0.25">
      <c r="A1658" s="25" t="s">
        <v>203</v>
      </c>
      <c r="B1658" s="26">
        <v>2016</v>
      </c>
      <c r="C1658" s="74" t="s">
        <v>202</v>
      </c>
      <c r="D1658" s="27">
        <v>0</v>
      </c>
      <c r="E1658" s="53">
        <v>0</v>
      </c>
      <c r="F1658" s="53">
        <v>0</v>
      </c>
      <c r="G1658" s="53">
        <v>0</v>
      </c>
      <c r="H1658" s="53">
        <v>0</v>
      </c>
      <c r="I1658" s="53">
        <v>0</v>
      </c>
      <c r="J1658" s="53">
        <v>0</v>
      </c>
      <c r="K1658" s="53">
        <v>0</v>
      </c>
      <c r="L1658" s="53">
        <v>0</v>
      </c>
      <c r="M1658" s="53">
        <v>0</v>
      </c>
      <c r="N1658" s="53">
        <v>0</v>
      </c>
      <c r="O1658" s="53">
        <v>0</v>
      </c>
      <c r="P1658" s="53">
        <v>0</v>
      </c>
      <c r="Q1658" s="53">
        <v>0</v>
      </c>
      <c r="R1658" s="53">
        <v>0</v>
      </c>
    </row>
    <row r="1659" spans="1:18" x14ac:dyDescent="0.25">
      <c r="A1659" s="25" t="s">
        <v>200</v>
      </c>
      <c r="B1659" s="26">
        <v>2016</v>
      </c>
      <c r="C1659" s="74" t="s">
        <v>199</v>
      </c>
      <c r="D1659" s="27">
        <v>0</v>
      </c>
      <c r="E1659" s="53">
        <v>0</v>
      </c>
      <c r="F1659" s="53">
        <v>0</v>
      </c>
      <c r="G1659" s="53">
        <v>0</v>
      </c>
      <c r="H1659" s="53">
        <v>0</v>
      </c>
      <c r="I1659" s="53">
        <v>0</v>
      </c>
      <c r="J1659" s="53">
        <v>0</v>
      </c>
      <c r="K1659" s="53">
        <v>0</v>
      </c>
      <c r="L1659" s="53">
        <v>0</v>
      </c>
      <c r="M1659" s="53">
        <v>0</v>
      </c>
      <c r="N1659" s="53">
        <v>0</v>
      </c>
      <c r="O1659" s="53">
        <v>0</v>
      </c>
      <c r="P1659" s="53">
        <v>0</v>
      </c>
      <c r="Q1659" s="53">
        <v>0</v>
      </c>
      <c r="R1659" s="53">
        <v>0</v>
      </c>
    </row>
    <row r="1660" spans="1:18" x14ac:dyDescent="0.25">
      <c r="A1660" s="25" t="s">
        <v>198</v>
      </c>
      <c r="B1660" s="26">
        <v>2016</v>
      </c>
      <c r="C1660" s="74" t="s">
        <v>197</v>
      </c>
      <c r="D1660" s="27">
        <v>0</v>
      </c>
      <c r="E1660" s="53">
        <v>0</v>
      </c>
      <c r="F1660" s="53">
        <v>0</v>
      </c>
      <c r="G1660" s="53">
        <v>0</v>
      </c>
      <c r="H1660" s="53">
        <v>0</v>
      </c>
      <c r="I1660" s="53">
        <v>0</v>
      </c>
      <c r="J1660" s="53">
        <v>0</v>
      </c>
      <c r="K1660" s="53">
        <v>0</v>
      </c>
      <c r="L1660" s="53">
        <v>0</v>
      </c>
      <c r="M1660" s="53">
        <v>0</v>
      </c>
      <c r="N1660" s="53">
        <v>0</v>
      </c>
      <c r="O1660" s="53">
        <v>0</v>
      </c>
      <c r="P1660" s="53">
        <v>0</v>
      </c>
      <c r="Q1660" s="53">
        <v>0</v>
      </c>
      <c r="R1660" s="53">
        <v>0</v>
      </c>
    </row>
    <row r="1661" spans="1:18" x14ac:dyDescent="0.25">
      <c r="A1661" s="25" t="s">
        <v>196</v>
      </c>
      <c r="B1661" s="26">
        <v>2016</v>
      </c>
      <c r="C1661" s="74" t="s">
        <v>195</v>
      </c>
      <c r="D1661" s="27">
        <v>0</v>
      </c>
      <c r="E1661" s="53">
        <v>0</v>
      </c>
      <c r="F1661" s="53">
        <v>0</v>
      </c>
      <c r="G1661" s="53">
        <v>0</v>
      </c>
      <c r="H1661" s="53">
        <v>0</v>
      </c>
      <c r="I1661" s="53">
        <v>0</v>
      </c>
      <c r="J1661" s="53">
        <v>0</v>
      </c>
      <c r="K1661" s="53">
        <v>0</v>
      </c>
      <c r="L1661" s="53">
        <v>0</v>
      </c>
      <c r="M1661" s="53">
        <v>0</v>
      </c>
      <c r="N1661" s="53">
        <v>0</v>
      </c>
      <c r="O1661" s="53">
        <v>0</v>
      </c>
      <c r="P1661" s="53">
        <v>0</v>
      </c>
      <c r="Q1661" s="53">
        <v>0</v>
      </c>
      <c r="R1661" s="53">
        <v>0</v>
      </c>
    </row>
    <row r="1662" spans="1:18" x14ac:dyDescent="0.25">
      <c r="A1662" s="25" t="s">
        <v>194</v>
      </c>
      <c r="B1662" s="26">
        <v>2016</v>
      </c>
      <c r="C1662" s="74" t="s">
        <v>193</v>
      </c>
      <c r="D1662" s="27">
        <v>0</v>
      </c>
      <c r="E1662" s="53">
        <v>0</v>
      </c>
      <c r="F1662" s="53">
        <v>0</v>
      </c>
      <c r="G1662" s="53">
        <v>0</v>
      </c>
      <c r="H1662" s="53">
        <v>0</v>
      </c>
      <c r="I1662" s="53">
        <v>0</v>
      </c>
      <c r="J1662" s="53">
        <v>0</v>
      </c>
      <c r="K1662" s="53">
        <v>0</v>
      </c>
      <c r="L1662" s="53">
        <v>0</v>
      </c>
      <c r="M1662" s="53">
        <v>0</v>
      </c>
      <c r="N1662" s="53">
        <v>0</v>
      </c>
      <c r="O1662" s="53">
        <v>0</v>
      </c>
      <c r="P1662" s="53">
        <v>0</v>
      </c>
      <c r="Q1662" s="53">
        <v>0</v>
      </c>
      <c r="R1662" s="53">
        <v>0</v>
      </c>
    </row>
    <row r="1663" spans="1:18" x14ac:dyDescent="0.25">
      <c r="A1663" s="25" t="s">
        <v>191</v>
      </c>
      <c r="B1663" s="26">
        <v>2016</v>
      </c>
      <c r="C1663" s="74" t="s">
        <v>190</v>
      </c>
      <c r="D1663" s="27">
        <v>0</v>
      </c>
      <c r="E1663" s="53">
        <v>0</v>
      </c>
      <c r="F1663" s="53">
        <v>0</v>
      </c>
      <c r="G1663" s="53">
        <v>0</v>
      </c>
      <c r="H1663" s="53">
        <v>0</v>
      </c>
      <c r="I1663" s="53">
        <v>0</v>
      </c>
      <c r="J1663" s="53">
        <v>0</v>
      </c>
      <c r="K1663" s="53">
        <v>0</v>
      </c>
      <c r="L1663" s="53">
        <v>0</v>
      </c>
      <c r="M1663" s="53">
        <v>0</v>
      </c>
      <c r="N1663" s="53">
        <v>0</v>
      </c>
      <c r="O1663" s="53">
        <v>0</v>
      </c>
      <c r="P1663" s="53">
        <v>0</v>
      </c>
      <c r="Q1663" s="53">
        <v>0</v>
      </c>
      <c r="R1663" s="53">
        <v>0</v>
      </c>
    </row>
    <row r="1664" spans="1:18" x14ac:dyDescent="0.25">
      <c r="A1664" s="25" t="s">
        <v>189</v>
      </c>
      <c r="B1664" s="26">
        <v>2016</v>
      </c>
      <c r="C1664" s="74" t="s">
        <v>188</v>
      </c>
      <c r="D1664" s="27">
        <v>0</v>
      </c>
      <c r="E1664" s="53">
        <v>0</v>
      </c>
      <c r="F1664" s="53">
        <v>0</v>
      </c>
      <c r="G1664" s="53">
        <v>0</v>
      </c>
      <c r="H1664" s="53">
        <v>0</v>
      </c>
      <c r="I1664" s="53">
        <v>0</v>
      </c>
      <c r="J1664" s="53">
        <v>0</v>
      </c>
      <c r="K1664" s="53">
        <v>0</v>
      </c>
      <c r="L1664" s="53">
        <v>0</v>
      </c>
      <c r="M1664" s="53">
        <v>0</v>
      </c>
      <c r="N1664" s="53">
        <v>0</v>
      </c>
      <c r="O1664" s="53">
        <v>0</v>
      </c>
      <c r="P1664" s="53">
        <v>0</v>
      </c>
      <c r="Q1664" s="53">
        <v>0</v>
      </c>
      <c r="R1664" s="53">
        <v>0</v>
      </c>
    </row>
    <row r="1665" spans="1:18" x14ac:dyDescent="0.25">
      <c r="A1665" s="25" t="s">
        <v>187</v>
      </c>
      <c r="B1665" s="26">
        <v>2016</v>
      </c>
      <c r="C1665" s="74" t="s">
        <v>186</v>
      </c>
      <c r="D1665" s="27">
        <v>0</v>
      </c>
      <c r="E1665" s="53">
        <v>0</v>
      </c>
      <c r="F1665" s="53">
        <v>0</v>
      </c>
      <c r="G1665" s="53">
        <v>0</v>
      </c>
      <c r="H1665" s="53">
        <v>0</v>
      </c>
      <c r="I1665" s="53">
        <v>0</v>
      </c>
      <c r="J1665" s="53">
        <v>0</v>
      </c>
      <c r="K1665" s="53">
        <v>0</v>
      </c>
      <c r="L1665" s="53">
        <v>0</v>
      </c>
      <c r="M1665" s="53">
        <v>0</v>
      </c>
      <c r="N1665" s="53">
        <v>0</v>
      </c>
      <c r="O1665" s="53">
        <v>0</v>
      </c>
      <c r="P1665" s="53">
        <v>0</v>
      </c>
      <c r="Q1665" s="53">
        <v>0</v>
      </c>
      <c r="R1665" s="53">
        <v>0</v>
      </c>
    </row>
    <row r="1666" spans="1:18" x14ac:dyDescent="0.25">
      <c r="A1666" s="25" t="s">
        <v>185</v>
      </c>
      <c r="B1666" s="26">
        <v>2016</v>
      </c>
      <c r="C1666" s="74" t="s">
        <v>184</v>
      </c>
      <c r="D1666" s="27">
        <v>0</v>
      </c>
      <c r="E1666" s="53">
        <v>0</v>
      </c>
      <c r="F1666" s="53">
        <v>0</v>
      </c>
      <c r="G1666" s="53">
        <v>0</v>
      </c>
      <c r="H1666" s="53">
        <v>0</v>
      </c>
      <c r="I1666" s="53">
        <v>0</v>
      </c>
      <c r="J1666" s="53">
        <v>0</v>
      </c>
      <c r="K1666" s="53">
        <v>0</v>
      </c>
      <c r="L1666" s="53">
        <v>0</v>
      </c>
      <c r="M1666" s="53">
        <v>0</v>
      </c>
      <c r="N1666" s="53">
        <v>0</v>
      </c>
      <c r="O1666" s="53">
        <v>0</v>
      </c>
      <c r="P1666" s="53">
        <v>0</v>
      </c>
      <c r="Q1666" s="53">
        <v>0</v>
      </c>
      <c r="R1666" s="53">
        <v>0</v>
      </c>
    </row>
    <row r="1667" spans="1:18" x14ac:dyDescent="0.25">
      <c r="A1667" s="25" t="s">
        <v>183</v>
      </c>
      <c r="B1667" s="26">
        <v>2016</v>
      </c>
      <c r="C1667" s="74" t="s">
        <v>182</v>
      </c>
      <c r="D1667" s="27">
        <v>0</v>
      </c>
      <c r="E1667" s="53">
        <v>0</v>
      </c>
      <c r="F1667" s="53">
        <v>0</v>
      </c>
      <c r="G1667" s="53">
        <v>0</v>
      </c>
      <c r="H1667" s="53">
        <v>0</v>
      </c>
      <c r="I1667" s="53">
        <v>0</v>
      </c>
      <c r="J1667" s="53">
        <v>0</v>
      </c>
      <c r="K1667" s="53">
        <v>0</v>
      </c>
      <c r="L1667" s="53">
        <v>0</v>
      </c>
      <c r="M1667" s="53">
        <v>0</v>
      </c>
      <c r="N1667" s="53">
        <v>0</v>
      </c>
      <c r="O1667" s="53">
        <v>0</v>
      </c>
      <c r="P1667" s="53">
        <v>0</v>
      </c>
      <c r="Q1667" s="53">
        <v>0</v>
      </c>
      <c r="R1667" s="53">
        <v>0</v>
      </c>
    </row>
    <row r="1668" spans="1:18" x14ac:dyDescent="0.25">
      <c r="A1668" s="25" t="s">
        <v>178</v>
      </c>
      <c r="B1668" s="26">
        <v>2016</v>
      </c>
      <c r="C1668" s="74" t="s">
        <v>177</v>
      </c>
      <c r="D1668" s="27">
        <v>0</v>
      </c>
      <c r="E1668" s="53">
        <v>0</v>
      </c>
      <c r="F1668" s="53">
        <v>0</v>
      </c>
      <c r="G1668" s="53">
        <v>0</v>
      </c>
      <c r="H1668" s="53">
        <v>0</v>
      </c>
      <c r="I1668" s="53">
        <v>0</v>
      </c>
      <c r="J1668" s="53">
        <v>0</v>
      </c>
      <c r="K1668" s="53">
        <v>0</v>
      </c>
      <c r="L1668" s="53">
        <v>0</v>
      </c>
      <c r="M1668" s="53">
        <v>0</v>
      </c>
      <c r="N1668" s="53">
        <v>0</v>
      </c>
      <c r="O1668" s="53">
        <v>0</v>
      </c>
      <c r="P1668" s="53">
        <v>0</v>
      </c>
      <c r="Q1668" s="53">
        <v>0</v>
      </c>
      <c r="R1668" s="53">
        <v>0</v>
      </c>
    </row>
    <row r="1669" spans="1:18" x14ac:dyDescent="0.25">
      <c r="A1669" s="25" t="s">
        <v>373</v>
      </c>
      <c r="B1669" s="26">
        <v>2016</v>
      </c>
      <c r="C1669" s="74" t="s">
        <v>404</v>
      </c>
      <c r="D1669" s="27">
        <v>0</v>
      </c>
      <c r="E1669" s="53">
        <v>0</v>
      </c>
      <c r="F1669" s="53">
        <v>0</v>
      </c>
      <c r="G1669" s="53">
        <v>0</v>
      </c>
      <c r="H1669" s="53">
        <v>0</v>
      </c>
      <c r="I1669" s="53">
        <v>0</v>
      </c>
      <c r="J1669" s="53">
        <v>0</v>
      </c>
      <c r="K1669" s="53">
        <v>0</v>
      </c>
      <c r="L1669" s="53">
        <v>0</v>
      </c>
      <c r="M1669" s="53">
        <v>0</v>
      </c>
      <c r="N1669" s="53">
        <v>0</v>
      </c>
      <c r="O1669" s="53">
        <v>0</v>
      </c>
      <c r="P1669" s="53">
        <v>0</v>
      </c>
      <c r="Q1669" s="53">
        <v>0</v>
      </c>
      <c r="R1669" s="53">
        <v>0</v>
      </c>
    </row>
    <row r="1670" spans="1:18" x14ac:dyDescent="0.25">
      <c r="A1670" s="25" t="s">
        <v>176</v>
      </c>
      <c r="B1670" s="26">
        <v>2016</v>
      </c>
      <c r="C1670" s="74" t="s">
        <v>175</v>
      </c>
      <c r="D1670" s="27">
        <v>0</v>
      </c>
      <c r="E1670" s="53">
        <v>0</v>
      </c>
      <c r="F1670" s="53">
        <v>0</v>
      </c>
      <c r="G1670" s="53">
        <v>0</v>
      </c>
      <c r="H1670" s="53">
        <v>0</v>
      </c>
      <c r="I1670" s="53">
        <v>0</v>
      </c>
      <c r="J1670" s="53">
        <v>0</v>
      </c>
      <c r="K1670" s="53">
        <v>0</v>
      </c>
      <c r="L1670" s="53">
        <v>0</v>
      </c>
      <c r="M1670" s="53">
        <v>0</v>
      </c>
      <c r="N1670" s="53">
        <v>0</v>
      </c>
      <c r="O1670" s="53">
        <v>0</v>
      </c>
      <c r="P1670" s="53">
        <v>0</v>
      </c>
      <c r="Q1670" s="53">
        <v>0</v>
      </c>
      <c r="R1670" s="53">
        <v>0</v>
      </c>
    </row>
    <row r="1671" spans="1:18" x14ac:dyDescent="0.25">
      <c r="A1671" s="25" t="s">
        <v>174</v>
      </c>
      <c r="B1671" s="26">
        <v>2016</v>
      </c>
      <c r="C1671" s="74" t="s">
        <v>173</v>
      </c>
      <c r="D1671" s="27">
        <v>0</v>
      </c>
      <c r="E1671" s="53">
        <v>0</v>
      </c>
      <c r="F1671" s="53">
        <v>0</v>
      </c>
      <c r="G1671" s="53">
        <v>0</v>
      </c>
      <c r="H1671" s="53">
        <v>0</v>
      </c>
      <c r="I1671" s="53">
        <v>0</v>
      </c>
      <c r="J1671" s="53">
        <v>0</v>
      </c>
      <c r="K1671" s="53">
        <v>0</v>
      </c>
      <c r="L1671" s="53">
        <v>0</v>
      </c>
      <c r="M1671" s="53">
        <v>0</v>
      </c>
      <c r="N1671" s="53">
        <v>0</v>
      </c>
      <c r="O1671" s="53">
        <v>0</v>
      </c>
      <c r="P1671" s="53">
        <v>0</v>
      </c>
      <c r="Q1671" s="53">
        <v>0</v>
      </c>
      <c r="R1671" s="53">
        <v>0</v>
      </c>
    </row>
    <row r="1672" spans="1:18" x14ac:dyDescent="0.25">
      <c r="A1672" s="25" t="s">
        <v>172</v>
      </c>
      <c r="B1672" s="26">
        <v>2016</v>
      </c>
      <c r="C1672" s="74" t="s">
        <v>171</v>
      </c>
      <c r="D1672" s="27">
        <v>0</v>
      </c>
      <c r="E1672" s="53">
        <v>0</v>
      </c>
      <c r="F1672" s="53">
        <v>0</v>
      </c>
      <c r="G1672" s="53">
        <v>0</v>
      </c>
      <c r="H1672" s="53">
        <v>0</v>
      </c>
      <c r="I1672" s="53">
        <v>0</v>
      </c>
      <c r="J1672" s="53">
        <v>0</v>
      </c>
      <c r="K1672" s="53">
        <v>0</v>
      </c>
      <c r="L1672" s="53">
        <v>0</v>
      </c>
      <c r="M1672" s="53">
        <v>0</v>
      </c>
      <c r="N1672" s="53">
        <v>0</v>
      </c>
      <c r="O1672" s="53">
        <v>0</v>
      </c>
      <c r="P1672" s="53">
        <v>0</v>
      </c>
      <c r="Q1672" s="53">
        <v>0</v>
      </c>
      <c r="R1672" s="53">
        <v>0</v>
      </c>
    </row>
    <row r="1673" spans="1:18" x14ac:dyDescent="0.25">
      <c r="A1673" s="25" t="s">
        <v>170</v>
      </c>
      <c r="B1673" s="26">
        <v>2016</v>
      </c>
      <c r="C1673" s="74" t="s">
        <v>168</v>
      </c>
      <c r="D1673" s="27">
        <v>0</v>
      </c>
      <c r="E1673" s="53">
        <v>0</v>
      </c>
      <c r="F1673" s="53">
        <v>0</v>
      </c>
      <c r="G1673" s="53">
        <v>0</v>
      </c>
      <c r="H1673" s="53">
        <v>0</v>
      </c>
      <c r="I1673" s="53">
        <v>0</v>
      </c>
      <c r="J1673" s="53">
        <v>0</v>
      </c>
      <c r="K1673" s="53">
        <v>0</v>
      </c>
      <c r="L1673" s="53">
        <v>0</v>
      </c>
      <c r="M1673" s="53">
        <v>0</v>
      </c>
      <c r="N1673" s="53">
        <v>0</v>
      </c>
      <c r="O1673" s="53">
        <v>0</v>
      </c>
      <c r="P1673" s="53">
        <v>0</v>
      </c>
      <c r="Q1673" s="53">
        <v>0</v>
      </c>
      <c r="R1673" s="53">
        <v>0</v>
      </c>
    </row>
    <row r="1674" spans="1:18" x14ac:dyDescent="0.25">
      <c r="A1674" s="25" t="s">
        <v>167</v>
      </c>
      <c r="B1674" s="26">
        <v>2016</v>
      </c>
      <c r="C1674" s="74" t="s">
        <v>166</v>
      </c>
      <c r="D1674" s="27">
        <v>0</v>
      </c>
      <c r="E1674" s="53">
        <v>0</v>
      </c>
      <c r="F1674" s="53">
        <v>0</v>
      </c>
      <c r="G1674" s="53">
        <v>0</v>
      </c>
      <c r="H1674" s="53">
        <v>0</v>
      </c>
      <c r="I1674" s="53">
        <v>0</v>
      </c>
      <c r="J1674" s="53">
        <v>0</v>
      </c>
      <c r="K1674" s="53">
        <v>0</v>
      </c>
      <c r="L1674" s="53">
        <v>0</v>
      </c>
      <c r="M1674" s="53">
        <v>0</v>
      </c>
      <c r="N1674" s="53">
        <v>0</v>
      </c>
      <c r="O1674" s="53">
        <v>0</v>
      </c>
      <c r="P1674" s="53">
        <v>0</v>
      </c>
      <c r="Q1674" s="53">
        <v>0</v>
      </c>
      <c r="R1674" s="53">
        <v>0</v>
      </c>
    </row>
    <row r="1675" spans="1:18" x14ac:dyDescent="0.25">
      <c r="A1675" s="25" t="s">
        <v>165</v>
      </c>
      <c r="B1675" s="26">
        <v>2016</v>
      </c>
      <c r="C1675" s="74" t="s">
        <v>164</v>
      </c>
      <c r="D1675" s="27">
        <v>0</v>
      </c>
      <c r="E1675" s="53">
        <v>0</v>
      </c>
      <c r="F1675" s="53">
        <v>0</v>
      </c>
      <c r="G1675" s="53">
        <v>0</v>
      </c>
      <c r="H1675" s="53">
        <v>0</v>
      </c>
      <c r="I1675" s="53">
        <v>0</v>
      </c>
      <c r="J1675" s="53">
        <v>0</v>
      </c>
      <c r="K1675" s="53">
        <v>0</v>
      </c>
      <c r="L1675" s="53">
        <v>0</v>
      </c>
      <c r="M1675" s="53">
        <v>0</v>
      </c>
      <c r="N1675" s="53">
        <v>0</v>
      </c>
      <c r="O1675" s="53">
        <v>0</v>
      </c>
      <c r="P1675" s="53">
        <v>0</v>
      </c>
      <c r="Q1675" s="53">
        <v>0</v>
      </c>
      <c r="R1675" s="53">
        <v>0</v>
      </c>
    </row>
    <row r="1676" spans="1:18" x14ac:dyDescent="0.25">
      <c r="A1676" s="25" t="s">
        <v>163</v>
      </c>
      <c r="B1676" s="26">
        <v>2016</v>
      </c>
      <c r="C1676" s="74" t="s">
        <v>162</v>
      </c>
      <c r="D1676" s="27">
        <v>0</v>
      </c>
      <c r="E1676" s="53">
        <v>0</v>
      </c>
      <c r="F1676" s="53">
        <v>0</v>
      </c>
      <c r="G1676" s="53">
        <v>0</v>
      </c>
      <c r="H1676" s="53">
        <v>0</v>
      </c>
      <c r="I1676" s="53">
        <v>0</v>
      </c>
      <c r="J1676" s="53">
        <v>0</v>
      </c>
      <c r="K1676" s="53">
        <v>0</v>
      </c>
      <c r="L1676" s="53">
        <v>0</v>
      </c>
      <c r="M1676" s="53">
        <v>0</v>
      </c>
      <c r="N1676" s="53">
        <v>0</v>
      </c>
      <c r="O1676" s="53">
        <v>0</v>
      </c>
      <c r="P1676" s="53">
        <v>0</v>
      </c>
      <c r="Q1676" s="53">
        <v>0</v>
      </c>
      <c r="R1676" s="53">
        <v>0</v>
      </c>
    </row>
    <row r="1677" spans="1:18" x14ac:dyDescent="0.25">
      <c r="A1677" s="25" t="s">
        <v>161</v>
      </c>
      <c r="B1677" s="26">
        <v>2016</v>
      </c>
      <c r="C1677" s="74" t="s">
        <v>160</v>
      </c>
      <c r="D1677" s="27">
        <v>0</v>
      </c>
      <c r="E1677" s="53">
        <v>0</v>
      </c>
      <c r="F1677" s="53">
        <v>0</v>
      </c>
      <c r="G1677" s="53">
        <v>0</v>
      </c>
      <c r="H1677" s="53">
        <v>0</v>
      </c>
      <c r="I1677" s="53">
        <v>0</v>
      </c>
      <c r="J1677" s="53">
        <v>0</v>
      </c>
      <c r="K1677" s="53">
        <v>0</v>
      </c>
      <c r="L1677" s="53">
        <v>0</v>
      </c>
      <c r="M1677" s="53">
        <v>0</v>
      </c>
      <c r="N1677" s="53">
        <v>0</v>
      </c>
      <c r="O1677" s="53">
        <v>0</v>
      </c>
      <c r="P1677" s="53">
        <v>0</v>
      </c>
      <c r="Q1677" s="53">
        <v>0</v>
      </c>
      <c r="R1677" s="53">
        <v>0</v>
      </c>
    </row>
    <row r="1678" spans="1:18" x14ac:dyDescent="0.25">
      <c r="A1678" s="25" t="s">
        <v>159</v>
      </c>
      <c r="B1678" s="26">
        <v>2016</v>
      </c>
      <c r="C1678" s="74" t="s">
        <v>158</v>
      </c>
      <c r="D1678" s="27">
        <v>0</v>
      </c>
      <c r="E1678" s="53">
        <v>0</v>
      </c>
      <c r="F1678" s="53">
        <v>0</v>
      </c>
      <c r="G1678" s="53">
        <v>0</v>
      </c>
      <c r="H1678" s="53">
        <v>0</v>
      </c>
      <c r="I1678" s="53">
        <v>0</v>
      </c>
      <c r="J1678" s="53">
        <v>0</v>
      </c>
      <c r="K1678" s="53">
        <v>0</v>
      </c>
      <c r="L1678" s="53">
        <v>0</v>
      </c>
      <c r="M1678" s="53">
        <v>0</v>
      </c>
      <c r="N1678" s="53">
        <v>0</v>
      </c>
      <c r="O1678" s="53">
        <v>0</v>
      </c>
      <c r="P1678" s="53">
        <v>0</v>
      </c>
      <c r="Q1678" s="53">
        <v>0</v>
      </c>
      <c r="R1678" s="53">
        <v>0</v>
      </c>
    </row>
    <row r="1679" spans="1:18" x14ac:dyDescent="0.25">
      <c r="A1679" s="25" t="s">
        <v>157</v>
      </c>
      <c r="B1679" s="26">
        <v>2016</v>
      </c>
      <c r="C1679" s="74" t="s">
        <v>156</v>
      </c>
      <c r="D1679" s="27">
        <v>0</v>
      </c>
      <c r="E1679" s="53">
        <v>0</v>
      </c>
      <c r="F1679" s="53">
        <v>0</v>
      </c>
      <c r="G1679" s="53">
        <v>0</v>
      </c>
      <c r="H1679" s="53">
        <v>0</v>
      </c>
      <c r="I1679" s="53">
        <v>0</v>
      </c>
      <c r="J1679" s="53">
        <v>0</v>
      </c>
      <c r="K1679" s="53">
        <v>0</v>
      </c>
      <c r="L1679" s="53">
        <v>0</v>
      </c>
      <c r="M1679" s="53">
        <v>0</v>
      </c>
      <c r="N1679" s="53">
        <v>0</v>
      </c>
      <c r="O1679" s="53">
        <v>0</v>
      </c>
      <c r="P1679" s="53">
        <v>0</v>
      </c>
      <c r="Q1679" s="53">
        <v>0</v>
      </c>
      <c r="R1679" s="53">
        <v>0</v>
      </c>
    </row>
    <row r="1680" spans="1:18" x14ac:dyDescent="0.25">
      <c r="A1680" s="25" t="s">
        <v>153</v>
      </c>
      <c r="B1680" s="26">
        <v>2016</v>
      </c>
      <c r="C1680" s="74" t="s">
        <v>151</v>
      </c>
      <c r="D1680" s="27">
        <v>0</v>
      </c>
      <c r="E1680" s="53">
        <v>0</v>
      </c>
      <c r="F1680" s="53">
        <v>0</v>
      </c>
      <c r="G1680" s="53">
        <v>0</v>
      </c>
      <c r="H1680" s="53">
        <v>0</v>
      </c>
      <c r="I1680" s="53">
        <v>0</v>
      </c>
      <c r="J1680" s="53">
        <v>0</v>
      </c>
      <c r="K1680" s="53">
        <v>0</v>
      </c>
      <c r="L1680" s="53">
        <v>0</v>
      </c>
      <c r="M1680" s="53">
        <v>0</v>
      </c>
      <c r="N1680" s="53">
        <v>0</v>
      </c>
      <c r="O1680" s="53">
        <v>0</v>
      </c>
      <c r="P1680" s="53">
        <v>0</v>
      </c>
      <c r="Q1680" s="53">
        <v>0</v>
      </c>
      <c r="R1680" s="53">
        <v>0</v>
      </c>
    </row>
    <row r="1681" spans="1:18" x14ac:dyDescent="0.25">
      <c r="A1681" s="25" t="s">
        <v>150</v>
      </c>
      <c r="B1681" s="26">
        <v>2016</v>
      </c>
      <c r="C1681" s="74" t="s">
        <v>149</v>
      </c>
      <c r="D1681" s="27">
        <v>0</v>
      </c>
      <c r="E1681" s="53">
        <v>0</v>
      </c>
      <c r="F1681" s="53">
        <v>0</v>
      </c>
      <c r="G1681" s="53">
        <v>0</v>
      </c>
      <c r="H1681" s="53">
        <v>0</v>
      </c>
      <c r="I1681" s="53">
        <v>0</v>
      </c>
      <c r="J1681" s="53">
        <v>0</v>
      </c>
      <c r="K1681" s="53">
        <v>0</v>
      </c>
      <c r="L1681" s="53">
        <v>0</v>
      </c>
      <c r="M1681" s="53">
        <v>0</v>
      </c>
      <c r="N1681" s="53">
        <v>0</v>
      </c>
      <c r="O1681" s="53">
        <v>0</v>
      </c>
      <c r="P1681" s="53">
        <v>0</v>
      </c>
      <c r="Q1681" s="53">
        <v>0</v>
      </c>
      <c r="R1681" s="53">
        <v>0</v>
      </c>
    </row>
    <row r="1682" spans="1:18" x14ac:dyDescent="0.25">
      <c r="A1682" s="25" t="s">
        <v>147</v>
      </c>
      <c r="B1682" s="26">
        <v>2016</v>
      </c>
      <c r="C1682" s="74" t="s">
        <v>146</v>
      </c>
      <c r="D1682" s="27">
        <v>0</v>
      </c>
      <c r="E1682" s="53">
        <v>0</v>
      </c>
      <c r="F1682" s="53">
        <v>0</v>
      </c>
      <c r="G1682" s="53">
        <v>0</v>
      </c>
      <c r="H1682" s="53">
        <v>0</v>
      </c>
      <c r="I1682" s="53">
        <v>0</v>
      </c>
      <c r="J1682" s="53">
        <v>0</v>
      </c>
      <c r="K1682" s="53">
        <v>0</v>
      </c>
      <c r="L1682" s="53">
        <v>0</v>
      </c>
      <c r="M1682" s="53">
        <v>0</v>
      </c>
      <c r="N1682" s="53">
        <v>0</v>
      </c>
      <c r="O1682" s="53">
        <v>0</v>
      </c>
      <c r="P1682" s="53">
        <v>0</v>
      </c>
      <c r="Q1682" s="53">
        <v>0</v>
      </c>
      <c r="R1682" s="53">
        <v>0</v>
      </c>
    </row>
    <row r="1683" spans="1:18" x14ac:dyDescent="0.25">
      <c r="A1683" s="25" t="s">
        <v>144</v>
      </c>
      <c r="B1683" s="26">
        <v>2016</v>
      </c>
      <c r="C1683" s="74" t="s">
        <v>143</v>
      </c>
      <c r="D1683" s="27">
        <v>0</v>
      </c>
      <c r="E1683" s="53">
        <v>0</v>
      </c>
      <c r="F1683" s="53">
        <v>0</v>
      </c>
      <c r="G1683" s="53">
        <v>0</v>
      </c>
      <c r="H1683" s="53">
        <v>0</v>
      </c>
      <c r="I1683" s="53">
        <v>0</v>
      </c>
      <c r="J1683" s="53">
        <v>0</v>
      </c>
      <c r="K1683" s="53">
        <v>0</v>
      </c>
      <c r="L1683" s="53">
        <v>0</v>
      </c>
      <c r="M1683" s="53">
        <v>0</v>
      </c>
      <c r="N1683" s="53">
        <v>0</v>
      </c>
      <c r="O1683" s="53">
        <v>0</v>
      </c>
      <c r="P1683" s="53">
        <v>0</v>
      </c>
      <c r="Q1683" s="53">
        <v>0</v>
      </c>
      <c r="R1683" s="53">
        <v>0</v>
      </c>
    </row>
    <row r="1684" spans="1:18" x14ac:dyDescent="0.25">
      <c r="A1684" s="25" t="s">
        <v>142</v>
      </c>
      <c r="B1684" s="26">
        <v>2016</v>
      </c>
      <c r="C1684" s="74" t="s">
        <v>141</v>
      </c>
      <c r="D1684" s="27">
        <v>0</v>
      </c>
      <c r="E1684" s="53">
        <v>0</v>
      </c>
      <c r="F1684" s="53">
        <v>0</v>
      </c>
      <c r="G1684" s="53">
        <v>0</v>
      </c>
      <c r="H1684" s="53">
        <v>0</v>
      </c>
      <c r="I1684" s="53">
        <v>0</v>
      </c>
      <c r="J1684" s="53">
        <v>0</v>
      </c>
      <c r="K1684" s="53">
        <v>0</v>
      </c>
      <c r="L1684" s="53">
        <v>0</v>
      </c>
      <c r="M1684" s="53">
        <v>0</v>
      </c>
      <c r="N1684" s="53">
        <v>0</v>
      </c>
      <c r="O1684" s="53">
        <v>0</v>
      </c>
      <c r="P1684" s="53">
        <v>0</v>
      </c>
      <c r="Q1684" s="53">
        <v>0</v>
      </c>
      <c r="R1684" s="53">
        <v>0</v>
      </c>
    </row>
    <row r="1685" spans="1:18" x14ac:dyDescent="0.25">
      <c r="A1685" s="25" t="s">
        <v>403</v>
      </c>
      <c r="B1685" s="26">
        <v>2016</v>
      </c>
      <c r="C1685" s="74" t="s">
        <v>400</v>
      </c>
      <c r="D1685" s="27">
        <v>0</v>
      </c>
      <c r="E1685" s="53">
        <v>0</v>
      </c>
      <c r="F1685" s="53">
        <v>0</v>
      </c>
      <c r="G1685" s="53">
        <v>0</v>
      </c>
      <c r="H1685" s="53">
        <v>0</v>
      </c>
      <c r="I1685" s="53">
        <v>0</v>
      </c>
      <c r="J1685" s="53">
        <v>0</v>
      </c>
      <c r="K1685" s="53">
        <v>0</v>
      </c>
      <c r="L1685" s="53">
        <v>0</v>
      </c>
      <c r="M1685" s="53">
        <v>0</v>
      </c>
      <c r="N1685" s="53">
        <v>0</v>
      </c>
      <c r="O1685" s="53">
        <v>0</v>
      </c>
      <c r="P1685" s="53">
        <v>0</v>
      </c>
      <c r="Q1685" s="53">
        <v>0</v>
      </c>
      <c r="R1685" s="53">
        <v>0</v>
      </c>
    </row>
    <row r="1686" spans="1:18" x14ac:dyDescent="0.25">
      <c r="A1686" s="25" t="s">
        <v>402</v>
      </c>
      <c r="B1686" s="26">
        <v>2016</v>
      </c>
      <c r="C1686" s="74" t="s">
        <v>399</v>
      </c>
      <c r="D1686" s="27">
        <v>0</v>
      </c>
      <c r="E1686" s="53">
        <v>0</v>
      </c>
      <c r="F1686" s="53">
        <v>0</v>
      </c>
      <c r="G1686" s="53">
        <v>0</v>
      </c>
      <c r="H1686" s="53">
        <v>0</v>
      </c>
      <c r="I1686" s="53">
        <v>0</v>
      </c>
      <c r="J1686" s="53">
        <v>0</v>
      </c>
      <c r="K1686" s="53">
        <v>0</v>
      </c>
      <c r="L1686" s="53">
        <v>0</v>
      </c>
      <c r="M1686" s="53">
        <v>0</v>
      </c>
      <c r="N1686" s="53">
        <v>0</v>
      </c>
      <c r="O1686" s="53">
        <v>0</v>
      </c>
      <c r="P1686" s="53">
        <v>0</v>
      </c>
      <c r="Q1686" s="53">
        <v>0</v>
      </c>
      <c r="R1686" s="53">
        <v>0</v>
      </c>
    </row>
    <row r="1687" spans="1:18" x14ac:dyDescent="0.25">
      <c r="A1687" s="25" t="s">
        <v>140</v>
      </c>
      <c r="B1687" s="26">
        <v>2016</v>
      </c>
      <c r="C1687" s="74" t="s">
        <v>139</v>
      </c>
      <c r="D1687" s="27">
        <v>0</v>
      </c>
      <c r="E1687" s="53">
        <v>0</v>
      </c>
      <c r="F1687" s="53">
        <v>0</v>
      </c>
      <c r="G1687" s="53">
        <v>0</v>
      </c>
      <c r="H1687" s="53">
        <v>0</v>
      </c>
      <c r="I1687" s="53">
        <v>0</v>
      </c>
      <c r="J1687" s="53">
        <v>0</v>
      </c>
      <c r="K1687" s="53">
        <v>0</v>
      </c>
      <c r="L1687" s="53">
        <v>0</v>
      </c>
      <c r="M1687" s="53">
        <v>0</v>
      </c>
      <c r="N1687" s="53">
        <v>0</v>
      </c>
      <c r="O1687" s="53">
        <v>0</v>
      </c>
      <c r="P1687" s="53">
        <v>0</v>
      </c>
      <c r="Q1687" s="53">
        <v>0</v>
      </c>
      <c r="R1687" s="53">
        <v>0</v>
      </c>
    </row>
    <row r="1688" spans="1:18" x14ac:dyDescent="0.25">
      <c r="A1688" s="25" t="s">
        <v>372</v>
      </c>
      <c r="B1688" s="26">
        <v>2016</v>
      </c>
      <c r="C1688" s="74" t="s">
        <v>398</v>
      </c>
      <c r="D1688" s="27">
        <v>0</v>
      </c>
      <c r="E1688" s="53">
        <v>0</v>
      </c>
      <c r="F1688" s="53">
        <v>0</v>
      </c>
      <c r="G1688" s="53">
        <v>0</v>
      </c>
      <c r="H1688" s="53">
        <v>0</v>
      </c>
      <c r="I1688" s="53">
        <v>0</v>
      </c>
      <c r="J1688" s="53">
        <v>0</v>
      </c>
      <c r="K1688" s="53">
        <v>0</v>
      </c>
      <c r="L1688" s="53">
        <v>0</v>
      </c>
      <c r="M1688" s="53">
        <v>0</v>
      </c>
      <c r="N1688" s="53">
        <v>0</v>
      </c>
      <c r="O1688" s="53">
        <v>0</v>
      </c>
      <c r="P1688" s="53">
        <v>0</v>
      </c>
      <c r="Q1688" s="53">
        <v>0</v>
      </c>
      <c r="R1688" s="53">
        <v>0</v>
      </c>
    </row>
    <row r="1689" spans="1:18" x14ac:dyDescent="0.25">
      <c r="A1689" s="25" t="s">
        <v>138</v>
      </c>
      <c r="B1689" s="26">
        <v>2016</v>
      </c>
      <c r="C1689" s="74" t="s">
        <v>137</v>
      </c>
      <c r="D1689" s="27">
        <v>0</v>
      </c>
      <c r="E1689" s="53">
        <v>0</v>
      </c>
      <c r="F1689" s="53">
        <v>0</v>
      </c>
      <c r="G1689" s="53">
        <v>0</v>
      </c>
      <c r="H1689" s="53">
        <v>0</v>
      </c>
      <c r="I1689" s="53">
        <v>0</v>
      </c>
      <c r="J1689" s="53">
        <v>0</v>
      </c>
      <c r="K1689" s="53">
        <v>0</v>
      </c>
      <c r="L1689" s="53">
        <v>0</v>
      </c>
      <c r="M1689" s="53">
        <v>0</v>
      </c>
      <c r="N1689" s="53">
        <v>0</v>
      </c>
      <c r="O1689" s="53">
        <v>0</v>
      </c>
      <c r="P1689" s="53">
        <v>0</v>
      </c>
      <c r="Q1689" s="53">
        <v>0</v>
      </c>
      <c r="R1689" s="53">
        <v>0</v>
      </c>
    </row>
    <row r="1690" spans="1:18" x14ac:dyDescent="0.25">
      <c r="A1690" s="25" t="s">
        <v>136</v>
      </c>
      <c r="B1690" s="26">
        <v>2016</v>
      </c>
      <c r="C1690" s="74" t="s">
        <v>135</v>
      </c>
      <c r="D1690" s="27">
        <v>0</v>
      </c>
      <c r="E1690" s="53">
        <v>0</v>
      </c>
      <c r="F1690" s="53">
        <v>0</v>
      </c>
      <c r="G1690" s="53">
        <v>0</v>
      </c>
      <c r="H1690" s="53">
        <v>0</v>
      </c>
      <c r="I1690" s="53">
        <v>0</v>
      </c>
      <c r="J1690" s="53">
        <v>0</v>
      </c>
      <c r="K1690" s="53">
        <v>0</v>
      </c>
      <c r="L1690" s="53">
        <v>0</v>
      </c>
      <c r="M1690" s="53">
        <v>0</v>
      </c>
      <c r="N1690" s="53">
        <v>0</v>
      </c>
      <c r="O1690" s="53">
        <v>0</v>
      </c>
      <c r="P1690" s="53">
        <v>0</v>
      </c>
      <c r="Q1690" s="53">
        <v>0</v>
      </c>
      <c r="R1690" s="53">
        <v>0</v>
      </c>
    </row>
    <row r="1691" spans="1:18" x14ac:dyDescent="0.25">
      <c r="A1691" s="25" t="s">
        <v>134</v>
      </c>
      <c r="B1691" s="26">
        <v>2016</v>
      </c>
      <c r="C1691" s="74" t="s">
        <v>133</v>
      </c>
      <c r="D1691" s="27">
        <v>0</v>
      </c>
      <c r="E1691" s="53">
        <v>0</v>
      </c>
      <c r="F1691" s="53">
        <v>0</v>
      </c>
      <c r="G1691" s="53">
        <v>0</v>
      </c>
      <c r="H1691" s="53">
        <v>0</v>
      </c>
      <c r="I1691" s="53">
        <v>0</v>
      </c>
      <c r="J1691" s="53">
        <v>0</v>
      </c>
      <c r="K1691" s="53">
        <v>0</v>
      </c>
      <c r="L1691" s="53">
        <v>0</v>
      </c>
      <c r="M1691" s="53">
        <v>0</v>
      </c>
      <c r="N1691" s="53">
        <v>0</v>
      </c>
      <c r="O1691" s="53">
        <v>0</v>
      </c>
      <c r="P1691" s="53">
        <v>0</v>
      </c>
      <c r="Q1691" s="53">
        <v>0</v>
      </c>
      <c r="R1691" s="53">
        <v>0</v>
      </c>
    </row>
    <row r="1692" spans="1:18" x14ac:dyDescent="0.25">
      <c r="A1692" s="25" t="s">
        <v>132</v>
      </c>
      <c r="B1692" s="26">
        <v>2016</v>
      </c>
      <c r="C1692" s="74" t="s">
        <v>131</v>
      </c>
      <c r="D1692" s="27">
        <v>0</v>
      </c>
      <c r="E1692" s="53">
        <v>0</v>
      </c>
      <c r="F1692" s="53">
        <v>0</v>
      </c>
      <c r="G1692" s="53">
        <v>0</v>
      </c>
      <c r="H1692" s="53">
        <v>0</v>
      </c>
      <c r="I1692" s="53">
        <v>0</v>
      </c>
      <c r="J1692" s="53">
        <v>0</v>
      </c>
      <c r="K1692" s="53">
        <v>0</v>
      </c>
      <c r="L1692" s="53">
        <v>0</v>
      </c>
      <c r="M1692" s="53">
        <v>0</v>
      </c>
      <c r="N1692" s="53">
        <v>0</v>
      </c>
      <c r="O1692" s="53">
        <v>0</v>
      </c>
      <c r="P1692" s="53">
        <v>0</v>
      </c>
      <c r="Q1692" s="53">
        <v>0</v>
      </c>
      <c r="R1692" s="53">
        <v>0</v>
      </c>
    </row>
    <row r="1693" spans="1:18" x14ac:dyDescent="0.25">
      <c r="A1693" s="25" t="s">
        <v>130</v>
      </c>
      <c r="B1693" s="26">
        <v>2016</v>
      </c>
      <c r="C1693" s="74" t="s">
        <v>129</v>
      </c>
      <c r="D1693" s="27">
        <v>0</v>
      </c>
      <c r="E1693" s="53">
        <v>0</v>
      </c>
      <c r="F1693" s="53">
        <v>0</v>
      </c>
      <c r="G1693" s="53">
        <v>0</v>
      </c>
      <c r="H1693" s="53">
        <v>0</v>
      </c>
      <c r="I1693" s="53">
        <v>0</v>
      </c>
      <c r="J1693" s="53">
        <v>0</v>
      </c>
      <c r="K1693" s="53">
        <v>0</v>
      </c>
      <c r="L1693" s="53">
        <v>0</v>
      </c>
      <c r="M1693" s="53">
        <v>0</v>
      </c>
      <c r="N1693" s="53">
        <v>0</v>
      </c>
      <c r="O1693" s="53">
        <v>0</v>
      </c>
      <c r="P1693" s="53">
        <v>0</v>
      </c>
      <c r="Q1693" s="53">
        <v>0</v>
      </c>
      <c r="R1693" s="53">
        <v>0</v>
      </c>
    </row>
    <row r="1694" spans="1:18" x14ac:dyDescent="0.25">
      <c r="A1694" s="25" t="s">
        <v>128</v>
      </c>
      <c r="B1694" s="26">
        <v>2016</v>
      </c>
      <c r="C1694" s="74" t="s">
        <v>127</v>
      </c>
      <c r="D1694" s="27">
        <v>0</v>
      </c>
      <c r="E1694" s="53">
        <v>0</v>
      </c>
      <c r="F1694" s="53">
        <v>0</v>
      </c>
      <c r="G1694" s="53">
        <v>0</v>
      </c>
      <c r="H1694" s="53">
        <v>0</v>
      </c>
      <c r="I1694" s="53">
        <v>0</v>
      </c>
      <c r="J1694" s="53">
        <v>0</v>
      </c>
      <c r="K1694" s="53">
        <v>0</v>
      </c>
      <c r="L1694" s="53">
        <v>0</v>
      </c>
      <c r="M1694" s="53">
        <v>0</v>
      </c>
      <c r="N1694" s="53">
        <v>0</v>
      </c>
      <c r="O1694" s="53">
        <v>0</v>
      </c>
      <c r="P1694" s="53">
        <v>0</v>
      </c>
      <c r="Q1694" s="53">
        <v>0</v>
      </c>
      <c r="R1694" s="53">
        <v>0</v>
      </c>
    </row>
    <row r="1695" spans="1:18" x14ac:dyDescent="0.25">
      <c r="A1695" s="25" t="s">
        <v>126</v>
      </c>
      <c r="B1695" s="26">
        <v>2016</v>
      </c>
      <c r="C1695" s="74" t="s">
        <v>125</v>
      </c>
      <c r="D1695" s="27">
        <v>0</v>
      </c>
      <c r="E1695" s="53">
        <v>0</v>
      </c>
      <c r="F1695" s="53">
        <v>0</v>
      </c>
      <c r="G1695" s="53">
        <v>0</v>
      </c>
      <c r="H1695" s="53">
        <v>0</v>
      </c>
      <c r="I1695" s="53">
        <v>0</v>
      </c>
      <c r="J1695" s="53">
        <v>0</v>
      </c>
      <c r="K1695" s="53">
        <v>0</v>
      </c>
      <c r="L1695" s="53">
        <v>0</v>
      </c>
      <c r="M1695" s="53">
        <v>0</v>
      </c>
      <c r="N1695" s="53">
        <v>0</v>
      </c>
      <c r="O1695" s="53">
        <v>0</v>
      </c>
      <c r="P1695" s="53">
        <v>0</v>
      </c>
      <c r="Q1695" s="53">
        <v>0</v>
      </c>
      <c r="R1695" s="53">
        <v>0</v>
      </c>
    </row>
    <row r="1696" spans="1:18" x14ac:dyDescent="0.25">
      <c r="A1696" s="25" t="s">
        <v>122</v>
      </c>
      <c r="B1696" s="26">
        <v>2016</v>
      </c>
      <c r="C1696" s="74" t="s">
        <v>121</v>
      </c>
      <c r="D1696" s="27">
        <v>0</v>
      </c>
      <c r="E1696" s="53">
        <v>0</v>
      </c>
      <c r="F1696" s="53">
        <v>0</v>
      </c>
      <c r="G1696" s="53">
        <v>0</v>
      </c>
      <c r="H1696" s="53">
        <v>0</v>
      </c>
      <c r="I1696" s="53">
        <v>0</v>
      </c>
      <c r="J1696" s="53">
        <v>0</v>
      </c>
      <c r="K1696" s="53">
        <v>0</v>
      </c>
      <c r="L1696" s="53">
        <v>0</v>
      </c>
      <c r="M1696" s="53">
        <v>0</v>
      </c>
      <c r="N1696" s="53">
        <v>0</v>
      </c>
      <c r="O1696" s="53">
        <v>0</v>
      </c>
      <c r="P1696" s="53">
        <v>0</v>
      </c>
      <c r="Q1696" s="53">
        <v>0</v>
      </c>
      <c r="R1696" s="53">
        <v>0</v>
      </c>
    </row>
    <row r="1697" spans="1:18" x14ac:dyDescent="0.25">
      <c r="A1697" s="25" t="s">
        <v>120</v>
      </c>
      <c r="B1697" s="26">
        <v>2016</v>
      </c>
      <c r="C1697" s="74" t="s">
        <v>119</v>
      </c>
      <c r="D1697" s="27">
        <v>0</v>
      </c>
      <c r="E1697" s="53">
        <v>0</v>
      </c>
      <c r="F1697" s="53">
        <v>0</v>
      </c>
      <c r="G1697" s="53">
        <v>0</v>
      </c>
      <c r="H1697" s="53">
        <v>0</v>
      </c>
      <c r="I1697" s="53">
        <v>0</v>
      </c>
      <c r="J1697" s="53">
        <v>0</v>
      </c>
      <c r="K1697" s="53">
        <v>0</v>
      </c>
      <c r="L1697" s="53">
        <v>0</v>
      </c>
      <c r="M1697" s="53">
        <v>0</v>
      </c>
      <c r="N1697" s="53">
        <v>0</v>
      </c>
      <c r="O1697" s="53">
        <v>0</v>
      </c>
      <c r="P1697" s="53">
        <v>0</v>
      </c>
      <c r="Q1697" s="53">
        <v>0</v>
      </c>
      <c r="R1697" s="53">
        <v>0</v>
      </c>
    </row>
    <row r="1698" spans="1:18" x14ac:dyDescent="0.25">
      <c r="A1698" s="25" t="s">
        <v>118</v>
      </c>
      <c r="B1698" s="26">
        <v>2016</v>
      </c>
      <c r="C1698" s="74" t="s">
        <v>117</v>
      </c>
      <c r="D1698" s="27">
        <v>0</v>
      </c>
      <c r="E1698" s="53">
        <v>0</v>
      </c>
      <c r="F1698" s="53">
        <v>0</v>
      </c>
      <c r="G1698" s="53">
        <v>0</v>
      </c>
      <c r="H1698" s="53">
        <v>0</v>
      </c>
      <c r="I1698" s="53">
        <v>0</v>
      </c>
      <c r="J1698" s="53">
        <v>0</v>
      </c>
      <c r="K1698" s="53">
        <v>0</v>
      </c>
      <c r="L1698" s="53">
        <v>0</v>
      </c>
      <c r="M1698" s="53">
        <v>0</v>
      </c>
      <c r="N1698" s="53">
        <v>0</v>
      </c>
      <c r="O1698" s="53">
        <v>0</v>
      </c>
      <c r="P1698" s="53">
        <v>0</v>
      </c>
      <c r="Q1698" s="53">
        <v>0</v>
      </c>
      <c r="R1698" s="53">
        <v>0</v>
      </c>
    </row>
    <row r="1699" spans="1:18" x14ac:dyDescent="0.25">
      <c r="A1699" s="25" t="s">
        <v>397</v>
      </c>
      <c r="B1699" s="26">
        <v>2016</v>
      </c>
      <c r="C1699" s="74" t="s">
        <v>396</v>
      </c>
      <c r="D1699" s="27">
        <v>0</v>
      </c>
      <c r="E1699" s="53">
        <v>0</v>
      </c>
      <c r="F1699" s="53">
        <v>0</v>
      </c>
      <c r="G1699" s="53">
        <v>0</v>
      </c>
      <c r="H1699" s="53">
        <v>0</v>
      </c>
      <c r="I1699" s="53">
        <v>0</v>
      </c>
      <c r="J1699" s="53">
        <v>0</v>
      </c>
      <c r="K1699" s="53">
        <v>0</v>
      </c>
      <c r="L1699" s="53">
        <v>0</v>
      </c>
      <c r="M1699" s="53">
        <v>0</v>
      </c>
      <c r="N1699" s="53">
        <v>0</v>
      </c>
      <c r="O1699" s="53">
        <v>0</v>
      </c>
      <c r="P1699" s="53">
        <v>0</v>
      </c>
      <c r="Q1699" s="53">
        <v>0</v>
      </c>
      <c r="R1699" s="53">
        <v>0</v>
      </c>
    </row>
    <row r="1700" spans="1:18" x14ac:dyDescent="0.25">
      <c r="A1700" s="25" t="s">
        <v>395</v>
      </c>
      <c r="B1700" s="26">
        <v>2016</v>
      </c>
      <c r="C1700" s="74" t="s">
        <v>394</v>
      </c>
      <c r="D1700" s="27">
        <v>0</v>
      </c>
      <c r="E1700" s="53">
        <v>0</v>
      </c>
      <c r="F1700" s="53">
        <v>0</v>
      </c>
      <c r="G1700" s="53">
        <v>0</v>
      </c>
      <c r="H1700" s="53">
        <v>0</v>
      </c>
      <c r="I1700" s="53">
        <v>0</v>
      </c>
      <c r="J1700" s="53">
        <v>0</v>
      </c>
      <c r="K1700" s="53">
        <v>0</v>
      </c>
      <c r="L1700" s="53">
        <v>0</v>
      </c>
      <c r="M1700" s="53">
        <v>0</v>
      </c>
      <c r="N1700" s="53">
        <v>0</v>
      </c>
      <c r="O1700" s="53">
        <v>0</v>
      </c>
      <c r="P1700" s="53">
        <v>0</v>
      </c>
      <c r="Q1700" s="53">
        <v>0</v>
      </c>
      <c r="R1700" s="53">
        <v>0</v>
      </c>
    </row>
    <row r="1701" spans="1:18" x14ac:dyDescent="0.25">
      <c r="A1701" s="25" t="s">
        <v>115</v>
      </c>
      <c r="B1701" s="26">
        <v>2016</v>
      </c>
      <c r="C1701" s="74" t="s">
        <v>114</v>
      </c>
      <c r="D1701" s="27">
        <v>0</v>
      </c>
      <c r="E1701" s="53">
        <v>0</v>
      </c>
      <c r="F1701" s="53">
        <v>0</v>
      </c>
      <c r="G1701" s="53">
        <v>0</v>
      </c>
      <c r="H1701" s="53">
        <v>0</v>
      </c>
      <c r="I1701" s="53">
        <v>0</v>
      </c>
      <c r="J1701" s="53">
        <v>0</v>
      </c>
      <c r="K1701" s="53">
        <v>0</v>
      </c>
      <c r="L1701" s="53">
        <v>0</v>
      </c>
      <c r="M1701" s="53">
        <v>0</v>
      </c>
      <c r="N1701" s="53">
        <v>0</v>
      </c>
      <c r="O1701" s="53">
        <v>0</v>
      </c>
      <c r="P1701" s="53">
        <v>0</v>
      </c>
      <c r="Q1701" s="53">
        <v>0</v>
      </c>
      <c r="R1701" s="53">
        <v>0</v>
      </c>
    </row>
    <row r="1702" spans="1:18" x14ac:dyDescent="0.25">
      <c r="A1702" s="25" t="s">
        <v>113</v>
      </c>
      <c r="B1702" s="26">
        <v>2016</v>
      </c>
      <c r="C1702" s="74" t="s">
        <v>112</v>
      </c>
      <c r="D1702" s="27">
        <v>0</v>
      </c>
      <c r="E1702" s="53">
        <v>0</v>
      </c>
      <c r="F1702" s="53">
        <v>0</v>
      </c>
      <c r="G1702" s="53">
        <v>0</v>
      </c>
      <c r="H1702" s="53">
        <v>0</v>
      </c>
      <c r="I1702" s="53">
        <v>0</v>
      </c>
      <c r="J1702" s="53">
        <v>0</v>
      </c>
      <c r="K1702" s="53">
        <v>0</v>
      </c>
      <c r="L1702" s="53">
        <v>0</v>
      </c>
      <c r="M1702" s="53">
        <v>0</v>
      </c>
      <c r="N1702" s="53">
        <v>0</v>
      </c>
      <c r="O1702" s="53">
        <v>0</v>
      </c>
      <c r="P1702" s="53">
        <v>0</v>
      </c>
      <c r="Q1702" s="53">
        <v>0</v>
      </c>
      <c r="R1702" s="53">
        <v>0</v>
      </c>
    </row>
    <row r="1703" spans="1:18" x14ac:dyDescent="0.25">
      <c r="A1703" s="25" t="s">
        <v>111</v>
      </c>
      <c r="B1703" s="26">
        <v>2016</v>
      </c>
      <c r="C1703" s="74" t="s">
        <v>110</v>
      </c>
      <c r="D1703" s="27">
        <v>0</v>
      </c>
      <c r="E1703" s="53">
        <v>0</v>
      </c>
      <c r="F1703" s="53">
        <v>0</v>
      </c>
      <c r="G1703" s="53">
        <v>0</v>
      </c>
      <c r="H1703" s="53">
        <v>0</v>
      </c>
      <c r="I1703" s="53">
        <v>0</v>
      </c>
      <c r="J1703" s="53">
        <v>0</v>
      </c>
      <c r="K1703" s="53">
        <v>0</v>
      </c>
      <c r="L1703" s="53">
        <v>0</v>
      </c>
      <c r="M1703" s="53">
        <v>0</v>
      </c>
      <c r="N1703" s="53">
        <v>0</v>
      </c>
      <c r="O1703" s="53">
        <v>0</v>
      </c>
      <c r="P1703" s="53">
        <v>0</v>
      </c>
      <c r="Q1703" s="53">
        <v>0</v>
      </c>
      <c r="R1703" s="53">
        <v>0</v>
      </c>
    </row>
    <row r="1704" spans="1:18" x14ac:dyDescent="0.25">
      <c r="A1704" s="25" t="s">
        <v>109</v>
      </c>
      <c r="B1704" s="26">
        <v>2016</v>
      </c>
      <c r="C1704" s="74" t="s">
        <v>108</v>
      </c>
      <c r="D1704" s="27">
        <v>0</v>
      </c>
      <c r="E1704" s="53">
        <v>0</v>
      </c>
      <c r="F1704" s="53">
        <v>0</v>
      </c>
      <c r="G1704" s="53">
        <v>0</v>
      </c>
      <c r="H1704" s="53">
        <v>0</v>
      </c>
      <c r="I1704" s="53">
        <v>0</v>
      </c>
      <c r="J1704" s="53">
        <v>0</v>
      </c>
      <c r="K1704" s="53">
        <v>0</v>
      </c>
      <c r="L1704" s="53">
        <v>0</v>
      </c>
      <c r="M1704" s="53">
        <v>0</v>
      </c>
      <c r="N1704" s="53">
        <v>0</v>
      </c>
      <c r="O1704" s="53">
        <v>0</v>
      </c>
      <c r="P1704" s="53">
        <v>0</v>
      </c>
      <c r="Q1704" s="53">
        <v>0</v>
      </c>
      <c r="R1704" s="53">
        <v>0</v>
      </c>
    </row>
    <row r="1705" spans="1:18" x14ac:dyDescent="0.25">
      <c r="A1705" s="25" t="s">
        <v>107</v>
      </c>
      <c r="B1705" s="26">
        <v>2016</v>
      </c>
      <c r="C1705" s="74" t="s">
        <v>106</v>
      </c>
      <c r="D1705" s="27">
        <v>0</v>
      </c>
      <c r="E1705" s="53">
        <v>0</v>
      </c>
      <c r="F1705" s="53">
        <v>0</v>
      </c>
      <c r="G1705" s="53">
        <v>0</v>
      </c>
      <c r="H1705" s="53">
        <v>0</v>
      </c>
      <c r="I1705" s="53">
        <v>0</v>
      </c>
      <c r="J1705" s="53">
        <v>0</v>
      </c>
      <c r="K1705" s="53">
        <v>0</v>
      </c>
      <c r="L1705" s="53">
        <v>0</v>
      </c>
      <c r="M1705" s="53">
        <v>0</v>
      </c>
      <c r="N1705" s="53">
        <v>0</v>
      </c>
      <c r="O1705" s="53">
        <v>0</v>
      </c>
      <c r="P1705" s="53">
        <v>0</v>
      </c>
      <c r="Q1705" s="53">
        <v>0</v>
      </c>
      <c r="R1705" s="53">
        <v>0</v>
      </c>
    </row>
    <row r="1706" spans="1:18" x14ac:dyDescent="0.25">
      <c r="A1706" s="25" t="s">
        <v>105</v>
      </c>
      <c r="B1706" s="26">
        <v>2016</v>
      </c>
      <c r="C1706" s="74" t="s">
        <v>104</v>
      </c>
      <c r="D1706" s="27">
        <v>0</v>
      </c>
      <c r="E1706" s="53">
        <v>0</v>
      </c>
      <c r="F1706" s="53">
        <v>0</v>
      </c>
      <c r="G1706" s="53">
        <v>0</v>
      </c>
      <c r="H1706" s="53">
        <v>0</v>
      </c>
      <c r="I1706" s="53">
        <v>0</v>
      </c>
      <c r="J1706" s="53">
        <v>0</v>
      </c>
      <c r="K1706" s="53">
        <v>0</v>
      </c>
      <c r="L1706" s="53">
        <v>0</v>
      </c>
      <c r="M1706" s="53">
        <v>0</v>
      </c>
      <c r="N1706" s="53">
        <v>0</v>
      </c>
      <c r="O1706" s="53">
        <v>0</v>
      </c>
      <c r="P1706" s="53">
        <v>0</v>
      </c>
      <c r="Q1706" s="53">
        <v>0</v>
      </c>
      <c r="R1706" s="53">
        <v>0</v>
      </c>
    </row>
    <row r="1707" spans="1:18" x14ac:dyDescent="0.25">
      <c r="A1707" s="25" t="s">
        <v>103</v>
      </c>
      <c r="B1707" s="26">
        <v>2016</v>
      </c>
      <c r="C1707" s="74" t="s">
        <v>102</v>
      </c>
      <c r="D1707" s="27">
        <v>0</v>
      </c>
      <c r="E1707" s="53">
        <v>0</v>
      </c>
      <c r="F1707" s="53">
        <v>0</v>
      </c>
      <c r="G1707" s="53">
        <v>0</v>
      </c>
      <c r="H1707" s="53">
        <v>0</v>
      </c>
      <c r="I1707" s="53">
        <v>0</v>
      </c>
      <c r="J1707" s="53">
        <v>0</v>
      </c>
      <c r="K1707" s="53">
        <v>0</v>
      </c>
      <c r="L1707" s="53">
        <v>0</v>
      </c>
      <c r="M1707" s="53">
        <v>0</v>
      </c>
      <c r="N1707" s="53">
        <v>0</v>
      </c>
      <c r="O1707" s="53">
        <v>0</v>
      </c>
      <c r="P1707" s="53">
        <v>0</v>
      </c>
      <c r="Q1707" s="53">
        <v>0</v>
      </c>
      <c r="R1707" s="53">
        <v>0</v>
      </c>
    </row>
    <row r="1708" spans="1:18" x14ac:dyDescent="0.25">
      <c r="A1708" s="25" t="s">
        <v>101</v>
      </c>
      <c r="B1708" s="26">
        <v>2016</v>
      </c>
      <c r="C1708" s="74" t="s">
        <v>100</v>
      </c>
      <c r="D1708" s="27">
        <v>0</v>
      </c>
      <c r="E1708" s="53">
        <v>0</v>
      </c>
      <c r="F1708" s="53">
        <v>0</v>
      </c>
      <c r="G1708" s="53">
        <v>0</v>
      </c>
      <c r="H1708" s="53">
        <v>0</v>
      </c>
      <c r="I1708" s="53">
        <v>0</v>
      </c>
      <c r="J1708" s="53">
        <v>0</v>
      </c>
      <c r="K1708" s="53">
        <v>0</v>
      </c>
      <c r="L1708" s="53">
        <v>0</v>
      </c>
      <c r="M1708" s="53">
        <v>0</v>
      </c>
      <c r="N1708" s="53">
        <v>0</v>
      </c>
      <c r="O1708" s="53">
        <v>0</v>
      </c>
      <c r="P1708" s="53">
        <v>0</v>
      </c>
      <c r="Q1708" s="53">
        <v>0</v>
      </c>
      <c r="R1708" s="53">
        <v>0</v>
      </c>
    </row>
    <row r="1709" spans="1:18" x14ac:dyDescent="0.25">
      <c r="A1709" s="25" t="s">
        <v>99</v>
      </c>
      <c r="B1709" s="26">
        <v>2016</v>
      </c>
      <c r="C1709" s="74" t="s">
        <v>98</v>
      </c>
      <c r="D1709" s="27">
        <v>0</v>
      </c>
      <c r="E1709" s="53">
        <v>0</v>
      </c>
      <c r="F1709" s="53">
        <v>0</v>
      </c>
      <c r="G1709" s="53">
        <v>0</v>
      </c>
      <c r="H1709" s="53">
        <v>0</v>
      </c>
      <c r="I1709" s="53">
        <v>0</v>
      </c>
      <c r="J1709" s="53">
        <v>0</v>
      </c>
      <c r="K1709" s="53">
        <v>0</v>
      </c>
      <c r="L1709" s="53">
        <v>0</v>
      </c>
      <c r="M1709" s="53">
        <v>0</v>
      </c>
      <c r="N1709" s="53">
        <v>0</v>
      </c>
      <c r="O1709" s="53">
        <v>0</v>
      </c>
      <c r="P1709" s="53">
        <v>0</v>
      </c>
      <c r="Q1709" s="53">
        <v>0</v>
      </c>
      <c r="R1709" s="53">
        <v>0</v>
      </c>
    </row>
    <row r="1710" spans="1:18" x14ac:dyDescent="0.25">
      <c r="A1710" s="25" t="s">
        <v>97</v>
      </c>
      <c r="B1710" s="26">
        <v>2016</v>
      </c>
      <c r="C1710" s="74" t="s">
        <v>96</v>
      </c>
      <c r="D1710" s="27">
        <v>0</v>
      </c>
      <c r="E1710" s="53">
        <v>0</v>
      </c>
      <c r="F1710" s="53">
        <v>0</v>
      </c>
      <c r="G1710" s="53">
        <v>0</v>
      </c>
      <c r="H1710" s="53">
        <v>0</v>
      </c>
      <c r="I1710" s="53">
        <v>0</v>
      </c>
      <c r="J1710" s="53">
        <v>0</v>
      </c>
      <c r="K1710" s="53">
        <v>0</v>
      </c>
      <c r="L1710" s="53">
        <v>0</v>
      </c>
      <c r="M1710" s="53">
        <v>0</v>
      </c>
      <c r="N1710" s="53">
        <v>0</v>
      </c>
      <c r="O1710" s="53">
        <v>0</v>
      </c>
      <c r="P1710" s="53">
        <v>0</v>
      </c>
      <c r="Q1710" s="53">
        <v>0</v>
      </c>
      <c r="R1710" s="53">
        <v>0</v>
      </c>
    </row>
    <row r="1711" spans="1:18" x14ac:dyDescent="0.25">
      <c r="A1711" s="25" t="s">
        <v>95</v>
      </c>
      <c r="B1711" s="26">
        <v>2016</v>
      </c>
      <c r="C1711" s="74" t="s">
        <v>94</v>
      </c>
      <c r="D1711" s="27">
        <v>0</v>
      </c>
      <c r="E1711" s="53">
        <v>0</v>
      </c>
      <c r="F1711" s="53">
        <v>0</v>
      </c>
      <c r="G1711" s="53">
        <v>0</v>
      </c>
      <c r="H1711" s="53">
        <v>0</v>
      </c>
      <c r="I1711" s="53">
        <v>0</v>
      </c>
      <c r="J1711" s="53">
        <v>0</v>
      </c>
      <c r="K1711" s="53">
        <v>0</v>
      </c>
      <c r="L1711" s="53">
        <v>0</v>
      </c>
      <c r="M1711" s="53">
        <v>0</v>
      </c>
      <c r="N1711" s="53">
        <v>0</v>
      </c>
      <c r="O1711" s="53">
        <v>0</v>
      </c>
      <c r="P1711" s="53">
        <v>0</v>
      </c>
      <c r="Q1711" s="53">
        <v>0</v>
      </c>
      <c r="R1711" s="53">
        <v>0</v>
      </c>
    </row>
    <row r="1712" spans="1:18" x14ac:dyDescent="0.25">
      <c r="A1712" s="25" t="s">
        <v>93</v>
      </c>
      <c r="B1712" s="26">
        <v>2016</v>
      </c>
      <c r="C1712" s="74" t="s">
        <v>92</v>
      </c>
      <c r="D1712" s="27">
        <v>0</v>
      </c>
      <c r="E1712" s="53">
        <v>0</v>
      </c>
      <c r="F1712" s="53">
        <v>0</v>
      </c>
      <c r="G1712" s="53">
        <v>0</v>
      </c>
      <c r="H1712" s="53">
        <v>0</v>
      </c>
      <c r="I1712" s="53">
        <v>0</v>
      </c>
      <c r="J1712" s="53">
        <v>0</v>
      </c>
      <c r="K1712" s="53">
        <v>0</v>
      </c>
      <c r="L1712" s="53">
        <v>0</v>
      </c>
      <c r="M1712" s="53">
        <v>0</v>
      </c>
      <c r="N1712" s="53">
        <v>0</v>
      </c>
      <c r="O1712" s="53">
        <v>0</v>
      </c>
      <c r="P1712" s="53">
        <v>0</v>
      </c>
      <c r="Q1712" s="53">
        <v>0</v>
      </c>
      <c r="R1712" s="53">
        <v>0</v>
      </c>
    </row>
    <row r="1713" spans="1:18" x14ac:dyDescent="0.25">
      <c r="A1713" s="25" t="s">
        <v>91</v>
      </c>
      <c r="B1713" s="26">
        <v>2016</v>
      </c>
      <c r="C1713" s="74" t="s">
        <v>90</v>
      </c>
      <c r="D1713" s="27">
        <v>0</v>
      </c>
      <c r="E1713" s="53">
        <v>0</v>
      </c>
      <c r="F1713" s="53">
        <v>0</v>
      </c>
      <c r="G1713" s="53">
        <v>0</v>
      </c>
      <c r="H1713" s="53">
        <v>0</v>
      </c>
      <c r="I1713" s="53">
        <v>0</v>
      </c>
      <c r="J1713" s="53">
        <v>0</v>
      </c>
      <c r="K1713" s="53">
        <v>0</v>
      </c>
      <c r="L1713" s="53">
        <v>0</v>
      </c>
      <c r="M1713" s="53">
        <v>0</v>
      </c>
      <c r="N1713" s="53">
        <v>0</v>
      </c>
      <c r="O1713" s="53">
        <v>0</v>
      </c>
      <c r="P1713" s="53">
        <v>0</v>
      </c>
      <c r="Q1713" s="53">
        <v>0</v>
      </c>
      <c r="R1713" s="53">
        <v>0</v>
      </c>
    </row>
    <row r="1714" spans="1:18" x14ac:dyDescent="0.25">
      <c r="A1714" s="25" t="s">
        <v>89</v>
      </c>
      <c r="B1714" s="26">
        <v>2016</v>
      </c>
      <c r="C1714" s="74" t="s">
        <v>88</v>
      </c>
      <c r="D1714" s="27">
        <v>0</v>
      </c>
      <c r="E1714" s="53">
        <v>0</v>
      </c>
      <c r="F1714" s="53">
        <v>0</v>
      </c>
      <c r="G1714" s="53">
        <v>0</v>
      </c>
      <c r="H1714" s="53">
        <v>0</v>
      </c>
      <c r="I1714" s="53">
        <v>0</v>
      </c>
      <c r="J1714" s="53">
        <v>0</v>
      </c>
      <c r="K1714" s="53">
        <v>0</v>
      </c>
      <c r="L1714" s="53">
        <v>0</v>
      </c>
      <c r="M1714" s="53">
        <v>0</v>
      </c>
      <c r="N1714" s="53">
        <v>0</v>
      </c>
      <c r="O1714" s="53">
        <v>0</v>
      </c>
      <c r="P1714" s="53">
        <v>0</v>
      </c>
      <c r="Q1714" s="53">
        <v>0</v>
      </c>
      <c r="R1714" s="53">
        <v>0</v>
      </c>
    </row>
    <row r="1715" spans="1:18" x14ac:dyDescent="0.25">
      <c r="A1715" s="25" t="s">
        <v>87</v>
      </c>
      <c r="B1715" s="26">
        <v>2016</v>
      </c>
      <c r="C1715" s="74" t="s">
        <v>86</v>
      </c>
      <c r="D1715" s="27">
        <v>0</v>
      </c>
      <c r="E1715" s="53">
        <v>0</v>
      </c>
      <c r="F1715" s="53">
        <v>0</v>
      </c>
      <c r="G1715" s="53">
        <v>0</v>
      </c>
      <c r="H1715" s="53">
        <v>0</v>
      </c>
      <c r="I1715" s="53">
        <v>0</v>
      </c>
      <c r="J1715" s="53">
        <v>0</v>
      </c>
      <c r="K1715" s="53">
        <v>0</v>
      </c>
      <c r="L1715" s="53">
        <v>0</v>
      </c>
      <c r="M1715" s="53">
        <v>0</v>
      </c>
      <c r="N1715" s="53">
        <v>0</v>
      </c>
      <c r="O1715" s="53">
        <v>0</v>
      </c>
      <c r="P1715" s="53">
        <v>0</v>
      </c>
      <c r="Q1715" s="53">
        <v>0</v>
      </c>
      <c r="R1715" s="53">
        <v>0</v>
      </c>
    </row>
    <row r="1716" spans="1:18" x14ac:dyDescent="0.25">
      <c r="A1716" s="25" t="s">
        <v>85</v>
      </c>
      <c r="B1716" s="26">
        <v>2016</v>
      </c>
      <c r="C1716" s="74" t="s">
        <v>84</v>
      </c>
      <c r="D1716" s="27">
        <v>0</v>
      </c>
      <c r="E1716" s="53">
        <v>0</v>
      </c>
      <c r="F1716" s="53">
        <v>0</v>
      </c>
      <c r="G1716" s="53">
        <v>0</v>
      </c>
      <c r="H1716" s="53">
        <v>0</v>
      </c>
      <c r="I1716" s="53">
        <v>0</v>
      </c>
      <c r="J1716" s="53">
        <v>0</v>
      </c>
      <c r="K1716" s="53">
        <v>0</v>
      </c>
      <c r="L1716" s="53">
        <v>0</v>
      </c>
      <c r="M1716" s="53">
        <v>0</v>
      </c>
      <c r="N1716" s="53">
        <v>0</v>
      </c>
      <c r="O1716" s="53">
        <v>0</v>
      </c>
      <c r="P1716" s="53">
        <v>0</v>
      </c>
      <c r="Q1716" s="53">
        <v>0</v>
      </c>
      <c r="R1716" s="53">
        <v>0</v>
      </c>
    </row>
    <row r="1717" spans="1:18" x14ac:dyDescent="0.25">
      <c r="A1717" s="25" t="s">
        <v>393</v>
      </c>
      <c r="B1717" s="26">
        <v>2016</v>
      </c>
      <c r="C1717" s="74" t="s">
        <v>392</v>
      </c>
      <c r="D1717" s="27">
        <v>0</v>
      </c>
      <c r="E1717" s="53">
        <v>0</v>
      </c>
      <c r="F1717" s="53">
        <v>0</v>
      </c>
      <c r="G1717" s="53">
        <v>0</v>
      </c>
      <c r="H1717" s="53">
        <v>0</v>
      </c>
      <c r="I1717" s="53">
        <v>0</v>
      </c>
      <c r="J1717" s="53">
        <v>0</v>
      </c>
      <c r="K1717" s="53">
        <v>0</v>
      </c>
      <c r="L1717" s="53">
        <v>0</v>
      </c>
      <c r="M1717" s="53">
        <v>0</v>
      </c>
      <c r="N1717" s="53">
        <v>0</v>
      </c>
      <c r="O1717" s="53">
        <v>0</v>
      </c>
      <c r="P1717" s="53">
        <v>0</v>
      </c>
      <c r="Q1717" s="53">
        <v>0</v>
      </c>
      <c r="R1717" s="53">
        <v>0</v>
      </c>
    </row>
    <row r="1718" spans="1:18" x14ac:dyDescent="0.25">
      <c r="A1718" s="25" t="s">
        <v>83</v>
      </c>
      <c r="B1718" s="26">
        <v>2016</v>
      </c>
      <c r="C1718" s="74" t="s">
        <v>82</v>
      </c>
      <c r="D1718" s="27">
        <v>0</v>
      </c>
      <c r="E1718" s="53">
        <v>0</v>
      </c>
      <c r="F1718" s="53">
        <v>0</v>
      </c>
      <c r="G1718" s="53">
        <v>0</v>
      </c>
      <c r="H1718" s="53">
        <v>0</v>
      </c>
      <c r="I1718" s="53">
        <v>0</v>
      </c>
      <c r="J1718" s="53">
        <v>0</v>
      </c>
      <c r="K1718" s="53">
        <v>0</v>
      </c>
      <c r="L1718" s="53">
        <v>0</v>
      </c>
      <c r="M1718" s="53">
        <v>0</v>
      </c>
      <c r="N1718" s="53">
        <v>0</v>
      </c>
      <c r="O1718" s="53">
        <v>0</v>
      </c>
      <c r="P1718" s="53">
        <v>0</v>
      </c>
      <c r="Q1718" s="53">
        <v>0</v>
      </c>
      <c r="R1718" s="53">
        <v>0</v>
      </c>
    </row>
    <row r="1719" spans="1:18" x14ac:dyDescent="0.25">
      <c r="A1719" s="25" t="s">
        <v>80</v>
      </c>
      <c r="B1719" s="26">
        <v>2016</v>
      </c>
      <c r="C1719" s="74" t="s">
        <v>79</v>
      </c>
      <c r="D1719" s="27">
        <v>0</v>
      </c>
      <c r="E1719" s="53">
        <v>0</v>
      </c>
      <c r="F1719" s="53">
        <v>0</v>
      </c>
      <c r="G1719" s="53">
        <v>0</v>
      </c>
      <c r="H1719" s="53">
        <v>0</v>
      </c>
      <c r="I1719" s="53">
        <v>0</v>
      </c>
      <c r="J1719" s="53">
        <v>0</v>
      </c>
      <c r="K1719" s="53">
        <v>0</v>
      </c>
      <c r="L1719" s="53">
        <v>0</v>
      </c>
      <c r="M1719" s="53">
        <v>0</v>
      </c>
      <c r="N1719" s="53">
        <v>0</v>
      </c>
      <c r="O1719" s="53">
        <v>0</v>
      </c>
      <c r="P1719" s="53">
        <v>0</v>
      </c>
      <c r="Q1719" s="53">
        <v>0</v>
      </c>
      <c r="R1719" s="53">
        <v>0</v>
      </c>
    </row>
    <row r="1720" spans="1:18" x14ac:dyDescent="0.25">
      <c r="A1720" s="25" t="s">
        <v>78</v>
      </c>
      <c r="B1720" s="26">
        <v>2016</v>
      </c>
      <c r="C1720" s="74" t="s">
        <v>77</v>
      </c>
      <c r="D1720" s="27">
        <v>0</v>
      </c>
      <c r="E1720" s="53">
        <v>0</v>
      </c>
      <c r="F1720" s="53">
        <v>0</v>
      </c>
      <c r="G1720" s="53">
        <v>0</v>
      </c>
      <c r="H1720" s="53">
        <v>0</v>
      </c>
      <c r="I1720" s="53">
        <v>0</v>
      </c>
      <c r="J1720" s="53">
        <v>0</v>
      </c>
      <c r="K1720" s="53">
        <v>0</v>
      </c>
      <c r="L1720" s="53">
        <v>0</v>
      </c>
      <c r="M1720" s="53">
        <v>0</v>
      </c>
      <c r="N1720" s="53">
        <v>0</v>
      </c>
      <c r="O1720" s="53">
        <v>0</v>
      </c>
      <c r="P1720" s="53">
        <v>0</v>
      </c>
      <c r="Q1720" s="53">
        <v>0</v>
      </c>
      <c r="R1720" s="53">
        <v>0</v>
      </c>
    </row>
    <row r="1721" spans="1:18" x14ac:dyDescent="0.25">
      <c r="A1721" s="25" t="s">
        <v>76</v>
      </c>
      <c r="B1721" s="26">
        <v>2016</v>
      </c>
      <c r="C1721" s="74" t="s">
        <v>75</v>
      </c>
      <c r="D1721" s="27">
        <v>0</v>
      </c>
      <c r="E1721" s="53">
        <v>0</v>
      </c>
      <c r="F1721" s="53">
        <v>0</v>
      </c>
      <c r="G1721" s="53">
        <v>0</v>
      </c>
      <c r="H1721" s="53">
        <v>0</v>
      </c>
      <c r="I1721" s="53">
        <v>0</v>
      </c>
      <c r="J1721" s="53">
        <v>0</v>
      </c>
      <c r="K1721" s="53">
        <v>0</v>
      </c>
      <c r="L1721" s="53">
        <v>0</v>
      </c>
      <c r="M1721" s="53">
        <v>0</v>
      </c>
      <c r="N1721" s="53">
        <v>0</v>
      </c>
      <c r="O1721" s="53">
        <v>0</v>
      </c>
      <c r="P1721" s="53">
        <v>0</v>
      </c>
      <c r="Q1721" s="53">
        <v>0</v>
      </c>
      <c r="R1721" s="53">
        <v>0</v>
      </c>
    </row>
    <row r="1722" spans="1:18" x14ac:dyDescent="0.25">
      <c r="A1722" s="25" t="s">
        <v>74</v>
      </c>
      <c r="B1722" s="26">
        <v>2016</v>
      </c>
      <c r="C1722" s="74" t="s">
        <v>73</v>
      </c>
      <c r="D1722" s="27">
        <v>0</v>
      </c>
      <c r="E1722" s="53">
        <v>0</v>
      </c>
      <c r="F1722" s="53">
        <v>0</v>
      </c>
      <c r="G1722" s="53">
        <v>0</v>
      </c>
      <c r="H1722" s="53">
        <v>0</v>
      </c>
      <c r="I1722" s="53">
        <v>0</v>
      </c>
      <c r="J1722" s="53">
        <v>0</v>
      </c>
      <c r="K1722" s="53">
        <v>0</v>
      </c>
      <c r="L1722" s="53">
        <v>0</v>
      </c>
      <c r="M1722" s="53">
        <v>0</v>
      </c>
      <c r="N1722" s="53">
        <v>0</v>
      </c>
      <c r="O1722" s="53">
        <v>0</v>
      </c>
      <c r="P1722" s="53">
        <v>0</v>
      </c>
      <c r="Q1722" s="53">
        <v>0</v>
      </c>
      <c r="R1722" s="53">
        <v>0</v>
      </c>
    </row>
    <row r="1723" spans="1:18" x14ac:dyDescent="0.25">
      <c r="A1723" s="25" t="s">
        <v>72</v>
      </c>
      <c r="B1723" s="26">
        <v>2016</v>
      </c>
      <c r="C1723" s="74" t="s">
        <v>71</v>
      </c>
      <c r="D1723" s="27">
        <v>0</v>
      </c>
      <c r="E1723" s="53">
        <v>0</v>
      </c>
      <c r="F1723" s="53">
        <v>0</v>
      </c>
      <c r="G1723" s="53">
        <v>0</v>
      </c>
      <c r="H1723" s="53">
        <v>0</v>
      </c>
      <c r="I1723" s="53">
        <v>0</v>
      </c>
      <c r="J1723" s="53">
        <v>0</v>
      </c>
      <c r="K1723" s="53">
        <v>0</v>
      </c>
      <c r="L1723" s="53">
        <v>0</v>
      </c>
      <c r="M1723" s="53">
        <v>0</v>
      </c>
      <c r="N1723" s="53">
        <v>0</v>
      </c>
      <c r="O1723" s="53">
        <v>0</v>
      </c>
      <c r="P1723" s="53">
        <v>0</v>
      </c>
      <c r="Q1723" s="53">
        <v>0</v>
      </c>
      <c r="R1723" s="53">
        <v>0</v>
      </c>
    </row>
    <row r="1724" spans="1:18" x14ac:dyDescent="0.25">
      <c r="A1724" s="25" t="s">
        <v>70</v>
      </c>
      <c r="B1724" s="26">
        <v>2016</v>
      </c>
      <c r="C1724" s="74" t="s">
        <v>69</v>
      </c>
      <c r="D1724" s="27">
        <v>0</v>
      </c>
      <c r="E1724" s="53">
        <v>0</v>
      </c>
      <c r="F1724" s="53">
        <v>0</v>
      </c>
      <c r="G1724" s="53">
        <v>0</v>
      </c>
      <c r="H1724" s="53">
        <v>0</v>
      </c>
      <c r="I1724" s="53">
        <v>0</v>
      </c>
      <c r="J1724" s="53">
        <v>0</v>
      </c>
      <c r="K1724" s="53">
        <v>0</v>
      </c>
      <c r="L1724" s="53">
        <v>0</v>
      </c>
      <c r="M1724" s="53">
        <v>0</v>
      </c>
      <c r="N1724" s="53">
        <v>0</v>
      </c>
      <c r="O1724" s="53">
        <v>0</v>
      </c>
      <c r="P1724" s="53">
        <v>0</v>
      </c>
      <c r="Q1724" s="53">
        <v>0</v>
      </c>
      <c r="R1724" s="53">
        <v>0</v>
      </c>
    </row>
    <row r="1725" spans="1:18" x14ac:dyDescent="0.25">
      <c r="A1725" s="25" t="s">
        <v>68</v>
      </c>
      <c r="B1725" s="26">
        <v>2016</v>
      </c>
      <c r="C1725" s="74" t="s">
        <v>67</v>
      </c>
      <c r="D1725" s="27">
        <v>0</v>
      </c>
      <c r="E1725" s="53">
        <v>0</v>
      </c>
      <c r="F1725" s="53">
        <v>0</v>
      </c>
      <c r="G1725" s="53">
        <v>0</v>
      </c>
      <c r="H1725" s="53">
        <v>0</v>
      </c>
      <c r="I1725" s="53">
        <v>0</v>
      </c>
      <c r="J1725" s="53">
        <v>0</v>
      </c>
      <c r="K1725" s="53">
        <v>0</v>
      </c>
      <c r="L1725" s="53">
        <v>0</v>
      </c>
      <c r="M1725" s="53">
        <v>0</v>
      </c>
      <c r="N1725" s="53">
        <v>0</v>
      </c>
      <c r="O1725" s="53">
        <v>0</v>
      </c>
      <c r="P1725" s="53">
        <v>0</v>
      </c>
      <c r="Q1725" s="53">
        <v>0</v>
      </c>
      <c r="R1725" s="53">
        <v>0</v>
      </c>
    </row>
    <row r="1726" spans="1:18" x14ac:dyDescent="0.25">
      <c r="A1726" s="25" t="s">
        <v>66</v>
      </c>
      <c r="B1726" s="26">
        <v>2016</v>
      </c>
      <c r="C1726" s="74" t="s">
        <v>65</v>
      </c>
      <c r="D1726" s="27">
        <v>0</v>
      </c>
      <c r="E1726" s="53">
        <v>0</v>
      </c>
      <c r="F1726" s="53">
        <v>0</v>
      </c>
      <c r="G1726" s="53">
        <v>0</v>
      </c>
      <c r="H1726" s="53">
        <v>0</v>
      </c>
      <c r="I1726" s="53">
        <v>0</v>
      </c>
      <c r="J1726" s="53">
        <v>0</v>
      </c>
      <c r="K1726" s="53">
        <v>0</v>
      </c>
      <c r="L1726" s="53">
        <v>0</v>
      </c>
      <c r="M1726" s="53">
        <v>0</v>
      </c>
      <c r="N1726" s="53">
        <v>0</v>
      </c>
      <c r="O1726" s="53">
        <v>0</v>
      </c>
      <c r="P1726" s="53">
        <v>0</v>
      </c>
      <c r="Q1726" s="53">
        <v>0</v>
      </c>
      <c r="R1726" s="53">
        <v>0</v>
      </c>
    </row>
    <row r="1727" spans="1:18" x14ac:dyDescent="0.25">
      <c r="A1727" s="25" t="s">
        <v>64</v>
      </c>
      <c r="B1727" s="26">
        <v>2016</v>
      </c>
      <c r="C1727" s="74" t="s">
        <v>63</v>
      </c>
      <c r="D1727" s="27">
        <v>0</v>
      </c>
      <c r="E1727" s="53">
        <v>0</v>
      </c>
      <c r="F1727" s="53">
        <v>0</v>
      </c>
      <c r="G1727" s="53">
        <v>0</v>
      </c>
      <c r="H1727" s="53">
        <v>0</v>
      </c>
      <c r="I1727" s="53">
        <v>0</v>
      </c>
      <c r="J1727" s="53">
        <v>0</v>
      </c>
      <c r="K1727" s="53">
        <v>0</v>
      </c>
      <c r="L1727" s="53">
        <v>0</v>
      </c>
      <c r="M1727" s="53">
        <v>0</v>
      </c>
      <c r="N1727" s="53">
        <v>0</v>
      </c>
      <c r="O1727" s="53">
        <v>0</v>
      </c>
      <c r="P1727" s="53">
        <v>0</v>
      </c>
      <c r="Q1727" s="53">
        <v>0</v>
      </c>
      <c r="R1727" s="53">
        <v>0</v>
      </c>
    </row>
    <row r="1728" spans="1:18" x14ac:dyDescent="0.25">
      <c r="A1728" s="25" t="s">
        <v>62</v>
      </c>
      <c r="B1728" s="26">
        <v>2016</v>
      </c>
      <c r="C1728" s="74" t="s">
        <v>61</v>
      </c>
      <c r="D1728" s="27">
        <v>0</v>
      </c>
      <c r="E1728" s="53">
        <v>0</v>
      </c>
      <c r="F1728" s="53">
        <v>0</v>
      </c>
      <c r="G1728" s="53">
        <v>0</v>
      </c>
      <c r="H1728" s="53">
        <v>0</v>
      </c>
      <c r="I1728" s="53">
        <v>0</v>
      </c>
      <c r="J1728" s="53">
        <v>0</v>
      </c>
      <c r="K1728" s="53">
        <v>0</v>
      </c>
      <c r="L1728" s="53">
        <v>0</v>
      </c>
      <c r="M1728" s="53">
        <v>0</v>
      </c>
      <c r="N1728" s="53">
        <v>0</v>
      </c>
      <c r="O1728" s="53">
        <v>0</v>
      </c>
      <c r="P1728" s="53">
        <v>0</v>
      </c>
      <c r="Q1728" s="53">
        <v>0</v>
      </c>
      <c r="R1728" s="53">
        <v>0</v>
      </c>
    </row>
    <row r="1729" spans="1:18" x14ac:dyDescent="0.25">
      <c r="A1729" s="25" t="s">
        <v>60</v>
      </c>
      <c r="B1729" s="26">
        <v>2016</v>
      </c>
      <c r="C1729" s="74" t="s">
        <v>59</v>
      </c>
      <c r="D1729" s="27">
        <v>0</v>
      </c>
      <c r="E1729" s="53">
        <v>0</v>
      </c>
      <c r="F1729" s="53">
        <v>0</v>
      </c>
      <c r="G1729" s="53">
        <v>0</v>
      </c>
      <c r="H1729" s="53">
        <v>0</v>
      </c>
      <c r="I1729" s="53">
        <v>0</v>
      </c>
      <c r="J1729" s="53">
        <v>0</v>
      </c>
      <c r="K1729" s="53">
        <v>0</v>
      </c>
      <c r="L1729" s="53">
        <v>0</v>
      </c>
      <c r="M1729" s="53">
        <v>0</v>
      </c>
      <c r="N1729" s="53">
        <v>0</v>
      </c>
      <c r="O1729" s="53">
        <v>0</v>
      </c>
      <c r="P1729" s="53">
        <v>0</v>
      </c>
      <c r="Q1729" s="53">
        <v>0</v>
      </c>
      <c r="R1729" s="53">
        <v>0</v>
      </c>
    </row>
    <row r="1730" spans="1:18" x14ac:dyDescent="0.25">
      <c r="A1730" s="25" t="s">
        <v>57</v>
      </c>
      <c r="B1730" s="26">
        <v>2016</v>
      </c>
      <c r="C1730" s="74" t="s">
        <v>56</v>
      </c>
      <c r="D1730" s="27">
        <v>0</v>
      </c>
      <c r="E1730" s="53">
        <v>0</v>
      </c>
      <c r="F1730" s="53">
        <v>0</v>
      </c>
      <c r="G1730" s="53">
        <v>0</v>
      </c>
      <c r="H1730" s="53">
        <v>0</v>
      </c>
      <c r="I1730" s="53">
        <v>0</v>
      </c>
      <c r="J1730" s="53">
        <v>0</v>
      </c>
      <c r="K1730" s="53">
        <v>0</v>
      </c>
      <c r="L1730" s="53">
        <v>0</v>
      </c>
      <c r="M1730" s="53">
        <v>0</v>
      </c>
      <c r="N1730" s="53">
        <v>0</v>
      </c>
      <c r="O1730" s="53">
        <v>0</v>
      </c>
      <c r="P1730" s="53">
        <v>0</v>
      </c>
      <c r="Q1730" s="53">
        <v>0</v>
      </c>
      <c r="R1730" s="53">
        <v>0</v>
      </c>
    </row>
    <row r="1731" spans="1:18" x14ac:dyDescent="0.25">
      <c r="A1731" s="25" t="s">
        <v>391</v>
      </c>
      <c r="B1731" s="26">
        <v>2016</v>
      </c>
      <c r="C1731" s="74" t="s">
        <v>390</v>
      </c>
      <c r="D1731" s="27">
        <v>0</v>
      </c>
      <c r="E1731" s="53">
        <v>0</v>
      </c>
      <c r="F1731" s="53">
        <v>0</v>
      </c>
      <c r="G1731" s="53">
        <v>0</v>
      </c>
      <c r="H1731" s="53">
        <v>0</v>
      </c>
      <c r="I1731" s="53">
        <v>0</v>
      </c>
      <c r="J1731" s="53">
        <v>0</v>
      </c>
      <c r="K1731" s="53">
        <v>0</v>
      </c>
      <c r="L1731" s="53">
        <v>0</v>
      </c>
      <c r="M1731" s="53">
        <v>0</v>
      </c>
      <c r="N1731" s="53">
        <v>0</v>
      </c>
      <c r="O1731" s="53">
        <v>0</v>
      </c>
      <c r="P1731" s="53">
        <v>0</v>
      </c>
      <c r="Q1731" s="53">
        <v>0</v>
      </c>
      <c r="R1731" s="53">
        <v>0</v>
      </c>
    </row>
    <row r="1732" spans="1:18" x14ac:dyDescent="0.25">
      <c r="A1732" s="25" t="s">
        <v>389</v>
      </c>
      <c r="B1732" s="26">
        <v>2016</v>
      </c>
      <c r="C1732" s="74" t="s">
        <v>388</v>
      </c>
      <c r="D1732" s="27">
        <v>0</v>
      </c>
      <c r="E1732" s="53">
        <v>0</v>
      </c>
      <c r="F1732" s="53">
        <v>0</v>
      </c>
      <c r="G1732" s="53">
        <v>0</v>
      </c>
      <c r="H1732" s="53">
        <v>0</v>
      </c>
      <c r="I1732" s="53">
        <v>0</v>
      </c>
      <c r="J1732" s="53">
        <v>0</v>
      </c>
      <c r="K1732" s="53">
        <v>0</v>
      </c>
      <c r="L1732" s="53">
        <v>0</v>
      </c>
      <c r="M1732" s="53">
        <v>0</v>
      </c>
      <c r="N1732" s="53">
        <v>0</v>
      </c>
      <c r="O1732" s="53">
        <v>0</v>
      </c>
      <c r="P1732" s="53">
        <v>0</v>
      </c>
      <c r="Q1732" s="53">
        <v>0</v>
      </c>
      <c r="R1732" s="53">
        <v>0</v>
      </c>
    </row>
    <row r="1733" spans="1:18" x14ac:dyDescent="0.25">
      <c r="A1733" s="25" t="s">
        <v>387</v>
      </c>
      <c r="B1733" s="26">
        <v>2016</v>
      </c>
      <c r="C1733" s="74" t="s">
        <v>386</v>
      </c>
      <c r="D1733" s="27">
        <v>0</v>
      </c>
      <c r="E1733" s="53">
        <v>0</v>
      </c>
      <c r="F1733" s="53">
        <v>0</v>
      </c>
      <c r="G1733" s="53">
        <v>0</v>
      </c>
      <c r="H1733" s="53">
        <v>0</v>
      </c>
      <c r="I1733" s="53">
        <v>0</v>
      </c>
      <c r="J1733" s="53">
        <v>0</v>
      </c>
      <c r="K1733" s="53">
        <v>0</v>
      </c>
      <c r="L1733" s="53">
        <v>0</v>
      </c>
      <c r="M1733" s="53">
        <v>0</v>
      </c>
      <c r="N1733" s="53">
        <v>0</v>
      </c>
      <c r="O1733" s="53">
        <v>0</v>
      </c>
      <c r="P1733" s="53">
        <v>0</v>
      </c>
      <c r="Q1733" s="53">
        <v>0</v>
      </c>
      <c r="R1733" s="53">
        <v>0</v>
      </c>
    </row>
    <row r="1734" spans="1:18" x14ac:dyDescent="0.25">
      <c r="A1734" s="25" t="s">
        <v>367</v>
      </c>
      <c r="B1734" s="26">
        <v>2016</v>
      </c>
      <c r="C1734" s="74" t="s">
        <v>385</v>
      </c>
      <c r="D1734" s="27">
        <v>0</v>
      </c>
      <c r="E1734" s="53">
        <v>0</v>
      </c>
      <c r="F1734" s="53">
        <v>0</v>
      </c>
      <c r="G1734" s="53">
        <v>0</v>
      </c>
      <c r="H1734" s="53">
        <v>0</v>
      </c>
      <c r="I1734" s="53">
        <v>0</v>
      </c>
      <c r="J1734" s="53">
        <v>0</v>
      </c>
      <c r="K1734" s="53">
        <v>0</v>
      </c>
      <c r="L1734" s="53">
        <v>0</v>
      </c>
      <c r="M1734" s="53">
        <v>0</v>
      </c>
      <c r="N1734" s="53">
        <v>0</v>
      </c>
      <c r="O1734" s="53">
        <v>0</v>
      </c>
      <c r="P1734" s="53">
        <v>0</v>
      </c>
      <c r="Q1734" s="53">
        <v>0</v>
      </c>
      <c r="R1734" s="53">
        <v>0</v>
      </c>
    </row>
    <row r="1735" spans="1:18" x14ac:dyDescent="0.25">
      <c r="A1735" s="25" t="s">
        <v>366</v>
      </c>
      <c r="B1735" s="26">
        <v>2016</v>
      </c>
      <c r="C1735" s="74" t="s">
        <v>384</v>
      </c>
      <c r="D1735" s="27">
        <v>0</v>
      </c>
      <c r="E1735" s="53">
        <v>0</v>
      </c>
      <c r="F1735" s="53">
        <v>0</v>
      </c>
      <c r="G1735" s="53">
        <v>0</v>
      </c>
      <c r="H1735" s="53">
        <v>0</v>
      </c>
      <c r="I1735" s="53">
        <v>0</v>
      </c>
      <c r="J1735" s="53">
        <v>0</v>
      </c>
      <c r="K1735" s="53">
        <v>0</v>
      </c>
      <c r="L1735" s="53">
        <v>0</v>
      </c>
      <c r="M1735" s="53">
        <v>0</v>
      </c>
      <c r="N1735" s="53">
        <v>0</v>
      </c>
      <c r="O1735" s="53">
        <v>0</v>
      </c>
      <c r="P1735" s="53">
        <v>0</v>
      </c>
      <c r="Q1735" s="53">
        <v>0</v>
      </c>
      <c r="R1735" s="53">
        <v>0</v>
      </c>
    </row>
    <row r="1736" spans="1:18" x14ac:dyDescent="0.25">
      <c r="A1736" s="25" t="s">
        <v>49</v>
      </c>
      <c r="B1736" s="26">
        <v>2016</v>
      </c>
      <c r="C1736" s="74" t="s">
        <v>48</v>
      </c>
      <c r="D1736" s="27">
        <v>0</v>
      </c>
      <c r="E1736" s="53">
        <v>0</v>
      </c>
      <c r="F1736" s="53">
        <v>0</v>
      </c>
      <c r="G1736" s="53">
        <v>0</v>
      </c>
      <c r="H1736" s="53">
        <v>0</v>
      </c>
      <c r="I1736" s="53">
        <v>0</v>
      </c>
      <c r="J1736" s="53">
        <v>0</v>
      </c>
      <c r="K1736" s="53">
        <v>0</v>
      </c>
      <c r="L1736" s="53">
        <v>0</v>
      </c>
      <c r="M1736" s="53">
        <v>0</v>
      </c>
      <c r="N1736" s="53">
        <v>0</v>
      </c>
      <c r="O1736" s="53">
        <v>0</v>
      </c>
      <c r="P1736" s="53">
        <v>0</v>
      </c>
      <c r="Q1736" s="53">
        <v>0</v>
      </c>
      <c r="R1736" s="53">
        <v>0</v>
      </c>
    </row>
    <row r="1737" spans="1:18" x14ac:dyDescent="0.25">
      <c r="A1737" s="25" t="s">
        <v>43</v>
      </c>
      <c r="B1737" s="26">
        <v>2016</v>
      </c>
      <c r="C1737" s="74" t="s">
        <v>42</v>
      </c>
      <c r="D1737" s="27">
        <v>0</v>
      </c>
      <c r="E1737" s="53">
        <v>0</v>
      </c>
      <c r="F1737" s="53">
        <v>0</v>
      </c>
      <c r="G1737" s="53">
        <v>0</v>
      </c>
      <c r="H1737" s="53">
        <v>0</v>
      </c>
      <c r="I1737" s="53">
        <v>0</v>
      </c>
      <c r="J1737" s="53">
        <v>0</v>
      </c>
      <c r="K1737" s="53">
        <v>0</v>
      </c>
      <c r="L1737" s="53">
        <v>0</v>
      </c>
      <c r="M1737" s="53">
        <v>0</v>
      </c>
      <c r="N1737" s="53">
        <v>0</v>
      </c>
      <c r="O1737" s="53">
        <v>0</v>
      </c>
      <c r="P1737" s="53">
        <v>0</v>
      </c>
      <c r="Q1737" s="53">
        <v>0</v>
      </c>
      <c r="R1737" s="53">
        <v>0</v>
      </c>
    </row>
    <row r="1738" spans="1:18" x14ac:dyDescent="0.25">
      <c r="A1738" s="25" t="s">
        <v>47</v>
      </c>
      <c r="B1738" s="26">
        <v>2016</v>
      </c>
      <c r="C1738" s="74" t="s">
        <v>46</v>
      </c>
      <c r="D1738" s="27">
        <v>0</v>
      </c>
      <c r="E1738" s="53">
        <v>0</v>
      </c>
      <c r="F1738" s="53">
        <v>0</v>
      </c>
      <c r="G1738" s="53">
        <v>0</v>
      </c>
      <c r="H1738" s="53">
        <v>0</v>
      </c>
      <c r="I1738" s="53">
        <v>0</v>
      </c>
      <c r="J1738" s="53">
        <v>0</v>
      </c>
      <c r="K1738" s="53">
        <v>0</v>
      </c>
      <c r="L1738" s="53">
        <v>0</v>
      </c>
      <c r="M1738" s="53">
        <v>0</v>
      </c>
      <c r="N1738" s="53">
        <v>0</v>
      </c>
      <c r="O1738" s="53">
        <v>0</v>
      </c>
      <c r="P1738" s="53">
        <v>0</v>
      </c>
      <c r="Q1738" s="53">
        <v>0</v>
      </c>
      <c r="R1738" s="53">
        <v>0</v>
      </c>
    </row>
    <row r="1739" spans="1:18" x14ac:dyDescent="0.25">
      <c r="A1739" s="25" t="s">
        <v>45</v>
      </c>
      <c r="B1739" s="26">
        <v>2016</v>
      </c>
      <c r="C1739" s="74" t="s">
        <v>44</v>
      </c>
      <c r="D1739" s="27">
        <v>0</v>
      </c>
      <c r="E1739" s="53">
        <v>0</v>
      </c>
      <c r="F1739" s="53">
        <v>0</v>
      </c>
      <c r="G1739" s="53">
        <v>0</v>
      </c>
      <c r="H1739" s="53">
        <v>0</v>
      </c>
      <c r="I1739" s="53">
        <v>0</v>
      </c>
      <c r="J1739" s="53">
        <v>0</v>
      </c>
      <c r="K1739" s="53">
        <v>0</v>
      </c>
      <c r="L1739" s="53">
        <v>0</v>
      </c>
      <c r="M1739" s="53">
        <v>0</v>
      </c>
      <c r="N1739" s="53">
        <v>0</v>
      </c>
      <c r="O1739" s="53">
        <v>0</v>
      </c>
      <c r="P1739" s="53">
        <v>0</v>
      </c>
      <c r="Q1739" s="53">
        <v>0</v>
      </c>
      <c r="R1739" s="53">
        <v>0</v>
      </c>
    </row>
    <row r="1740" spans="1:18" x14ac:dyDescent="0.25">
      <c r="A1740" s="25" t="s">
        <v>41</v>
      </c>
      <c r="B1740" s="26">
        <v>2016</v>
      </c>
      <c r="C1740" s="74" t="s">
        <v>40</v>
      </c>
      <c r="D1740" s="27">
        <v>0</v>
      </c>
      <c r="E1740" s="53">
        <v>0</v>
      </c>
      <c r="F1740" s="53"/>
      <c r="G1740" s="53">
        <v>0</v>
      </c>
      <c r="H1740" s="53">
        <v>0</v>
      </c>
      <c r="I1740" s="53">
        <v>0</v>
      </c>
      <c r="J1740" s="53">
        <v>0</v>
      </c>
      <c r="K1740" s="53">
        <v>0</v>
      </c>
      <c r="L1740" s="53">
        <v>0</v>
      </c>
      <c r="M1740" s="53">
        <v>0</v>
      </c>
      <c r="N1740" s="53">
        <v>0</v>
      </c>
      <c r="O1740" s="53">
        <v>0</v>
      </c>
      <c r="P1740" s="53">
        <v>0</v>
      </c>
      <c r="Q1740" s="53">
        <v>0</v>
      </c>
      <c r="R1740" s="53">
        <v>0</v>
      </c>
    </row>
    <row r="1741" spans="1:18" x14ac:dyDescent="0.25">
      <c r="A1741" s="25" t="s">
        <v>37</v>
      </c>
      <c r="B1741" s="26">
        <v>2016</v>
      </c>
      <c r="C1741" s="74" t="s">
        <v>36</v>
      </c>
      <c r="D1741" s="27">
        <v>0</v>
      </c>
      <c r="E1741" s="53">
        <v>0</v>
      </c>
      <c r="F1741" s="53"/>
      <c r="G1741" s="53">
        <v>0</v>
      </c>
      <c r="H1741" s="53">
        <v>0</v>
      </c>
      <c r="I1741" s="53">
        <v>0</v>
      </c>
      <c r="J1741" s="53">
        <v>0</v>
      </c>
      <c r="K1741" s="53">
        <v>0</v>
      </c>
      <c r="L1741" s="53">
        <v>0</v>
      </c>
      <c r="M1741" s="53">
        <v>0</v>
      </c>
      <c r="N1741" s="53">
        <v>0</v>
      </c>
      <c r="O1741" s="53">
        <v>0</v>
      </c>
      <c r="P1741" s="53">
        <v>0</v>
      </c>
      <c r="Q1741" s="53">
        <v>0</v>
      </c>
      <c r="R1741" s="53">
        <v>0</v>
      </c>
    </row>
    <row r="1742" spans="1:18" x14ac:dyDescent="0.25">
      <c r="A1742" s="25" t="s">
        <v>35</v>
      </c>
      <c r="B1742" s="26">
        <v>2016</v>
      </c>
      <c r="C1742" s="74" t="s">
        <v>34</v>
      </c>
      <c r="D1742" s="27">
        <v>0</v>
      </c>
      <c r="E1742" s="53">
        <v>0</v>
      </c>
      <c r="F1742" s="53"/>
      <c r="G1742" s="53">
        <v>0</v>
      </c>
      <c r="H1742" s="53">
        <v>0</v>
      </c>
      <c r="I1742" s="53">
        <v>0</v>
      </c>
      <c r="J1742" s="53">
        <v>0</v>
      </c>
      <c r="K1742" s="53">
        <v>0</v>
      </c>
      <c r="L1742" s="53">
        <v>0</v>
      </c>
      <c r="M1742" s="53">
        <v>0</v>
      </c>
      <c r="N1742" s="53">
        <v>0</v>
      </c>
      <c r="O1742" s="53">
        <v>0</v>
      </c>
      <c r="P1742" s="53">
        <v>0</v>
      </c>
      <c r="Q1742" s="53">
        <v>0</v>
      </c>
      <c r="R1742" s="53">
        <v>0</v>
      </c>
    </row>
    <row r="1743" spans="1:18" x14ac:dyDescent="0.25">
      <c r="A1743" s="25" t="s">
        <v>33</v>
      </c>
      <c r="B1743" s="26">
        <v>2016</v>
      </c>
      <c r="C1743" s="74" t="s">
        <v>32</v>
      </c>
      <c r="D1743" s="27">
        <v>0</v>
      </c>
      <c r="E1743" s="53">
        <v>0</v>
      </c>
      <c r="F1743" s="53"/>
      <c r="G1743" s="53">
        <v>0</v>
      </c>
      <c r="H1743" s="53">
        <v>0</v>
      </c>
      <c r="I1743" s="53">
        <v>0</v>
      </c>
      <c r="J1743" s="53">
        <v>0</v>
      </c>
      <c r="K1743" s="53">
        <v>0</v>
      </c>
      <c r="L1743" s="53">
        <v>0</v>
      </c>
      <c r="M1743" s="53">
        <v>0</v>
      </c>
      <c r="N1743" s="53">
        <v>0</v>
      </c>
      <c r="O1743" s="53">
        <v>0</v>
      </c>
      <c r="P1743" s="53">
        <v>0</v>
      </c>
      <c r="Q1743" s="53">
        <v>0</v>
      </c>
      <c r="R1743" s="53">
        <v>0</v>
      </c>
    </row>
    <row r="1744" spans="1:18" x14ac:dyDescent="0.25">
      <c r="A1744" s="25" t="s">
        <v>31</v>
      </c>
      <c r="B1744" s="26">
        <v>2016</v>
      </c>
      <c r="C1744" s="74" t="s">
        <v>30</v>
      </c>
      <c r="D1744" s="27">
        <v>0</v>
      </c>
      <c r="E1744" s="53">
        <v>0</v>
      </c>
      <c r="F1744" s="53"/>
      <c r="G1744" s="53">
        <v>0</v>
      </c>
      <c r="H1744" s="53">
        <v>0</v>
      </c>
      <c r="I1744" s="53">
        <v>0</v>
      </c>
      <c r="J1744" s="53">
        <v>0</v>
      </c>
      <c r="K1744" s="53">
        <v>0</v>
      </c>
      <c r="L1744" s="53">
        <v>0</v>
      </c>
      <c r="M1744" s="53">
        <v>0</v>
      </c>
      <c r="N1744" s="53">
        <v>0</v>
      </c>
      <c r="O1744" s="53">
        <v>0</v>
      </c>
      <c r="P1744" s="53">
        <v>0</v>
      </c>
      <c r="Q1744" s="53">
        <v>0</v>
      </c>
      <c r="R1744" s="53">
        <v>0</v>
      </c>
    </row>
    <row r="1745" spans="1:18" x14ac:dyDescent="0.25">
      <c r="A1745" s="25" t="s">
        <v>29</v>
      </c>
      <c r="B1745" s="26">
        <v>2016</v>
      </c>
      <c r="C1745" s="74" t="s">
        <v>28</v>
      </c>
      <c r="D1745" s="27">
        <v>0</v>
      </c>
      <c r="E1745" s="53">
        <v>0</v>
      </c>
      <c r="F1745" s="53"/>
      <c r="G1745" s="53">
        <v>0</v>
      </c>
      <c r="H1745" s="53">
        <v>0</v>
      </c>
      <c r="I1745" s="53">
        <v>0</v>
      </c>
      <c r="J1745" s="53">
        <v>0</v>
      </c>
      <c r="K1745" s="53">
        <v>0</v>
      </c>
      <c r="L1745" s="53">
        <v>0</v>
      </c>
      <c r="M1745" s="53">
        <v>0</v>
      </c>
      <c r="N1745" s="53">
        <v>0</v>
      </c>
      <c r="O1745" s="53">
        <v>0</v>
      </c>
      <c r="P1745" s="53">
        <v>0</v>
      </c>
      <c r="Q1745" s="53">
        <v>0</v>
      </c>
      <c r="R1745" s="53">
        <v>0</v>
      </c>
    </row>
    <row r="1746" spans="1:18" x14ac:dyDescent="0.25">
      <c r="A1746" s="25" t="s">
        <v>27</v>
      </c>
      <c r="B1746" s="26">
        <v>2016</v>
      </c>
      <c r="C1746" s="74" t="s">
        <v>26</v>
      </c>
      <c r="D1746" s="27">
        <v>0</v>
      </c>
      <c r="E1746" s="53">
        <v>0</v>
      </c>
      <c r="F1746" s="53"/>
      <c r="G1746" s="53">
        <v>0</v>
      </c>
      <c r="H1746" s="53">
        <v>0</v>
      </c>
      <c r="I1746" s="53">
        <v>0</v>
      </c>
      <c r="J1746" s="53">
        <v>0</v>
      </c>
      <c r="K1746" s="53">
        <v>0</v>
      </c>
      <c r="L1746" s="53">
        <v>0</v>
      </c>
      <c r="M1746" s="53">
        <v>0</v>
      </c>
      <c r="N1746" s="53">
        <v>0</v>
      </c>
      <c r="O1746" s="53">
        <v>0</v>
      </c>
      <c r="P1746" s="53">
        <v>0</v>
      </c>
      <c r="Q1746" s="53">
        <v>0</v>
      </c>
      <c r="R1746" s="53">
        <v>0</v>
      </c>
    </row>
    <row r="1747" spans="1:18" x14ac:dyDescent="0.25">
      <c r="A1747" s="25" t="s">
        <v>25</v>
      </c>
      <c r="B1747" s="26">
        <v>2016</v>
      </c>
      <c r="C1747" s="74" t="s">
        <v>24</v>
      </c>
      <c r="D1747" s="27">
        <v>0</v>
      </c>
      <c r="E1747" s="53">
        <v>0</v>
      </c>
      <c r="F1747" s="53"/>
      <c r="G1747" s="53">
        <v>0</v>
      </c>
      <c r="H1747" s="53">
        <v>0</v>
      </c>
      <c r="I1747" s="53">
        <v>0</v>
      </c>
      <c r="J1747" s="53">
        <v>0</v>
      </c>
      <c r="K1747" s="53">
        <v>0</v>
      </c>
      <c r="L1747" s="53">
        <v>0</v>
      </c>
      <c r="M1747" s="53">
        <v>0</v>
      </c>
      <c r="N1747" s="53">
        <v>0</v>
      </c>
      <c r="O1747" s="53">
        <v>0</v>
      </c>
      <c r="P1747" s="53">
        <v>0</v>
      </c>
      <c r="Q1747" s="53">
        <v>0</v>
      </c>
      <c r="R1747" s="53">
        <v>0</v>
      </c>
    </row>
    <row r="1748" spans="1:18" x14ac:dyDescent="0.25">
      <c r="A1748" s="25" t="s">
        <v>23</v>
      </c>
      <c r="B1748" s="26">
        <v>2016</v>
      </c>
      <c r="C1748" s="74" t="s">
        <v>22</v>
      </c>
      <c r="D1748" s="27">
        <v>0</v>
      </c>
      <c r="E1748" s="53">
        <v>0</v>
      </c>
      <c r="F1748" s="53"/>
      <c r="G1748" s="53">
        <v>0</v>
      </c>
      <c r="H1748" s="53">
        <v>0</v>
      </c>
      <c r="I1748" s="53">
        <v>0</v>
      </c>
      <c r="J1748" s="53">
        <v>0</v>
      </c>
      <c r="K1748" s="53">
        <v>0</v>
      </c>
      <c r="L1748" s="53">
        <v>0</v>
      </c>
      <c r="M1748" s="53">
        <v>0</v>
      </c>
      <c r="N1748" s="53">
        <v>0</v>
      </c>
      <c r="O1748" s="53">
        <v>0</v>
      </c>
      <c r="P1748" s="53">
        <v>0</v>
      </c>
      <c r="Q1748" s="53">
        <v>0</v>
      </c>
      <c r="R1748" s="53">
        <v>0</v>
      </c>
    </row>
    <row r="1749" spans="1:18" x14ac:dyDescent="0.25">
      <c r="A1749" s="25" t="s">
        <v>6</v>
      </c>
      <c r="B1749" s="26">
        <v>2016</v>
      </c>
      <c r="C1749" s="74" t="s">
        <v>4</v>
      </c>
      <c r="D1749" s="27">
        <v>0</v>
      </c>
      <c r="E1749" s="53">
        <v>0</v>
      </c>
      <c r="F1749" s="53"/>
      <c r="G1749" s="53">
        <v>0</v>
      </c>
      <c r="H1749" s="53">
        <v>0</v>
      </c>
      <c r="I1749" s="53">
        <v>0</v>
      </c>
      <c r="J1749" s="53">
        <v>0</v>
      </c>
      <c r="K1749" s="53">
        <v>0</v>
      </c>
      <c r="L1749" s="53">
        <v>0</v>
      </c>
      <c r="M1749" s="53">
        <v>0</v>
      </c>
      <c r="N1749" s="53">
        <v>0</v>
      </c>
      <c r="O1749" s="53">
        <v>0</v>
      </c>
      <c r="P1749" s="53">
        <v>0</v>
      </c>
      <c r="Q1749" s="53">
        <v>0</v>
      </c>
      <c r="R1749" s="53">
        <v>0</v>
      </c>
    </row>
    <row r="1750" spans="1:18" x14ac:dyDescent="0.25">
      <c r="A1750" s="25" t="s">
        <v>5</v>
      </c>
      <c r="B1750" s="26">
        <v>2016</v>
      </c>
      <c r="C1750" s="74" t="s">
        <v>4</v>
      </c>
      <c r="D1750" s="27">
        <v>0</v>
      </c>
      <c r="E1750" s="53">
        <v>0</v>
      </c>
      <c r="F1750" s="53"/>
      <c r="G1750" s="53">
        <v>0</v>
      </c>
      <c r="H1750" s="53">
        <v>0</v>
      </c>
      <c r="I1750" s="53">
        <v>0</v>
      </c>
      <c r="J1750" s="53">
        <v>0</v>
      </c>
      <c r="K1750" s="53">
        <v>0</v>
      </c>
      <c r="L1750" s="53">
        <v>0</v>
      </c>
      <c r="M1750" s="53">
        <v>0</v>
      </c>
      <c r="N1750" s="53">
        <v>0</v>
      </c>
      <c r="O1750" s="53">
        <v>0</v>
      </c>
      <c r="P1750" s="53">
        <v>0</v>
      </c>
      <c r="Q1750" s="53">
        <v>0</v>
      </c>
      <c r="R1750" s="53">
        <v>0</v>
      </c>
    </row>
    <row r="1751" spans="1:18" x14ac:dyDescent="0.25">
      <c r="A1751" s="25" t="s">
        <v>39</v>
      </c>
      <c r="B1751" s="26">
        <v>2016</v>
      </c>
      <c r="C1751" s="74" t="s">
        <v>38</v>
      </c>
      <c r="D1751" s="27">
        <v>0</v>
      </c>
      <c r="E1751" s="53">
        <v>0</v>
      </c>
      <c r="F1751" s="53"/>
      <c r="G1751" s="53">
        <v>0</v>
      </c>
      <c r="H1751" s="53">
        <v>0</v>
      </c>
      <c r="I1751" s="53">
        <v>0</v>
      </c>
      <c r="J1751" s="53">
        <v>0</v>
      </c>
      <c r="K1751" s="53">
        <v>0</v>
      </c>
      <c r="L1751" s="53">
        <v>0</v>
      </c>
      <c r="M1751" s="53">
        <v>0</v>
      </c>
      <c r="N1751" s="53">
        <v>0</v>
      </c>
      <c r="O1751" s="53">
        <v>0</v>
      </c>
      <c r="P1751" s="53">
        <v>0</v>
      </c>
      <c r="Q1751" s="53">
        <v>0</v>
      </c>
      <c r="R1751" s="53">
        <v>0</v>
      </c>
    </row>
    <row r="1752" spans="1:18" x14ac:dyDescent="0.25">
      <c r="A1752" s="25" t="s">
        <v>17</v>
      </c>
      <c r="B1752" s="26">
        <v>2016</v>
      </c>
      <c r="C1752" s="74" t="s">
        <v>16</v>
      </c>
      <c r="D1752" s="27">
        <v>0</v>
      </c>
      <c r="E1752" s="53">
        <v>0</v>
      </c>
      <c r="F1752" s="53"/>
      <c r="G1752" s="53">
        <v>0</v>
      </c>
      <c r="H1752" s="53">
        <v>0</v>
      </c>
      <c r="I1752" s="53">
        <v>0</v>
      </c>
      <c r="J1752" s="53">
        <v>0</v>
      </c>
      <c r="K1752" s="53">
        <v>0</v>
      </c>
      <c r="L1752" s="53">
        <v>0</v>
      </c>
      <c r="M1752" s="53">
        <v>0</v>
      </c>
      <c r="N1752" s="53">
        <v>0</v>
      </c>
      <c r="O1752" s="53">
        <v>0</v>
      </c>
      <c r="P1752" s="53">
        <v>0</v>
      </c>
      <c r="Q1752" s="53">
        <v>0</v>
      </c>
      <c r="R1752" s="53">
        <v>0</v>
      </c>
    </row>
    <row r="1753" spans="1:18" x14ac:dyDescent="0.25">
      <c r="A1753" s="25" t="s">
        <v>383</v>
      </c>
      <c r="B1753" s="26">
        <v>2016</v>
      </c>
      <c r="C1753" s="74" t="s">
        <v>382</v>
      </c>
      <c r="D1753" s="27">
        <v>0</v>
      </c>
      <c r="E1753" s="53">
        <v>0</v>
      </c>
      <c r="F1753" s="53"/>
      <c r="G1753" s="53">
        <v>0</v>
      </c>
      <c r="H1753" s="53">
        <v>0</v>
      </c>
      <c r="I1753" s="53">
        <v>0</v>
      </c>
      <c r="J1753" s="53">
        <v>0</v>
      </c>
      <c r="K1753" s="53">
        <v>0</v>
      </c>
      <c r="L1753" s="53">
        <v>0</v>
      </c>
      <c r="M1753" s="53">
        <v>0</v>
      </c>
      <c r="N1753" s="53">
        <v>0</v>
      </c>
      <c r="O1753" s="53">
        <v>0</v>
      </c>
      <c r="P1753" s="53">
        <v>0</v>
      </c>
      <c r="Q1753" s="53">
        <v>0</v>
      </c>
      <c r="R1753" s="53">
        <v>0</v>
      </c>
    </row>
    <row r="1754" spans="1:18" x14ac:dyDescent="0.25">
      <c r="A1754" s="25" t="s">
        <v>381</v>
      </c>
      <c r="B1754" s="26">
        <v>2016</v>
      </c>
      <c r="C1754" s="74" t="s">
        <v>380</v>
      </c>
      <c r="D1754" s="27">
        <v>0</v>
      </c>
      <c r="E1754" s="53">
        <v>0</v>
      </c>
      <c r="F1754" s="53"/>
      <c r="G1754" s="53">
        <v>0</v>
      </c>
      <c r="H1754" s="53">
        <v>0</v>
      </c>
      <c r="I1754" s="53">
        <v>0</v>
      </c>
      <c r="J1754" s="53">
        <v>0</v>
      </c>
      <c r="K1754" s="53">
        <v>0</v>
      </c>
      <c r="L1754" s="53">
        <v>0</v>
      </c>
      <c r="M1754" s="53">
        <v>0</v>
      </c>
      <c r="N1754" s="53">
        <v>0</v>
      </c>
      <c r="O1754" s="53">
        <v>0</v>
      </c>
      <c r="P1754" s="53">
        <v>0</v>
      </c>
      <c r="Q1754" s="53">
        <v>0</v>
      </c>
      <c r="R1754" s="53">
        <v>0</v>
      </c>
    </row>
    <row r="1755" spans="1:18" x14ac:dyDescent="0.25">
      <c r="A1755" s="25" t="s">
        <v>15</v>
      </c>
      <c r="B1755" s="26">
        <v>2016</v>
      </c>
      <c r="C1755" s="74" t="s">
        <v>14</v>
      </c>
      <c r="D1755" s="27">
        <v>0</v>
      </c>
      <c r="E1755" s="53">
        <v>0</v>
      </c>
      <c r="F1755" s="53"/>
      <c r="G1755" s="53">
        <v>0</v>
      </c>
      <c r="H1755" s="53">
        <v>0</v>
      </c>
      <c r="I1755" s="53">
        <v>0</v>
      </c>
      <c r="J1755" s="53">
        <v>0</v>
      </c>
      <c r="K1755" s="53">
        <v>0</v>
      </c>
      <c r="L1755" s="53">
        <v>0</v>
      </c>
      <c r="M1755" s="53">
        <v>0</v>
      </c>
      <c r="N1755" s="53">
        <v>0</v>
      </c>
      <c r="O1755" s="53">
        <v>0</v>
      </c>
      <c r="P1755" s="53">
        <v>0</v>
      </c>
      <c r="Q1755" s="53">
        <v>0</v>
      </c>
      <c r="R1755" s="53">
        <v>0</v>
      </c>
    </row>
    <row r="1756" spans="1:18" x14ac:dyDescent="0.25">
      <c r="A1756" s="25" t="s">
        <v>13</v>
      </c>
      <c r="B1756" s="26">
        <v>2016</v>
      </c>
      <c r="C1756" s="74" t="s">
        <v>11</v>
      </c>
      <c r="D1756" s="27">
        <v>0</v>
      </c>
      <c r="E1756" s="53">
        <v>0</v>
      </c>
      <c r="F1756" s="53"/>
      <c r="G1756" s="53">
        <v>0</v>
      </c>
      <c r="H1756" s="53">
        <v>0</v>
      </c>
      <c r="I1756" s="53">
        <v>0</v>
      </c>
      <c r="J1756" s="53">
        <v>0</v>
      </c>
      <c r="K1756" s="53">
        <v>0</v>
      </c>
      <c r="L1756" s="53">
        <v>0</v>
      </c>
      <c r="M1756" s="53">
        <v>0</v>
      </c>
      <c r="N1756" s="53">
        <v>0</v>
      </c>
      <c r="O1756" s="53">
        <v>0</v>
      </c>
      <c r="P1756" s="53">
        <v>0</v>
      </c>
      <c r="Q1756" s="53">
        <v>0</v>
      </c>
      <c r="R1756" s="53">
        <v>0</v>
      </c>
    </row>
    <row r="1757" spans="1:18" x14ac:dyDescent="0.25">
      <c r="A1757" s="25" t="s">
        <v>10</v>
      </c>
      <c r="B1757" s="26">
        <v>2016</v>
      </c>
      <c r="C1757" s="74" t="s">
        <v>9</v>
      </c>
      <c r="D1757" s="27">
        <v>0</v>
      </c>
      <c r="E1757" s="53">
        <v>0</v>
      </c>
      <c r="F1757" s="53"/>
      <c r="G1757" s="53">
        <v>0</v>
      </c>
      <c r="H1757" s="53">
        <v>0</v>
      </c>
      <c r="I1757" s="53">
        <v>0</v>
      </c>
      <c r="J1757" s="53">
        <v>0</v>
      </c>
      <c r="K1757" s="53">
        <v>0</v>
      </c>
      <c r="L1757" s="53">
        <v>0</v>
      </c>
      <c r="M1757" s="53">
        <v>0</v>
      </c>
      <c r="N1757" s="53">
        <v>0</v>
      </c>
      <c r="O1757" s="53">
        <v>0</v>
      </c>
      <c r="P1757" s="53">
        <v>0</v>
      </c>
      <c r="Q1757" s="53">
        <v>0</v>
      </c>
      <c r="R1757" s="53">
        <v>0</v>
      </c>
    </row>
    <row r="1758" spans="1:18" x14ac:dyDescent="0.25">
      <c r="A1758" s="25" t="s">
        <v>8</v>
      </c>
      <c r="B1758" s="26">
        <v>2016</v>
      </c>
      <c r="C1758" s="74" t="s">
        <v>7</v>
      </c>
      <c r="D1758" s="27">
        <v>0</v>
      </c>
      <c r="E1758" s="53">
        <v>0</v>
      </c>
      <c r="F1758" s="53"/>
      <c r="G1758" s="53">
        <v>0</v>
      </c>
      <c r="H1758" s="53">
        <v>0</v>
      </c>
      <c r="I1758" s="53">
        <v>0</v>
      </c>
      <c r="J1758" s="53">
        <v>0</v>
      </c>
      <c r="K1758" s="53">
        <v>0</v>
      </c>
      <c r="L1758" s="53">
        <v>0</v>
      </c>
      <c r="M1758" s="53">
        <v>0</v>
      </c>
      <c r="N1758" s="53">
        <v>0</v>
      </c>
      <c r="O1758" s="53">
        <v>0</v>
      </c>
      <c r="P1758" s="53">
        <v>0</v>
      </c>
      <c r="Q1758" s="53">
        <v>0</v>
      </c>
      <c r="R1758" s="53">
        <v>0</v>
      </c>
    </row>
    <row r="1759" spans="1:18" x14ac:dyDescent="0.25">
      <c r="A1759" s="25" t="s">
        <v>3</v>
      </c>
      <c r="B1759" s="26">
        <v>2016</v>
      </c>
      <c r="C1759" s="74" t="s">
        <v>0</v>
      </c>
      <c r="D1759" s="27">
        <v>0</v>
      </c>
      <c r="E1759" s="53">
        <v>0</v>
      </c>
      <c r="F1759" s="53"/>
      <c r="G1759" s="53">
        <v>0</v>
      </c>
      <c r="H1759" s="53">
        <v>0</v>
      </c>
      <c r="I1759" s="53">
        <v>0</v>
      </c>
      <c r="J1759" s="53">
        <v>0</v>
      </c>
      <c r="K1759" s="53">
        <v>0</v>
      </c>
      <c r="L1759" s="53">
        <v>0</v>
      </c>
      <c r="M1759" s="53">
        <v>0</v>
      </c>
      <c r="N1759" s="53">
        <v>0</v>
      </c>
      <c r="O1759" s="53">
        <v>0</v>
      </c>
      <c r="P1759" s="53">
        <v>0</v>
      </c>
      <c r="Q1759" s="53">
        <v>0</v>
      </c>
      <c r="R1759" s="53">
        <v>0</v>
      </c>
    </row>
    <row r="1760" spans="1:18" x14ac:dyDescent="0.25">
      <c r="A1760" s="25" t="s">
        <v>361</v>
      </c>
      <c r="B1760" s="26">
        <v>2016</v>
      </c>
      <c r="C1760" s="74" t="s">
        <v>379</v>
      </c>
      <c r="D1760" s="27">
        <v>0</v>
      </c>
      <c r="E1760" s="53">
        <v>0</v>
      </c>
      <c r="F1760" s="53">
        <v>0</v>
      </c>
      <c r="G1760" s="53">
        <v>0</v>
      </c>
      <c r="H1760" s="53">
        <v>0</v>
      </c>
      <c r="I1760" s="53">
        <v>0</v>
      </c>
      <c r="J1760" s="53">
        <v>0</v>
      </c>
      <c r="K1760" s="53">
        <v>0</v>
      </c>
      <c r="L1760" s="53">
        <v>0</v>
      </c>
      <c r="M1760" s="53">
        <v>0</v>
      </c>
      <c r="N1760" s="53">
        <v>0</v>
      </c>
      <c r="O1760" s="53">
        <v>0</v>
      </c>
      <c r="P1760" s="53">
        <v>0</v>
      </c>
      <c r="Q1760" s="53">
        <v>0</v>
      </c>
      <c r="R1760" s="53">
        <v>0</v>
      </c>
    </row>
    <row r="1761" spans="1:18" x14ac:dyDescent="0.25">
      <c r="A1761" s="25" t="s">
        <v>360</v>
      </c>
      <c r="B1761" s="26">
        <v>2016</v>
      </c>
      <c r="C1761" s="74" t="s">
        <v>359</v>
      </c>
      <c r="D1761" s="27">
        <v>0</v>
      </c>
      <c r="E1761" s="53">
        <v>214566013365</v>
      </c>
      <c r="F1761" s="53">
        <v>214566013365</v>
      </c>
      <c r="G1761" s="53">
        <v>0</v>
      </c>
      <c r="H1761" s="53">
        <v>0</v>
      </c>
      <c r="I1761" s="53">
        <v>0</v>
      </c>
      <c r="J1761" s="53">
        <v>0</v>
      </c>
      <c r="K1761" s="53">
        <v>0</v>
      </c>
      <c r="L1761" s="53">
        <v>0</v>
      </c>
      <c r="M1761" s="53">
        <v>0</v>
      </c>
      <c r="N1761" s="53">
        <v>0</v>
      </c>
      <c r="O1761" s="53">
        <v>0</v>
      </c>
      <c r="P1761" s="53">
        <v>25712094840.459999</v>
      </c>
      <c r="Q1761" s="53">
        <v>18687178386.169998</v>
      </c>
      <c r="R1761" s="53">
        <v>19022113584.080002</v>
      </c>
    </row>
    <row r="1762" spans="1:18" x14ac:dyDescent="0.25">
      <c r="A1762" s="25" t="s">
        <v>358</v>
      </c>
      <c r="B1762" s="26">
        <v>2016</v>
      </c>
      <c r="C1762" s="74" t="s">
        <v>357</v>
      </c>
      <c r="D1762" s="27">
        <v>0</v>
      </c>
      <c r="E1762" s="53">
        <v>137959810508</v>
      </c>
      <c r="F1762" s="53">
        <v>137959810508</v>
      </c>
      <c r="G1762" s="53">
        <v>0</v>
      </c>
      <c r="H1762" s="53">
        <v>0</v>
      </c>
      <c r="I1762" s="53">
        <v>0</v>
      </c>
      <c r="J1762" s="53">
        <v>0</v>
      </c>
      <c r="K1762" s="53">
        <v>0</v>
      </c>
      <c r="L1762" s="53">
        <v>0</v>
      </c>
      <c r="M1762" s="53">
        <v>0</v>
      </c>
      <c r="N1762" s="53">
        <v>0</v>
      </c>
      <c r="O1762" s="53">
        <v>0</v>
      </c>
      <c r="P1762" s="53">
        <v>11765190031.809999</v>
      </c>
      <c r="Q1762" s="53">
        <v>5971257183.1899996</v>
      </c>
      <c r="R1762" s="53">
        <v>11733884632.33</v>
      </c>
    </row>
    <row r="1763" spans="1:18" x14ac:dyDescent="0.25">
      <c r="A1763" s="25" t="s">
        <v>356</v>
      </c>
      <c r="B1763" s="26">
        <v>2016</v>
      </c>
      <c r="C1763" s="74" t="s">
        <v>355</v>
      </c>
      <c r="D1763" s="27">
        <v>0</v>
      </c>
      <c r="E1763" s="53">
        <v>45211430361</v>
      </c>
      <c r="F1763" s="53">
        <v>45211430361</v>
      </c>
      <c r="G1763" s="53">
        <v>0</v>
      </c>
      <c r="H1763" s="53">
        <v>0</v>
      </c>
      <c r="I1763" s="53">
        <v>0</v>
      </c>
      <c r="J1763" s="53">
        <v>0</v>
      </c>
      <c r="K1763" s="53">
        <v>0</v>
      </c>
      <c r="L1763" s="53">
        <v>0</v>
      </c>
      <c r="M1763" s="53">
        <v>0</v>
      </c>
      <c r="N1763" s="53">
        <v>0</v>
      </c>
      <c r="O1763" s="53">
        <v>0</v>
      </c>
      <c r="P1763" s="53">
        <v>2930359888.0999999</v>
      </c>
      <c r="Q1763" s="53">
        <v>2129510398.1700001</v>
      </c>
      <c r="R1763" s="53">
        <v>18256646986.119999</v>
      </c>
    </row>
    <row r="1764" spans="1:18" x14ac:dyDescent="0.25">
      <c r="A1764" s="25" t="s">
        <v>353</v>
      </c>
      <c r="B1764" s="26">
        <v>2016</v>
      </c>
      <c r="C1764" s="74" t="s">
        <v>352</v>
      </c>
      <c r="D1764" s="27">
        <v>0</v>
      </c>
      <c r="E1764" s="53">
        <v>96003600000</v>
      </c>
      <c r="F1764" s="53">
        <v>96003600000</v>
      </c>
      <c r="G1764" s="53">
        <v>0</v>
      </c>
      <c r="H1764" s="53">
        <v>0</v>
      </c>
      <c r="I1764" s="53">
        <v>0</v>
      </c>
      <c r="J1764" s="53">
        <v>0</v>
      </c>
      <c r="K1764" s="53">
        <v>0</v>
      </c>
      <c r="L1764" s="53">
        <v>0</v>
      </c>
      <c r="M1764" s="53">
        <v>0</v>
      </c>
      <c r="N1764" s="53">
        <v>0</v>
      </c>
      <c r="O1764" s="53">
        <v>0</v>
      </c>
      <c r="P1764" s="53">
        <v>5936452124.2799997</v>
      </c>
      <c r="Q1764" s="53">
        <v>4677560337.3500004</v>
      </c>
      <c r="R1764" s="53">
        <v>14335406644.540001</v>
      </c>
    </row>
    <row r="1765" spans="1:18" x14ac:dyDescent="0.25">
      <c r="A1765" s="25" t="s">
        <v>351</v>
      </c>
      <c r="B1765" s="26">
        <v>2016</v>
      </c>
      <c r="C1765" s="74" t="s">
        <v>350</v>
      </c>
      <c r="D1765" s="27">
        <v>0</v>
      </c>
      <c r="E1765" s="53">
        <v>578195716010</v>
      </c>
      <c r="F1765" s="53">
        <v>578195716010</v>
      </c>
      <c r="G1765" s="53">
        <v>0</v>
      </c>
      <c r="H1765" s="53">
        <v>0</v>
      </c>
      <c r="I1765" s="53">
        <v>0</v>
      </c>
      <c r="J1765" s="53">
        <v>0</v>
      </c>
      <c r="K1765" s="53">
        <v>0</v>
      </c>
      <c r="L1765" s="53">
        <v>0</v>
      </c>
      <c r="M1765" s="53">
        <v>0</v>
      </c>
      <c r="N1765" s="53">
        <v>0</v>
      </c>
      <c r="O1765" s="53">
        <v>0</v>
      </c>
      <c r="P1765" s="53">
        <v>21186849210.18</v>
      </c>
      <c r="Q1765" s="53">
        <v>13257473530.27</v>
      </c>
      <c r="R1765" s="53">
        <v>169750640779.35999</v>
      </c>
    </row>
    <row r="1766" spans="1:18" x14ac:dyDescent="0.25">
      <c r="A1766" s="25" t="s">
        <v>348</v>
      </c>
      <c r="B1766" s="26">
        <v>2016</v>
      </c>
      <c r="C1766" s="74" t="s">
        <v>344</v>
      </c>
      <c r="D1766" s="27">
        <v>0</v>
      </c>
      <c r="E1766" s="53">
        <v>615690000</v>
      </c>
      <c r="F1766" s="53">
        <v>615690000</v>
      </c>
      <c r="G1766" s="53">
        <v>0</v>
      </c>
      <c r="H1766" s="53">
        <v>0</v>
      </c>
      <c r="I1766" s="53">
        <v>0</v>
      </c>
      <c r="J1766" s="53">
        <v>0</v>
      </c>
      <c r="K1766" s="53">
        <v>0</v>
      </c>
      <c r="L1766" s="53">
        <v>0</v>
      </c>
      <c r="M1766" s="53">
        <v>0</v>
      </c>
      <c r="N1766" s="53">
        <v>0</v>
      </c>
      <c r="O1766" s="53">
        <v>0</v>
      </c>
      <c r="P1766" s="53">
        <v>44103500</v>
      </c>
      <c r="Q1766" s="53">
        <v>61272414</v>
      </c>
      <c r="R1766" s="53">
        <v>127494889</v>
      </c>
    </row>
    <row r="1767" spans="1:18" x14ac:dyDescent="0.25">
      <c r="A1767" s="25" t="s">
        <v>347</v>
      </c>
      <c r="B1767" s="26">
        <v>2016</v>
      </c>
      <c r="C1767" s="74" t="s">
        <v>342</v>
      </c>
      <c r="D1767" s="27">
        <v>0</v>
      </c>
      <c r="E1767" s="53">
        <v>30000000000</v>
      </c>
      <c r="F1767" s="53">
        <v>30000000000</v>
      </c>
      <c r="G1767" s="53">
        <v>0</v>
      </c>
      <c r="H1767" s="53">
        <v>0</v>
      </c>
      <c r="I1767" s="53">
        <v>0</v>
      </c>
      <c r="J1767" s="53">
        <v>0</v>
      </c>
      <c r="K1767" s="53">
        <v>0</v>
      </c>
      <c r="L1767" s="53">
        <v>0</v>
      </c>
      <c r="M1767" s="53">
        <v>0</v>
      </c>
      <c r="N1767" s="53">
        <v>0</v>
      </c>
      <c r="O1767" s="53">
        <v>0</v>
      </c>
      <c r="P1767" s="53">
        <v>2707116860.4299998</v>
      </c>
      <c r="Q1767" s="53">
        <v>2452850937.9000001</v>
      </c>
      <c r="R1767" s="53">
        <v>10014306027.709999</v>
      </c>
    </row>
    <row r="1768" spans="1:18" x14ac:dyDescent="0.25">
      <c r="A1768" s="25" t="s">
        <v>345</v>
      </c>
      <c r="B1768" s="26">
        <v>2016</v>
      </c>
      <c r="C1768" s="74" t="s">
        <v>344</v>
      </c>
      <c r="D1768" s="27">
        <v>0</v>
      </c>
      <c r="E1768" s="53">
        <v>41625000000</v>
      </c>
      <c r="F1768" s="53">
        <v>41625000000</v>
      </c>
      <c r="G1768" s="53">
        <v>0</v>
      </c>
      <c r="H1768" s="53">
        <v>0</v>
      </c>
      <c r="I1768" s="53">
        <v>0</v>
      </c>
      <c r="J1768" s="53">
        <v>0</v>
      </c>
      <c r="K1768" s="53">
        <v>0</v>
      </c>
      <c r="L1768" s="53">
        <v>0</v>
      </c>
      <c r="M1768" s="53">
        <v>0</v>
      </c>
      <c r="N1768" s="53">
        <v>0</v>
      </c>
      <c r="O1768" s="53">
        <v>0</v>
      </c>
      <c r="P1768" s="53">
        <v>8939776519.8400002</v>
      </c>
      <c r="Q1768" s="53">
        <v>2568931560.1399999</v>
      </c>
      <c r="R1768" s="53">
        <v>4307165290.5100002</v>
      </c>
    </row>
    <row r="1769" spans="1:18" x14ac:dyDescent="0.25">
      <c r="A1769" s="25" t="s">
        <v>343</v>
      </c>
      <c r="B1769" s="26">
        <v>2016</v>
      </c>
      <c r="C1769" s="74" t="s">
        <v>342</v>
      </c>
      <c r="D1769" s="27">
        <v>0</v>
      </c>
      <c r="E1769" s="53">
        <v>13875000000</v>
      </c>
      <c r="F1769" s="53">
        <v>13875000000</v>
      </c>
      <c r="G1769" s="53">
        <v>0</v>
      </c>
      <c r="H1769" s="53">
        <v>0</v>
      </c>
      <c r="I1769" s="53">
        <v>0</v>
      </c>
      <c r="J1769" s="53">
        <v>0</v>
      </c>
      <c r="K1769" s="53">
        <v>0</v>
      </c>
      <c r="L1769" s="53">
        <v>0</v>
      </c>
      <c r="M1769" s="53">
        <v>0</v>
      </c>
      <c r="N1769" s="53">
        <v>0</v>
      </c>
      <c r="O1769" s="53">
        <v>0</v>
      </c>
      <c r="P1769" s="53">
        <v>1629537576.8900001</v>
      </c>
      <c r="Q1769" s="53">
        <v>1387914465.29</v>
      </c>
      <c r="R1769" s="53">
        <v>1597877389.9300001</v>
      </c>
    </row>
    <row r="1770" spans="1:18" x14ac:dyDescent="0.25">
      <c r="A1770" s="25" t="s">
        <v>340</v>
      </c>
      <c r="B1770" s="26">
        <v>2016</v>
      </c>
      <c r="C1770" s="74" t="s">
        <v>339</v>
      </c>
      <c r="D1770" s="27">
        <v>0</v>
      </c>
      <c r="E1770" s="53">
        <v>142800000000</v>
      </c>
      <c r="F1770" s="53">
        <v>142800000000</v>
      </c>
      <c r="G1770" s="53">
        <v>0</v>
      </c>
      <c r="H1770" s="53">
        <v>0</v>
      </c>
      <c r="I1770" s="53">
        <v>0</v>
      </c>
      <c r="J1770" s="53">
        <v>0</v>
      </c>
      <c r="K1770" s="53">
        <v>0</v>
      </c>
      <c r="L1770" s="53">
        <v>0</v>
      </c>
      <c r="M1770" s="53">
        <v>0</v>
      </c>
      <c r="N1770" s="53">
        <v>0</v>
      </c>
      <c r="O1770" s="53">
        <v>0</v>
      </c>
      <c r="P1770" s="53">
        <v>14044398856</v>
      </c>
      <c r="Q1770" s="53">
        <v>12849289137.74</v>
      </c>
      <c r="R1770" s="53">
        <v>13221214038.24</v>
      </c>
    </row>
    <row r="1771" spans="1:18" x14ac:dyDescent="0.25">
      <c r="A1771" s="25" t="s">
        <v>338</v>
      </c>
      <c r="B1771" s="26">
        <v>2016</v>
      </c>
      <c r="C1771" s="74" t="s">
        <v>337</v>
      </c>
      <c r="D1771" s="27">
        <v>0</v>
      </c>
      <c r="E1771" s="53">
        <v>0</v>
      </c>
      <c r="F1771" s="53">
        <v>0</v>
      </c>
      <c r="G1771" s="53">
        <v>0</v>
      </c>
      <c r="H1771" s="53">
        <v>0</v>
      </c>
      <c r="I1771" s="53">
        <v>0</v>
      </c>
      <c r="J1771" s="53">
        <v>0</v>
      </c>
      <c r="K1771" s="53">
        <v>0</v>
      </c>
      <c r="L1771" s="53">
        <v>0</v>
      </c>
      <c r="M1771" s="53">
        <v>0</v>
      </c>
      <c r="N1771" s="53">
        <v>0</v>
      </c>
      <c r="O1771" s="53">
        <v>0</v>
      </c>
      <c r="P1771" s="53">
        <v>0</v>
      </c>
      <c r="Q1771" s="53">
        <v>0</v>
      </c>
      <c r="R1771" s="53">
        <v>0</v>
      </c>
    </row>
    <row r="1772" spans="1:18" x14ac:dyDescent="0.25">
      <c r="A1772" s="25" t="s">
        <v>335</v>
      </c>
      <c r="B1772" s="26">
        <v>2016</v>
      </c>
      <c r="C1772" s="74" t="s">
        <v>334</v>
      </c>
      <c r="D1772" s="27">
        <v>0</v>
      </c>
      <c r="E1772" s="53">
        <v>4100000000</v>
      </c>
      <c r="F1772" s="53">
        <v>4100000000</v>
      </c>
      <c r="G1772" s="53">
        <v>0</v>
      </c>
      <c r="H1772" s="53">
        <v>0</v>
      </c>
      <c r="I1772" s="53">
        <v>0</v>
      </c>
      <c r="J1772" s="53">
        <v>0</v>
      </c>
      <c r="K1772" s="53">
        <v>0</v>
      </c>
      <c r="L1772" s="53">
        <v>0</v>
      </c>
      <c r="M1772" s="53">
        <v>0</v>
      </c>
      <c r="N1772" s="53">
        <v>0</v>
      </c>
      <c r="O1772" s="53">
        <v>0</v>
      </c>
      <c r="P1772" s="53">
        <v>19283334</v>
      </c>
      <c r="Q1772" s="53">
        <v>36930143</v>
      </c>
      <c r="R1772" s="53">
        <v>157691996</v>
      </c>
    </row>
    <row r="1773" spans="1:18" x14ac:dyDescent="0.25">
      <c r="A1773" s="25" t="s">
        <v>332</v>
      </c>
      <c r="B1773" s="26">
        <v>2016</v>
      </c>
      <c r="C1773" s="74" t="s">
        <v>331</v>
      </c>
      <c r="D1773" s="27">
        <v>0</v>
      </c>
      <c r="E1773" s="53">
        <v>155000000000</v>
      </c>
      <c r="F1773" s="53">
        <v>155000000000</v>
      </c>
      <c r="G1773" s="53">
        <v>0</v>
      </c>
      <c r="H1773" s="53">
        <v>0</v>
      </c>
      <c r="I1773" s="53">
        <v>0</v>
      </c>
      <c r="J1773" s="53">
        <v>0</v>
      </c>
      <c r="K1773" s="53">
        <v>0</v>
      </c>
      <c r="L1773" s="53">
        <v>0</v>
      </c>
      <c r="M1773" s="53">
        <v>0</v>
      </c>
      <c r="N1773" s="53">
        <v>0</v>
      </c>
      <c r="O1773" s="53">
        <v>0</v>
      </c>
      <c r="P1773" s="53">
        <v>880325834.67999995</v>
      </c>
      <c r="Q1773" s="53">
        <v>19151438304.650002</v>
      </c>
      <c r="R1773" s="53">
        <v>108649443730.81</v>
      </c>
    </row>
    <row r="1774" spans="1:18" x14ac:dyDescent="0.25">
      <c r="A1774" s="25" t="s">
        <v>329</v>
      </c>
      <c r="B1774" s="26">
        <v>2016</v>
      </c>
      <c r="C1774" s="74" t="s">
        <v>328</v>
      </c>
      <c r="D1774" s="27">
        <v>0</v>
      </c>
      <c r="E1774" s="53">
        <v>166000000</v>
      </c>
      <c r="F1774" s="53">
        <v>166000000</v>
      </c>
      <c r="G1774" s="53">
        <v>0</v>
      </c>
      <c r="H1774" s="53">
        <v>0</v>
      </c>
      <c r="I1774" s="53">
        <v>0</v>
      </c>
      <c r="J1774" s="53">
        <v>0</v>
      </c>
      <c r="K1774" s="53">
        <v>0</v>
      </c>
      <c r="L1774" s="53">
        <v>0</v>
      </c>
      <c r="M1774" s="53">
        <v>0</v>
      </c>
      <c r="N1774" s="53">
        <v>0</v>
      </c>
      <c r="O1774" s="53">
        <v>0</v>
      </c>
      <c r="P1774" s="53">
        <v>1985085</v>
      </c>
      <c r="Q1774" s="53">
        <v>16631494</v>
      </c>
      <c r="R1774" s="53">
        <v>105681455</v>
      </c>
    </row>
    <row r="1775" spans="1:18" x14ac:dyDescent="0.25">
      <c r="A1775" s="25" t="s">
        <v>325</v>
      </c>
      <c r="B1775" s="26">
        <v>2016</v>
      </c>
      <c r="C1775" s="74" t="s">
        <v>324</v>
      </c>
      <c r="D1775" s="27">
        <v>0</v>
      </c>
      <c r="E1775" s="53">
        <v>96000000</v>
      </c>
      <c r="F1775" s="53">
        <v>96000000</v>
      </c>
      <c r="G1775" s="53">
        <v>0</v>
      </c>
      <c r="H1775" s="53">
        <v>0</v>
      </c>
      <c r="I1775" s="53">
        <v>0</v>
      </c>
      <c r="J1775" s="53">
        <v>0</v>
      </c>
      <c r="K1775" s="53">
        <v>0</v>
      </c>
      <c r="L1775" s="53">
        <v>0</v>
      </c>
      <c r="M1775" s="53">
        <v>0</v>
      </c>
      <c r="N1775" s="53">
        <v>0</v>
      </c>
      <c r="O1775" s="53">
        <v>0</v>
      </c>
      <c r="P1775" s="53">
        <v>10539868.75</v>
      </c>
      <c r="Q1775" s="53">
        <v>9578144.5700000003</v>
      </c>
      <c r="R1775" s="53">
        <v>10769563.460000001</v>
      </c>
    </row>
    <row r="1776" spans="1:18" x14ac:dyDescent="0.25">
      <c r="A1776" s="25" t="s">
        <v>378</v>
      </c>
      <c r="B1776" s="26">
        <v>2016</v>
      </c>
      <c r="C1776" s="74" t="s">
        <v>411</v>
      </c>
      <c r="D1776" s="27">
        <v>0</v>
      </c>
      <c r="E1776" s="53">
        <v>3000000000</v>
      </c>
      <c r="F1776" s="53">
        <v>3000000000</v>
      </c>
      <c r="G1776" s="53">
        <v>0</v>
      </c>
      <c r="H1776" s="53">
        <v>0</v>
      </c>
      <c r="I1776" s="53">
        <v>0</v>
      </c>
      <c r="J1776" s="53">
        <v>0</v>
      </c>
      <c r="K1776" s="53">
        <v>0</v>
      </c>
      <c r="L1776" s="53">
        <v>0</v>
      </c>
      <c r="M1776" s="53">
        <v>0</v>
      </c>
      <c r="N1776" s="53">
        <v>0</v>
      </c>
      <c r="O1776" s="53">
        <v>0</v>
      </c>
      <c r="P1776" s="53">
        <v>319289960.70999998</v>
      </c>
      <c r="Q1776" s="53">
        <v>301836405.41000003</v>
      </c>
      <c r="R1776" s="53">
        <v>514638449.25999999</v>
      </c>
    </row>
    <row r="1777" spans="1:18" x14ac:dyDescent="0.25">
      <c r="A1777" s="25" t="s">
        <v>320</v>
      </c>
      <c r="B1777" s="26">
        <v>2016</v>
      </c>
      <c r="C1777" s="74" t="s">
        <v>319</v>
      </c>
      <c r="D1777" s="27">
        <v>0</v>
      </c>
      <c r="E1777" s="53">
        <v>37000000000</v>
      </c>
      <c r="F1777" s="53">
        <v>37000000000</v>
      </c>
      <c r="G1777" s="53">
        <v>0</v>
      </c>
      <c r="H1777" s="53">
        <v>0</v>
      </c>
      <c r="I1777" s="53">
        <v>0</v>
      </c>
      <c r="J1777" s="53">
        <v>0</v>
      </c>
      <c r="K1777" s="53">
        <v>0</v>
      </c>
      <c r="L1777" s="53">
        <v>0</v>
      </c>
      <c r="M1777" s="53">
        <v>0</v>
      </c>
      <c r="N1777" s="53">
        <v>0</v>
      </c>
      <c r="O1777" s="53">
        <v>0</v>
      </c>
      <c r="P1777" s="53">
        <v>3099954571</v>
      </c>
      <c r="Q1777" s="53">
        <v>2850538483.23</v>
      </c>
      <c r="R1777" s="53">
        <v>2916948418</v>
      </c>
    </row>
    <row r="1778" spans="1:18" x14ac:dyDescent="0.25">
      <c r="A1778" s="25" t="s">
        <v>317</v>
      </c>
      <c r="B1778" s="26">
        <v>2016</v>
      </c>
      <c r="C1778" s="74" t="s">
        <v>316</v>
      </c>
      <c r="D1778" s="27">
        <v>0</v>
      </c>
      <c r="E1778" s="53">
        <v>23000000000</v>
      </c>
      <c r="F1778" s="53">
        <v>23000000000</v>
      </c>
      <c r="G1778" s="53">
        <v>0</v>
      </c>
      <c r="H1778" s="53">
        <v>0</v>
      </c>
      <c r="I1778" s="53">
        <v>0</v>
      </c>
      <c r="J1778" s="53">
        <v>0</v>
      </c>
      <c r="K1778" s="53">
        <v>0</v>
      </c>
      <c r="L1778" s="53">
        <v>0</v>
      </c>
      <c r="M1778" s="53">
        <v>0</v>
      </c>
      <c r="N1778" s="53">
        <v>0</v>
      </c>
      <c r="O1778" s="53">
        <v>0</v>
      </c>
      <c r="P1778" s="53">
        <v>1788938391</v>
      </c>
      <c r="Q1778" s="53">
        <v>1863509046.8399999</v>
      </c>
      <c r="R1778" s="53">
        <v>1637634987.3399999</v>
      </c>
    </row>
    <row r="1779" spans="1:18" x14ac:dyDescent="0.25">
      <c r="A1779" s="25" t="s">
        <v>313</v>
      </c>
      <c r="B1779" s="26">
        <v>2016</v>
      </c>
      <c r="C1779" s="74" t="s">
        <v>312</v>
      </c>
      <c r="D1779" s="27">
        <v>0</v>
      </c>
      <c r="E1779" s="53">
        <v>736764000000</v>
      </c>
      <c r="F1779" s="53">
        <v>736764000000</v>
      </c>
      <c r="G1779" s="53">
        <v>0</v>
      </c>
      <c r="H1779" s="53">
        <v>0</v>
      </c>
      <c r="I1779" s="53">
        <v>0</v>
      </c>
      <c r="J1779" s="53">
        <v>0</v>
      </c>
      <c r="K1779" s="53">
        <v>0</v>
      </c>
      <c r="L1779" s="53">
        <v>0</v>
      </c>
      <c r="M1779" s="53">
        <v>0</v>
      </c>
      <c r="N1779" s="53">
        <v>0</v>
      </c>
      <c r="O1779" s="53">
        <v>0</v>
      </c>
      <c r="P1779" s="53">
        <v>57088862392.660004</v>
      </c>
      <c r="Q1779" s="53">
        <v>59740820844.169998</v>
      </c>
      <c r="R1779" s="53">
        <v>64916933285.230003</v>
      </c>
    </row>
    <row r="1780" spans="1:18" x14ac:dyDescent="0.25">
      <c r="A1780" s="25" t="s">
        <v>310</v>
      </c>
      <c r="B1780" s="26">
        <v>2016</v>
      </c>
      <c r="C1780" s="74" t="s">
        <v>309</v>
      </c>
      <c r="D1780" s="27">
        <v>0</v>
      </c>
      <c r="E1780" s="53">
        <v>677694000000</v>
      </c>
      <c r="F1780" s="53">
        <v>677694000000</v>
      </c>
      <c r="G1780" s="53">
        <v>0</v>
      </c>
      <c r="H1780" s="53">
        <v>0</v>
      </c>
      <c r="I1780" s="53">
        <v>0</v>
      </c>
      <c r="J1780" s="53">
        <v>0</v>
      </c>
      <c r="K1780" s="53">
        <v>0</v>
      </c>
      <c r="L1780" s="53">
        <v>0</v>
      </c>
      <c r="M1780" s="53">
        <v>0</v>
      </c>
      <c r="N1780" s="53">
        <v>0</v>
      </c>
      <c r="O1780" s="53">
        <v>0</v>
      </c>
      <c r="P1780" s="53">
        <v>58878438705.82</v>
      </c>
      <c r="Q1780" s="53">
        <v>69901810172.610001</v>
      </c>
      <c r="R1780" s="53">
        <v>58547241731.040001</v>
      </c>
    </row>
    <row r="1781" spans="1:18" x14ac:dyDescent="0.25">
      <c r="A1781" s="25" t="s">
        <v>306</v>
      </c>
      <c r="B1781" s="26">
        <v>2016</v>
      </c>
      <c r="C1781" s="74" t="s">
        <v>305</v>
      </c>
      <c r="D1781" s="27">
        <v>0</v>
      </c>
      <c r="E1781" s="53">
        <v>23000000000</v>
      </c>
      <c r="F1781" s="53">
        <v>23000000000</v>
      </c>
      <c r="G1781" s="53">
        <v>0</v>
      </c>
      <c r="H1781" s="53">
        <v>0</v>
      </c>
      <c r="I1781" s="53">
        <v>0</v>
      </c>
      <c r="J1781" s="53">
        <v>0</v>
      </c>
      <c r="K1781" s="53">
        <v>0</v>
      </c>
      <c r="L1781" s="53">
        <v>0</v>
      </c>
      <c r="M1781" s="53">
        <v>0</v>
      </c>
      <c r="N1781" s="53">
        <v>0</v>
      </c>
      <c r="O1781" s="53">
        <v>0</v>
      </c>
      <c r="P1781" s="53">
        <v>1773346532.46</v>
      </c>
      <c r="Q1781" s="53">
        <v>1960766174.98</v>
      </c>
      <c r="R1781" s="53">
        <v>2176970432.8400002</v>
      </c>
    </row>
    <row r="1782" spans="1:18" x14ac:dyDescent="0.25">
      <c r="A1782" s="25" t="s">
        <v>303</v>
      </c>
      <c r="B1782" s="26">
        <v>2016</v>
      </c>
      <c r="C1782" s="74" t="s">
        <v>302</v>
      </c>
      <c r="D1782" s="27">
        <v>0</v>
      </c>
      <c r="E1782" s="53">
        <v>221000000000</v>
      </c>
      <c r="F1782" s="53">
        <v>221000000000</v>
      </c>
      <c r="G1782" s="53">
        <v>0</v>
      </c>
      <c r="H1782" s="53">
        <v>0</v>
      </c>
      <c r="I1782" s="53">
        <v>0</v>
      </c>
      <c r="J1782" s="53">
        <v>0</v>
      </c>
      <c r="K1782" s="53">
        <v>0</v>
      </c>
      <c r="L1782" s="53">
        <v>0</v>
      </c>
      <c r="M1782" s="53">
        <v>0</v>
      </c>
      <c r="N1782" s="53">
        <v>0</v>
      </c>
      <c r="O1782" s="53">
        <v>0</v>
      </c>
      <c r="P1782" s="53">
        <v>19761619009.080002</v>
      </c>
      <c r="Q1782" s="53">
        <v>23943302993.849998</v>
      </c>
      <c r="R1782" s="53">
        <v>17196590032.529999</v>
      </c>
    </row>
    <row r="1783" spans="1:18" x14ac:dyDescent="0.25">
      <c r="A1783" s="25" t="s">
        <v>298</v>
      </c>
      <c r="B1783" s="26">
        <v>2016</v>
      </c>
      <c r="C1783" s="74" t="s">
        <v>281</v>
      </c>
      <c r="D1783" s="27">
        <v>0</v>
      </c>
      <c r="E1783" s="53">
        <v>246000000000</v>
      </c>
      <c r="F1783" s="53">
        <v>246000000000</v>
      </c>
      <c r="G1783" s="53">
        <v>0</v>
      </c>
      <c r="H1783" s="53">
        <v>0</v>
      </c>
      <c r="I1783" s="53">
        <v>0</v>
      </c>
      <c r="J1783" s="53">
        <v>0</v>
      </c>
      <c r="K1783" s="53">
        <v>0</v>
      </c>
      <c r="L1783" s="53">
        <v>0</v>
      </c>
      <c r="M1783" s="53">
        <v>0</v>
      </c>
      <c r="N1783" s="53">
        <v>0</v>
      </c>
      <c r="O1783" s="53">
        <v>0</v>
      </c>
      <c r="P1783" s="53">
        <v>24990021459</v>
      </c>
      <c r="Q1783" s="53">
        <v>20912888164</v>
      </c>
      <c r="R1783" s="53">
        <v>28710940112</v>
      </c>
    </row>
    <row r="1784" spans="1:18" x14ac:dyDescent="0.25">
      <c r="A1784" s="25" t="s">
        <v>297</v>
      </c>
      <c r="B1784" s="26">
        <v>2016</v>
      </c>
      <c r="C1784" s="74" t="s">
        <v>287</v>
      </c>
      <c r="D1784" s="27">
        <v>0</v>
      </c>
      <c r="E1784" s="53">
        <v>185000000000</v>
      </c>
      <c r="F1784" s="53">
        <v>185000000000</v>
      </c>
      <c r="G1784" s="53">
        <v>0</v>
      </c>
      <c r="H1784" s="53">
        <v>0</v>
      </c>
      <c r="I1784" s="53">
        <v>0</v>
      </c>
      <c r="J1784" s="53">
        <v>0</v>
      </c>
      <c r="K1784" s="53">
        <v>0</v>
      </c>
      <c r="L1784" s="53">
        <v>0</v>
      </c>
      <c r="M1784" s="53">
        <v>0</v>
      </c>
      <c r="N1784" s="53">
        <v>0</v>
      </c>
      <c r="O1784" s="53">
        <v>0</v>
      </c>
      <c r="P1784" s="53">
        <v>16451496468.74</v>
      </c>
      <c r="Q1784" s="53">
        <v>15623224070.35</v>
      </c>
      <c r="R1784" s="53">
        <v>15201221292.629999</v>
      </c>
    </row>
    <row r="1785" spans="1:18" x14ac:dyDescent="0.25">
      <c r="A1785" s="25" t="s">
        <v>295</v>
      </c>
      <c r="B1785" s="26">
        <v>2016</v>
      </c>
      <c r="C1785" s="74" t="s">
        <v>281</v>
      </c>
      <c r="D1785" s="27">
        <v>0</v>
      </c>
      <c r="E1785" s="53">
        <v>30400000000</v>
      </c>
      <c r="F1785" s="53">
        <v>30400000000</v>
      </c>
      <c r="G1785" s="53">
        <v>0</v>
      </c>
      <c r="H1785" s="53">
        <v>0</v>
      </c>
      <c r="I1785" s="53">
        <v>0</v>
      </c>
      <c r="J1785" s="53">
        <v>0</v>
      </c>
      <c r="K1785" s="53">
        <v>0</v>
      </c>
      <c r="L1785" s="53">
        <v>0</v>
      </c>
      <c r="M1785" s="53">
        <v>0</v>
      </c>
      <c r="N1785" s="53">
        <v>0</v>
      </c>
      <c r="O1785" s="53">
        <v>0</v>
      </c>
      <c r="P1785" s="53">
        <v>2709736156.8000002</v>
      </c>
      <c r="Q1785" s="53">
        <v>2738078803.6500001</v>
      </c>
      <c r="R1785" s="53">
        <v>3170259142.3499999</v>
      </c>
    </row>
    <row r="1786" spans="1:18" x14ac:dyDescent="0.25">
      <c r="A1786" s="25" t="s">
        <v>294</v>
      </c>
      <c r="B1786" s="26">
        <v>2016</v>
      </c>
      <c r="C1786" s="74" t="s">
        <v>287</v>
      </c>
      <c r="D1786" s="27">
        <v>0</v>
      </c>
      <c r="E1786" s="53">
        <v>7600000000</v>
      </c>
      <c r="F1786" s="53">
        <v>7600000000</v>
      </c>
      <c r="G1786" s="53">
        <v>0</v>
      </c>
      <c r="H1786" s="53">
        <v>0</v>
      </c>
      <c r="I1786" s="53">
        <v>0</v>
      </c>
      <c r="J1786" s="53">
        <v>0</v>
      </c>
      <c r="K1786" s="53">
        <v>0</v>
      </c>
      <c r="L1786" s="53">
        <v>0</v>
      </c>
      <c r="M1786" s="53">
        <v>0</v>
      </c>
      <c r="N1786" s="53">
        <v>0</v>
      </c>
      <c r="O1786" s="53">
        <v>0</v>
      </c>
      <c r="P1786" s="53">
        <v>950723361.75</v>
      </c>
      <c r="Q1786" s="53">
        <v>1223169763.01</v>
      </c>
      <c r="R1786" s="53">
        <v>1498031663.77</v>
      </c>
    </row>
    <row r="1787" spans="1:18" x14ac:dyDescent="0.25">
      <c r="A1787" s="25" t="s">
        <v>292</v>
      </c>
      <c r="B1787" s="26">
        <v>2016</v>
      </c>
      <c r="C1787" s="74" t="s">
        <v>281</v>
      </c>
      <c r="D1787" s="27">
        <v>0</v>
      </c>
      <c r="E1787" s="53">
        <v>34900000000</v>
      </c>
      <c r="F1787" s="53">
        <v>34900000000</v>
      </c>
      <c r="G1787" s="53">
        <v>0</v>
      </c>
      <c r="H1787" s="53">
        <v>0</v>
      </c>
      <c r="I1787" s="53">
        <v>0</v>
      </c>
      <c r="J1787" s="53">
        <v>0</v>
      </c>
      <c r="K1787" s="53">
        <v>0</v>
      </c>
      <c r="L1787" s="53">
        <v>0</v>
      </c>
      <c r="M1787" s="53">
        <v>0</v>
      </c>
      <c r="N1787" s="53">
        <v>0</v>
      </c>
      <c r="O1787" s="53">
        <v>0</v>
      </c>
      <c r="P1787" s="53">
        <v>2918656951.9899998</v>
      </c>
      <c r="Q1787" s="53">
        <v>2984848568.4699998</v>
      </c>
      <c r="R1787" s="53">
        <v>2942081985.1500001</v>
      </c>
    </row>
    <row r="1788" spans="1:18" x14ac:dyDescent="0.25">
      <c r="A1788" s="25" t="s">
        <v>291</v>
      </c>
      <c r="B1788" s="26">
        <v>2016</v>
      </c>
      <c r="C1788" s="74" t="s">
        <v>287</v>
      </c>
      <c r="D1788" s="27">
        <v>0</v>
      </c>
      <c r="E1788" s="53">
        <v>3100000000</v>
      </c>
      <c r="F1788" s="53">
        <v>3100000000</v>
      </c>
      <c r="G1788" s="53">
        <v>0</v>
      </c>
      <c r="H1788" s="53">
        <v>0</v>
      </c>
      <c r="I1788" s="53">
        <v>0</v>
      </c>
      <c r="J1788" s="53">
        <v>0</v>
      </c>
      <c r="K1788" s="53">
        <v>0</v>
      </c>
      <c r="L1788" s="53">
        <v>0</v>
      </c>
      <c r="M1788" s="53">
        <v>0</v>
      </c>
      <c r="N1788" s="53">
        <v>0</v>
      </c>
      <c r="O1788" s="53">
        <v>0</v>
      </c>
      <c r="P1788" s="53">
        <v>226055197.68000001</v>
      </c>
      <c r="Q1788" s="53">
        <v>238696853.13</v>
      </c>
      <c r="R1788" s="53">
        <v>341135796.14999998</v>
      </c>
    </row>
    <row r="1789" spans="1:18" x14ac:dyDescent="0.25">
      <c r="A1789" s="25" t="s">
        <v>289</v>
      </c>
      <c r="B1789" s="26">
        <v>2016</v>
      </c>
      <c r="C1789" s="74" t="s">
        <v>287</v>
      </c>
      <c r="D1789" s="27">
        <v>0</v>
      </c>
      <c r="E1789" s="53">
        <v>2200000000</v>
      </c>
      <c r="F1789" s="53">
        <v>2200000000</v>
      </c>
      <c r="G1789" s="53">
        <v>0</v>
      </c>
      <c r="H1789" s="53">
        <v>0</v>
      </c>
      <c r="I1789" s="53">
        <v>0</v>
      </c>
      <c r="J1789" s="53">
        <v>0</v>
      </c>
      <c r="K1789" s="53">
        <v>0</v>
      </c>
      <c r="L1789" s="53">
        <v>0</v>
      </c>
      <c r="M1789" s="53">
        <v>0</v>
      </c>
      <c r="N1789" s="53">
        <v>0</v>
      </c>
      <c r="O1789" s="53">
        <v>0</v>
      </c>
      <c r="P1789" s="53">
        <v>217212108.36000001</v>
      </c>
      <c r="Q1789" s="53">
        <v>251003454.47</v>
      </c>
      <c r="R1789" s="53">
        <v>270382330.20999998</v>
      </c>
    </row>
    <row r="1790" spans="1:18" x14ac:dyDescent="0.25">
      <c r="A1790" s="25" t="s">
        <v>286</v>
      </c>
      <c r="B1790" s="26">
        <v>2016</v>
      </c>
      <c r="C1790" s="74" t="s">
        <v>285</v>
      </c>
      <c r="D1790" s="27">
        <v>0</v>
      </c>
      <c r="E1790" s="53">
        <v>281000000</v>
      </c>
      <c r="F1790" s="53">
        <v>281000000</v>
      </c>
      <c r="G1790" s="53">
        <v>0</v>
      </c>
      <c r="H1790" s="53">
        <v>0</v>
      </c>
      <c r="I1790" s="53">
        <v>0</v>
      </c>
      <c r="J1790" s="53">
        <v>0</v>
      </c>
      <c r="K1790" s="53">
        <v>0</v>
      </c>
      <c r="L1790" s="53">
        <v>0</v>
      </c>
      <c r="M1790" s="53">
        <v>0</v>
      </c>
      <c r="N1790" s="53">
        <v>0</v>
      </c>
      <c r="O1790" s="53">
        <v>0</v>
      </c>
      <c r="P1790" s="53">
        <v>21535863.309999999</v>
      </c>
      <c r="Q1790" s="53">
        <v>21820424.84</v>
      </c>
      <c r="R1790" s="53">
        <v>0</v>
      </c>
    </row>
    <row r="1791" spans="1:18" x14ac:dyDescent="0.25">
      <c r="A1791" s="25" t="s">
        <v>283</v>
      </c>
      <c r="B1791" s="26">
        <v>2016</v>
      </c>
      <c r="C1791" s="74" t="s">
        <v>282</v>
      </c>
      <c r="D1791" s="27">
        <v>0</v>
      </c>
      <c r="E1791" s="53">
        <v>20200000000</v>
      </c>
      <c r="F1791" s="53">
        <v>20200000000</v>
      </c>
      <c r="G1791" s="53">
        <v>0</v>
      </c>
      <c r="H1791" s="53">
        <v>0</v>
      </c>
      <c r="I1791" s="53">
        <v>0</v>
      </c>
      <c r="J1791" s="53">
        <v>0</v>
      </c>
      <c r="K1791" s="53">
        <v>0</v>
      </c>
      <c r="L1791" s="53">
        <v>0</v>
      </c>
      <c r="M1791" s="53">
        <v>0</v>
      </c>
      <c r="N1791" s="53">
        <v>0</v>
      </c>
      <c r="O1791" s="53">
        <v>0</v>
      </c>
      <c r="P1791" s="53">
        <v>1488397951</v>
      </c>
      <c r="Q1791" s="53">
        <v>1632040795.4000001</v>
      </c>
      <c r="R1791" s="53">
        <v>0</v>
      </c>
    </row>
    <row r="1792" spans="1:18" x14ac:dyDescent="0.25">
      <c r="A1792" s="25" t="s">
        <v>280</v>
      </c>
      <c r="B1792" s="26">
        <v>2016</v>
      </c>
      <c r="C1792" s="74" t="s">
        <v>279</v>
      </c>
      <c r="D1792" s="27">
        <v>0</v>
      </c>
      <c r="E1792" s="53">
        <v>15160000000</v>
      </c>
      <c r="F1792" s="53">
        <v>15160000000</v>
      </c>
      <c r="G1792" s="53">
        <v>0</v>
      </c>
      <c r="H1792" s="53">
        <v>0</v>
      </c>
      <c r="I1792" s="53">
        <v>0</v>
      </c>
      <c r="J1792" s="53">
        <v>0</v>
      </c>
      <c r="K1792" s="53">
        <v>0</v>
      </c>
      <c r="L1792" s="53">
        <v>0</v>
      </c>
      <c r="M1792" s="53">
        <v>0</v>
      </c>
      <c r="N1792" s="53">
        <v>0</v>
      </c>
      <c r="O1792" s="53">
        <v>0</v>
      </c>
      <c r="P1792" s="53">
        <v>1106938425.5999999</v>
      </c>
      <c r="Q1792" s="53">
        <v>1416542283.3399999</v>
      </c>
      <c r="R1792" s="53">
        <v>2057761567.2</v>
      </c>
    </row>
    <row r="1793" spans="1:18" x14ac:dyDescent="0.25">
      <c r="A1793" s="25" t="s">
        <v>276</v>
      </c>
      <c r="B1793" s="26">
        <v>2016</v>
      </c>
      <c r="C1793" s="74" t="s">
        <v>275</v>
      </c>
      <c r="D1793" s="27">
        <v>0</v>
      </c>
      <c r="E1793" s="53">
        <v>1250000000</v>
      </c>
      <c r="F1793" s="53">
        <v>1250000000</v>
      </c>
      <c r="G1793" s="53">
        <v>0</v>
      </c>
      <c r="H1793" s="53">
        <v>0</v>
      </c>
      <c r="I1793" s="53">
        <v>0</v>
      </c>
      <c r="J1793" s="53">
        <v>0</v>
      </c>
      <c r="K1793" s="53">
        <v>0</v>
      </c>
      <c r="L1793" s="53">
        <v>0</v>
      </c>
      <c r="M1793" s="53">
        <v>0</v>
      </c>
      <c r="N1793" s="53">
        <v>0</v>
      </c>
      <c r="O1793" s="53">
        <v>0</v>
      </c>
      <c r="P1793" s="53">
        <v>236545348.44</v>
      </c>
      <c r="Q1793" s="53">
        <v>189312400.00999999</v>
      </c>
      <c r="R1793" s="53">
        <v>104978707.13</v>
      </c>
    </row>
    <row r="1794" spans="1:18" x14ac:dyDescent="0.25">
      <c r="A1794" s="25" t="s">
        <v>274</v>
      </c>
      <c r="B1794" s="26">
        <v>2016</v>
      </c>
      <c r="C1794" s="74" t="s">
        <v>273</v>
      </c>
      <c r="D1794" s="27">
        <v>0</v>
      </c>
      <c r="E1794" s="53">
        <v>85000000</v>
      </c>
      <c r="F1794" s="53">
        <v>85000000</v>
      </c>
      <c r="G1794" s="53">
        <v>0</v>
      </c>
      <c r="H1794" s="53">
        <v>0</v>
      </c>
      <c r="I1794" s="53">
        <v>0</v>
      </c>
      <c r="J1794" s="53">
        <v>0</v>
      </c>
      <c r="K1794" s="53">
        <v>0</v>
      </c>
      <c r="L1794" s="53">
        <v>0</v>
      </c>
      <c r="M1794" s="53">
        <v>0</v>
      </c>
      <c r="N1794" s="53">
        <v>0</v>
      </c>
      <c r="O1794" s="53">
        <v>0</v>
      </c>
      <c r="P1794" s="53">
        <v>5626838</v>
      </c>
      <c r="Q1794" s="53">
        <v>0</v>
      </c>
      <c r="R1794" s="53">
        <v>16846350</v>
      </c>
    </row>
    <row r="1795" spans="1:18" x14ac:dyDescent="0.25">
      <c r="A1795" s="25" t="s">
        <v>268</v>
      </c>
      <c r="B1795" s="26">
        <v>2016</v>
      </c>
      <c r="C1795" s="74" t="s">
        <v>267</v>
      </c>
      <c r="D1795" s="27">
        <v>0</v>
      </c>
      <c r="E1795" s="53">
        <v>151000000000</v>
      </c>
      <c r="F1795" s="53">
        <v>151000000000</v>
      </c>
      <c r="G1795" s="53">
        <v>0</v>
      </c>
      <c r="H1795" s="53">
        <v>0</v>
      </c>
      <c r="I1795" s="53">
        <v>0</v>
      </c>
      <c r="J1795" s="53">
        <v>0</v>
      </c>
      <c r="K1795" s="53">
        <v>0</v>
      </c>
      <c r="L1795" s="53">
        <v>0</v>
      </c>
      <c r="M1795" s="53">
        <v>0</v>
      </c>
      <c r="N1795" s="53">
        <v>0</v>
      </c>
      <c r="O1795" s="53">
        <v>0</v>
      </c>
      <c r="P1795" s="53">
        <v>14318942544.98</v>
      </c>
      <c r="Q1795" s="53">
        <v>16008753657.370001</v>
      </c>
      <c r="R1795" s="53">
        <v>15041670702.690001</v>
      </c>
    </row>
    <row r="1796" spans="1:18" x14ac:dyDescent="0.25">
      <c r="A1796" s="25" t="s">
        <v>264</v>
      </c>
      <c r="B1796" s="26">
        <v>2016</v>
      </c>
      <c r="C1796" s="74" t="s">
        <v>263</v>
      </c>
      <c r="D1796" s="27">
        <v>0</v>
      </c>
      <c r="E1796" s="53">
        <v>27000000000</v>
      </c>
      <c r="F1796" s="53">
        <v>27000000000</v>
      </c>
      <c r="G1796" s="53">
        <v>0</v>
      </c>
      <c r="H1796" s="53">
        <v>0</v>
      </c>
      <c r="I1796" s="53">
        <v>0</v>
      </c>
      <c r="J1796" s="53">
        <v>0</v>
      </c>
      <c r="K1796" s="53">
        <v>0</v>
      </c>
      <c r="L1796" s="53">
        <v>0</v>
      </c>
      <c r="M1796" s="53">
        <v>0</v>
      </c>
      <c r="N1796" s="53">
        <v>0</v>
      </c>
      <c r="O1796" s="53">
        <v>0</v>
      </c>
      <c r="P1796" s="53">
        <v>2261229390.6199999</v>
      </c>
      <c r="Q1796" s="53">
        <v>2644455933.1599998</v>
      </c>
      <c r="R1796" s="53">
        <v>2379705024.52</v>
      </c>
    </row>
    <row r="1797" spans="1:18" x14ac:dyDescent="0.25">
      <c r="A1797" s="25" t="s">
        <v>260</v>
      </c>
      <c r="B1797" s="26">
        <v>2016</v>
      </c>
      <c r="C1797" s="74" t="s">
        <v>259</v>
      </c>
      <c r="D1797" s="27">
        <v>0</v>
      </c>
      <c r="E1797" s="53">
        <v>2926000000</v>
      </c>
      <c r="F1797" s="53">
        <v>2926000000</v>
      </c>
      <c r="G1797" s="53">
        <v>0</v>
      </c>
      <c r="H1797" s="53">
        <v>0</v>
      </c>
      <c r="I1797" s="53">
        <v>0</v>
      </c>
      <c r="J1797" s="53">
        <v>0</v>
      </c>
      <c r="K1797" s="53">
        <v>0</v>
      </c>
      <c r="L1797" s="53">
        <v>0</v>
      </c>
      <c r="M1797" s="53">
        <v>0</v>
      </c>
      <c r="N1797" s="53">
        <v>0</v>
      </c>
      <c r="O1797" s="53">
        <v>0</v>
      </c>
      <c r="P1797" s="53">
        <v>297900694.93000001</v>
      </c>
      <c r="Q1797" s="53">
        <v>294509947.97000003</v>
      </c>
      <c r="R1797" s="53">
        <v>291567845.93000001</v>
      </c>
    </row>
    <row r="1798" spans="1:18" x14ac:dyDescent="0.25">
      <c r="A1798" s="25" t="s">
        <v>258</v>
      </c>
      <c r="B1798" s="26">
        <v>2016</v>
      </c>
      <c r="C1798" s="74" t="s">
        <v>257</v>
      </c>
      <c r="D1798" s="27">
        <v>0</v>
      </c>
      <c r="E1798" s="53">
        <v>161000000</v>
      </c>
      <c r="F1798" s="53">
        <v>161000000</v>
      </c>
      <c r="G1798" s="53">
        <v>0</v>
      </c>
      <c r="H1798" s="53">
        <v>0</v>
      </c>
      <c r="I1798" s="53">
        <v>0</v>
      </c>
      <c r="J1798" s="53">
        <v>0</v>
      </c>
      <c r="K1798" s="53">
        <v>0</v>
      </c>
      <c r="L1798" s="53">
        <v>0</v>
      </c>
      <c r="M1798" s="53">
        <v>0</v>
      </c>
      <c r="N1798" s="53">
        <v>0</v>
      </c>
      <c r="O1798" s="53">
        <v>0</v>
      </c>
      <c r="P1798" s="53">
        <v>16554534</v>
      </c>
      <c r="Q1798" s="53">
        <v>16290232.5</v>
      </c>
      <c r="R1798" s="53">
        <v>16131756</v>
      </c>
    </row>
    <row r="1799" spans="1:18" x14ac:dyDescent="0.25">
      <c r="A1799" s="25" t="s">
        <v>256</v>
      </c>
      <c r="B1799" s="26">
        <v>2016</v>
      </c>
      <c r="C1799" s="74" t="s">
        <v>255</v>
      </c>
      <c r="D1799" s="27">
        <v>0</v>
      </c>
      <c r="E1799" s="53">
        <v>1700000000</v>
      </c>
      <c r="F1799" s="53">
        <v>1700000000</v>
      </c>
      <c r="G1799" s="53">
        <v>0</v>
      </c>
      <c r="H1799" s="53">
        <v>0</v>
      </c>
      <c r="I1799" s="53">
        <v>0</v>
      </c>
      <c r="J1799" s="53">
        <v>0</v>
      </c>
      <c r="K1799" s="53">
        <v>0</v>
      </c>
      <c r="L1799" s="53">
        <v>0</v>
      </c>
      <c r="M1799" s="53">
        <v>0</v>
      </c>
      <c r="N1799" s="53">
        <v>0</v>
      </c>
      <c r="O1799" s="53">
        <v>0</v>
      </c>
      <c r="P1799" s="53">
        <v>136903563.75</v>
      </c>
      <c r="Q1799" s="53">
        <v>140045405</v>
      </c>
      <c r="R1799" s="53">
        <v>127884790.5</v>
      </c>
    </row>
    <row r="1800" spans="1:18" x14ac:dyDescent="0.25">
      <c r="A1800" s="25" t="s">
        <v>253</v>
      </c>
      <c r="B1800" s="26">
        <v>2016</v>
      </c>
      <c r="C1800" s="74" t="s">
        <v>252</v>
      </c>
      <c r="D1800" s="27">
        <v>0</v>
      </c>
      <c r="E1800" s="53">
        <v>40500000000</v>
      </c>
      <c r="F1800" s="53">
        <v>40500000000</v>
      </c>
      <c r="G1800" s="53">
        <v>0</v>
      </c>
      <c r="H1800" s="53">
        <v>0</v>
      </c>
      <c r="I1800" s="53">
        <v>0</v>
      </c>
      <c r="J1800" s="53">
        <v>0</v>
      </c>
      <c r="K1800" s="53">
        <v>0</v>
      </c>
      <c r="L1800" s="53">
        <v>0</v>
      </c>
      <c r="M1800" s="53">
        <v>0</v>
      </c>
      <c r="N1800" s="53">
        <v>0</v>
      </c>
      <c r="O1800" s="53">
        <v>0</v>
      </c>
      <c r="P1800" s="53">
        <v>2334480767.3499999</v>
      </c>
      <c r="Q1800" s="53">
        <v>3082997640.9400001</v>
      </c>
      <c r="R1800" s="53">
        <v>3648282916.3400002</v>
      </c>
    </row>
    <row r="1801" spans="1:18" x14ac:dyDescent="0.25">
      <c r="A1801" s="25" t="s">
        <v>251</v>
      </c>
      <c r="B1801" s="26">
        <v>2016</v>
      </c>
      <c r="C1801" s="74" t="s">
        <v>250</v>
      </c>
      <c r="D1801" s="27">
        <v>0</v>
      </c>
      <c r="E1801" s="53">
        <v>2330000000</v>
      </c>
      <c r="F1801" s="53">
        <v>2330000000</v>
      </c>
      <c r="G1801" s="53">
        <v>0</v>
      </c>
      <c r="H1801" s="53">
        <v>0</v>
      </c>
      <c r="I1801" s="53">
        <v>0</v>
      </c>
      <c r="J1801" s="53">
        <v>0</v>
      </c>
      <c r="K1801" s="53">
        <v>0</v>
      </c>
      <c r="L1801" s="53">
        <v>0</v>
      </c>
      <c r="M1801" s="53">
        <v>0</v>
      </c>
      <c r="N1801" s="53">
        <v>0</v>
      </c>
      <c r="O1801" s="53">
        <v>0</v>
      </c>
      <c r="P1801" s="53">
        <v>146878701.15000001</v>
      </c>
      <c r="Q1801" s="53">
        <v>175717274.05000001</v>
      </c>
      <c r="R1801" s="53">
        <v>377935645.35000002</v>
      </c>
    </row>
    <row r="1802" spans="1:18" x14ac:dyDescent="0.25">
      <c r="A1802" s="25" t="s">
        <v>249</v>
      </c>
      <c r="B1802" s="26">
        <v>2016</v>
      </c>
      <c r="C1802" s="74" t="s">
        <v>248</v>
      </c>
      <c r="D1802" s="27">
        <v>0</v>
      </c>
      <c r="E1802" s="53">
        <v>3200000000</v>
      </c>
      <c r="F1802" s="53">
        <v>3200000000</v>
      </c>
      <c r="G1802" s="53">
        <v>0</v>
      </c>
      <c r="H1802" s="53">
        <v>0</v>
      </c>
      <c r="I1802" s="53">
        <v>0</v>
      </c>
      <c r="J1802" s="53">
        <v>0</v>
      </c>
      <c r="K1802" s="53">
        <v>0</v>
      </c>
      <c r="L1802" s="53">
        <v>0</v>
      </c>
      <c r="M1802" s="53">
        <v>0</v>
      </c>
      <c r="N1802" s="53">
        <v>0</v>
      </c>
      <c r="O1802" s="53">
        <v>0</v>
      </c>
      <c r="P1802" s="53">
        <v>320236798.60000002</v>
      </c>
      <c r="Q1802" s="53">
        <v>0</v>
      </c>
      <c r="R1802" s="53">
        <v>505282315.44999999</v>
      </c>
    </row>
    <row r="1803" spans="1:18" x14ac:dyDescent="0.25">
      <c r="A1803" s="25" t="s">
        <v>246</v>
      </c>
      <c r="B1803" s="26">
        <v>2016</v>
      </c>
      <c r="C1803" s="74" t="s">
        <v>245</v>
      </c>
      <c r="D1803" s="27">
        <v>0</v>
      </c>
      <c r="E1803" s="53">
        <v>1090000000</v>
      </c>
      <c r="F1803" s="53">
        <v>1090000000</v>
      </c>
      <c r="G1803" s="53">
        <v>0</v>
      </c>
      <c r="H1803" s="53">
        <v>0</v>
      </c>
      <c r="I1803" s="53">
        <v>0</v>
      </c>
      <c r="J1803" s="53">
        <v>0</v>
      </c>
      <c r="K1803" s="53">
        <v>0</v>
      </c>
      <c r="L1803" s="53">
        <v>0</v>
      </c>
      <c r="M1803" s="53">
        <v>0</v>
      </c>
      <c r="N1803" s="53">
        <v>0</v>
      </c>
      <c r="O1803" s="53">
        <v>0</v>
      </c>
      <c r="P1803" s="53">
        <v>96197083.939999998</v>
      </c>
      <c r="Q1803" s="53">
        <v>41961.75</v>
      </c>
      <c r="R1803" s="53">
        <v>90526769.290000007</v>
      </c>
    </row>
    <row r="1804" spans="1:18" x14ac:dyDescent="0.25">
      <c r="A1804" s="25" t="s">
        <v>244</v>
      </c>
      <c r="B1804" s="26">
        <v>2016</v>
      </c>
      <c r="C1804" s="74" t="s">
        <v>243</v>
      </c>
      <c r="D1804" s="27">
        <v>0</v>
      </c>
      <c r="E1804" s="53">
        <v>6700000000</v>
      </c>
      <c r="F1804" s="53">
        <v>6700000000</v>
      </c>
      <c r="G1804" s="53">
        <v>0</v>
      </c>
      <c r="H1804" s="53">
        <v>0</v>
      </c>
      <c r="I1804" s="53">
        <v>0</v>
      </c>
      <c r="J1804" s="53">
        <v>0</v>
      </c>
      <c r="K1804" s="53">
        <v>0</v>
      </c>
      <c r="L1804" s="53">
        <v>0</v>
      </c>
      <c r="M1804" s="53">
        <v>0</v>
      </c>
      <c r="N1804" s="53">
        <v>0</v>
      </c>
      <c r="O1804" s="53">
        <v>0</v>
      </c>
      <c r="P1804" s="53">
        <v>479118549.44</v>
      </c>
      <c r="Q1804" s="53">
        <v>479186179.06999999</v>
      </c>
      <c r="R1804" s="53">
        <v>572250906.13999999</v>
      </c>
    </row>
    <row r="1805" spans="1:18" x14ac:dyDescent="0.25">
      <c r="A1805" s="25" t="s">
        <v>242</v>
      </c>
      <c r="B1805" s="26">
        <v>2016</v>
      </c>
      <c r="C1805" s="74" t="s">
        <v>241</v>
      </c>
      <c r="D1805" s="27">
        <v>0</v>
      </c>
      <c r="E1805" s="53">
        <v>8210000000</v>
      </c>
      <c r="F1805" s="53">
        <v>8210000000</v>
      </c>
      <c r="G1805" s="53">
        <v>0</v>
      </c>
      <c r="H1805" s="53">
        <v>0</v>
      </c>
      <c r="I1805" s="53">
        <v>0</v>
      </c>
      <c r="J1805" s="53">
        <v>0</v>
      </c>
      <c r="K1805" s="53">
        <v>0</v>
      </c>
      <c r="L1805" s="53">
        <v>0</v>
      </c>
      <c r="M1805" s="53">
        <v>0</v>
      </c>
      <c r="N1805" s="53">
        <v>0</v>
      </c>
      <c r="O1805" s="53">
        <v>0</v>
      </c>
      <c r="P1805" s="53">
        <v>961899491.67999995</v>
      </c>
      <c r="Q1805" s="53">
        <v>1045179886.39</v>
      </c>
      <c r="R1805" s="53">
        <v>1043070896.59</v>
      </c>
    </row>
    <row r="1806" spans="1:18" x14ac:dyDescent="0.25">
      <c r="A1806" s="25" t="s">
        <v>240</v>
      </c>
      <c r="B1806" s="26">
        <v>2016</v>
      </c>
      <c r="C1806" s="74" t="s">
        <v>239</v>
      </c>
      <c r="D1806" s="27">
        <v>0</v>
      </c>
      <c r="E1806" s="53">
        <v>1160000000</v>
      </c>
      <c r="F1806" s="53">
        <v>1160000000</v>
      </c>
      <c r="G1806" s="53">
        <v>0</v>
      </c>
      <c r="H1806" s="53">
        <v>0</v>
      </c>
      <c r="I1806" s="53">
        <v>0</v>
      </c>
      <c r="J1806" s="53">
        <v>0</v>
      </c>
      <c r="K1806" s="53">
        <v>0</v>
      </c>
      <c r="L1806" s="53">
        <v>0</v>
      </c>
      <c r="M1806" s="53">
        <v>0</v>
      </c>
      <c r="N1806" s="53">
        <v>0</v>
      </c>
      <c r="O1806" s="53">
        <v>0</v>
      </c>
      <c r="P1806" s="53">
        <v>90200126.049999997</v>
      </c>
      <c r="Q1806" s="53">
        <v>113324948.95</v>
      </c>
      <c r="R1806" s="53">
        <v>114926487.56</v>
      </c>
    </row>
    <row r="1807" spans="1:18" x14ac:dyDescent="0.25">
      <c r="A1807" s="25" t="s">
        <v>236</v>
      </c>
      <c r="B1807" s="26">
        <v>2016</v>
      </c>
      <c r="C1807" s="74" t="s">
        <v>235</v>
      </c>
      <c r="D1807" s="27">
        <v>0</v>
      </c>
      <c r="E1807" s="53">
        <v>3600000000</v>
      </c>
      <c r="F1807" s="53">
        <v>3600000000</v>
      </c>
      <c r="G1807" s="53">
        <v>0</v>
      </c>
      <c r="H1807" s="53">
        <v>0</v>
      </c>
      <c r="I1807" s="53">
        <v>0</v>
      </c>
      <c r="J1807" s="53">
        <v>0</v>
      </c>
      <c r="K1807" s="53">
        <v>0</v>
      </c>
      <c r="L1807" s="53">
        <v>0</v>
      </c>
      <c r="M1807" s="53">
        <v>0</v>
      </c>
      <c r="N1807" s="53">
        <v>0</v>
      </c>
      <c r="O1807" s="53">
        <v>0</v>
      </c>
      <c r="P1807" s="53">
        <v>359187984.54000002</v>
      </c>
      <c r="Q1807" s="53">
        <v>623870599.48000002</v>
      </c>
      <c r="R1807" s="53">
        <v>459576672.94</v>
      </c>
    </row>
    <row r="1808" spans="1:18" x14ac:dyDescent="0.25">
      <c r="A1808" s="25" t="s">
        <v>234</v>
      </c>
      <c r="B1808" s="26">
        <v>2016</v>
      </c>
      <c r="C1808" s="74" t="s">
        <v>233</v>
      </c>
      <c r="D1808" s="27">
        <v>0</v>
      </c>
      <c r="E1808" s="53">
        <v>147000000</v>
      </c>
      <c r="F1808" s="53">
        <v>147000000</v>
      </c>
      <c r="G1808" s="53">
        <v>0</v>
      </c>
      <c r="H1808" s="53">
        <v>0</v>
      </c>
      <c r="I1808" s="53">
        <v>0</v>
      </c>
      <c r="J1808" s="53">
        <v>0</v>
      </c>
      <c r="K1808" s="53">
        <v>0</v>
      </c>
      <c r="L1808" s="53">
        <v>0</v>
      </c>
      <c r="M1808" s="53">
        <v>0</v>
      </c>
      <c r="N1808" s="53">
        <v>0</v>
      </c>
      <c r="O1808" s="53">
        <v>0</v>
      </c>
      <c r="P1808" s="53">
        <v>357836.75</v>
      </c>
      <c r="Q1808" s="53">
        <v>159913.59</v>
      </c>
      <c r="R1808" s="53">
        <v>426842.47</v>
      </c>
    </row>
    <row r="1809" spans="1:18" x14ac:dyDescent="0.25">
      <c r="A1809" s="25" t="s">
        <v>230</v>
      </c>
      <c r="B1809" s="26">
        <v>2016</v>
      </c>
      <c r="C1809" s="74" t="s">
        <v>229</v>
      </c>
      <c r="D1809" s="27">
        <v>0</v>
      </c>
      <c r="E1809" s="53">
        <v>30800000000</v>
      </c>
      <c r="F1809" s="53">
        <v>30800000000</v>
      </c>
      <c r="G1809" s="53">
        <v>0</v>
      </c>
      <c r="H1809" s="53">
        <v>0</v>
      </c>
      <c r="I1809" s="53">
        <v>0</v>
      </c>
      <c r="J1809" s="53">
        <v>0</v>
      </c>
      <c r="K1809" s="53">
        <v>0</v>
      </c>
      <c r="L1809" s="53">
        <v>0</v>
      </c>
      <c r="M1809" s="53">
        <v>0</v>
      </c>
      <c r="N1809" s="53">
        <v>0</v>
      </c>
      <c r="O1809" s="53">
        <v>0</v>
      </c>
      <c r="P1809" s="53">
        <v>1186248213.53</v>
      </c>
      <c r="Q1809" s="53">
        <v>1800213390.6099999</v>
      </c>
      <c r="R1809" s="53">
        <v>1806189902.29</v>
      </c>
    </row>
    <row r="1810" spans="1:18" x14ac:dyDescent="0.25">
      <c r="A1810" s="25" t="s">
        <v>377</v>
      </c>
      <c r="B1810" s="26">
        <v>2016</v>
      </c>
      <c r="C1810" s="74" t="s">
        <v>410</v>
      </c>
      <c r="D1810" s="27">
        <v>0</v>
      </c>
      <c r="E1810" s="53">
        <v>82609774877</v>
      </c>
      <c r="F1810" s="53">
        <v>82609774877</v>
      </c>
      <c r="G1810" s="53">
        <v>0</v>
      </c>
      <c r="H1810" s="53">
        <v>0</v>
      </c>
      <c r="I1810" s="53">
        <v>0</v>
      </c>
      <c r="J1810" s="53">
        <v>0</v>
      </c>
      <c r="K1810" s="53">
        <v>0</v>
      </c>
      <c r="L1810" s="53">
        <v>0</v>
      </c>
      <c r="M1810" s="53">
        <v>0</v>
      </c>
      <c r="N1810" s="53">
        <v>0</v>
      </c>
      <c r="O1810" s="53">
        <v>0</v>
      </c>
      <c r="P1810" s="53">
        <v>237047631.72</v>
      </c>
      <c r="Q1810" s="53">
        <v>39355566.200000003</v>
      </c>
      <c r="R1810" s="53">
        <v>55149338589.209999</v>
      </c>
    </row>
    <row r="1811" spans="1:18" x14ac:dyDescent="0.25">
      <c r="A1811" s="25" t="s">
        <v>228</v>
      </c>
      <c r="B1811" s="26">
        <v>2016</v>
      </c>
      <c r="C1811" s="74" t="s">
        <v>227</v>
      </c>
      <c r="D1811" s="27">
        <v>0</v>
      </c>
      <c r="E1811" s="53">
        <v>13100000000</v>
      </c>
      <c r="F1811" s="53">
        <v>13100000000</v>
      </c>
      <c r="G1811" s="53">
        <v>0</v>
      </c>
      <c r="H1811" s="53">
        <v>0</v>
      </c>
      <c r="I1811" s="53">
        <v>0</v>
      </c>
      <c r="J1811" s="53">
        <v>0</v>
      </c>
      <c r="K1811" s="53">
        <v>0</v>
      </c>
      <c r="L1811" s="53">
        <v>0</v>
      </c>
      <c r="M1811" s="53">
        <v>0</v>
      </c>
      <c r="N1811" s="53">
        <v>0</v>
      </c>
      <c r="O1811" s="53">
        <v>0</v>
      </c>
      <c r="P1811" s="53">
        <v>4287281892.73</v>
      </c>
      <c r="Q1811" s="53">
        <v>2246947789.9400001</v>
      </c>
      <c r="R1811" s="53">
        <v>2318933960.9400001</v>
      </c>
    </row>
    <row r="1812" spans="1:18" x14ac:dyDescent="0.25">
      <c r="A1812" s="25" t="s">
        <v>226</v>
      </c>
      <c r="B1812" s="26">
        <v>2016</v>
      </c>
      <c r="C1812" s="74" t="s">
        <v>225</v>
      </c>
      <c r="D1812" s="27">
        <v>0</v>
      </c>
      <c r="E1812" s="53">
        <v>21600000000</v>
      </c>
      <c r="F1812" s="53">
        <v>21600000000</v>
      </c>
      <c r="G1812" s="53">
        <v>0</v>
      </c>
      <c r="H1812" s="53">
        <v>0</v>
      </c>
      <c r="I1812" s="53">
        <v>0</v>
      </c>
      <c r="J1812" s="53">
        <v>0</v>
      </c>
      <c r="K1812" s="53">
        <v>0</v>
      </c>
      <c r="L1812" s="53">
        <v>0</v>
      </c>
      <c r="M1812" s="53">
        <v>0</v>
      </c>
      <c r="N1812" s="53">
        <v>0</v>
      </c>
      <c r="O1812" s="53">
        <v>0</v>
      </c>
      <c r="P1812" s="53">
        <v>121563912.51000001</v>
      </c>
      <c r="Q1812" s="53">
        <v>1418123556.97</v>
      </c>
      <c r="R1812" s="53">
        <v>387030833.95999998</v>
      </c>
    </row>
    <row r="1813" spans="1:18" x14ac:dyDescent="0.25">
      <c r="A1813" s="25" t="s">
        <v>222</v>
      </c>
      <c r="B1813" s="26">
        <v>2016</v>
      </c>
      <c r="C1813" s="74" t="s">
        <v>221</v>
      </c>
      <c r="D1813" s="27">
        <v>0</v>
      </c>
      <c r="E1813" s="53">
        <v>3000000</v>
      </c>
      <c r="F1813" s="53">
        <v>3000000</v>
      </c>
      <c r="G1813" s="53">
        <v>0</v>
      </c>
      <c r="H1813" s="53">
        <v>0</v>
      </c>
      <c r="I1813" s="53">
        <v>0</v>
      </c>
      <c r="J1813" s="53">
        <v>0</v>
      </c>
      <c r="K1813" s="53">
        <v>0</v>
      </c>
      <c r="L1813" s="53">
        <v>0</v>
      </c>
      <c r="M1813" s="53">
        <v>0</v>
      </c>
      <c r="N1813" s="53">
        <v>0</v>
      </c>
      <c r="O1813" s="53">
        <v>0</v>
      </c>
      <c r="P1813" s="53">
        <v>217102.38</v>
      </c>
      <c r="Q1813" s="53">
        <v>0</v>
      </c>
      <c r="R1813" s="53">
        <v>407991.3</v>
      </c>
    </row>
    <row r="1814" spans="1:18" x14ac:dyDescent="0.25">
      <c r="A1814" s="25" t="s">
        <v>409</v>
      </c>
      <c r="B1814" s="26">
        <v>2016</v>
      </c>
      <c r="C1814" s="74" t="s">
        <v>408</v>
      </c>
      <c r="D1814" s="27">
        <v>0</v>
      </c>
      <c r="E1814" s="53">
        <v>34000000</v>
      </c>
      <c r="F1814" s="53">
        <v>34000000</v>
      </c>
      <c r="G1814" s="53">
        <v>0</v>
      </c>
      <c r="H1814" s="53">
        <v>0</v>
      </c>
      <c r="I1814" s="53">
        <v>0</v>
      </c>
      <c r="J1814" s="53">
        <v>0</v>
      </c>
      <c r="K1814" s="53">
        <v>0</v>
      </c>
      <c r="L1814" s="53">
        <v>0</v>
      </c>
      <c r="M1814" s="53">
        <v>0</v>
      </c>
      <c r="N1814" s="53">
        <v>0</v>
      </c>
      <c r="O1814" s="53">
        <v>0</v>
      </c>
      <c r="P1814" s="53">
        <v>0</v>
      </c>
      <c r="Q1814" s="53">
        <v>0</v>
      </c>
      <c r="R1814" s="53">
        <v>0</v>
      </c>
    </row>
    <row r="1815" spans="1:18" x14ac:dyDescent="0.25">
      <c r="A1815" s="25" t="s">
        <v>219</v>
      </c>
      <c r="B1815" s="26">
        <v>2016</v>
      </c>
      <c r="C1815" s="74" t="s">
        <v>408</v>
      </c>
      <c r="D1815" s="27">
        <v>0</v>
      </c>
      <c r="E1815" s="53">
        <v>0</v>
      </c>
      <c r="F1815" s="53">
        <v>0</v>
      </c>
      <c r="G1815" s="53">
        <v>0</v>
      </c>
      <c r="H1815" s="53">
        <v>0</v>
      </c>
      <c r="I1815" s="53">
        <v>0</v>
      </c>
      <c r="J1815" s="53">
        <v>0</v>
      </c>
      <c r="K1815" s="53">
        <v>0</v>
      </c>
      <c r="L1815" s="53">
        <v>0</v>
      </c>
      <c r="M1815" s="53">
        <v>0</v>
      </c>
      <c r="N1815" s="53">
        <v>0</v>
      </c>
      <c r="O1815" s="53">
        <v>0</v>
      </c>
      <c r="P1815" s="53">
        <v>2891190.76</v>
      </c>
      <c r="Q1815" s="53">
        <v>3779872.75</v>
      </c>
      <c r="R1815" s="53">
        <v>3614956.65</v>
      </c>
    </row>
    <row r="1816" spans="1:18" x14ac:dyDescent="0.25">
      <c r="A1816" s="25" t="s">
        <v>217</v>
      </c>
      <c r="B1816" s="26">
        <v>2016</v>
      </c>
      <c r="C1816" s="74" t="s">
        <v>216</v>
      </c>
      <c r="D1816" s="27">
        <v>0</v>
      </c>
      <c r="E1816" s="53">
        <v>0</v>
      </c>
      <c r="F1816" s="53">
        <v>0</v>
      </c>
      <c r="G1816" s="53">
        <v>0</v>
      </c>
      <c r="H1816" s="53">
        <v>0</v>
      </c>
      <c r="I1816" s="53">
        <v>0</v>
      </c>
      <c r="J1816" s="53">
        <v>0</v>
      </c>
      <c r="K1816" s="53">
        <v>0</v>
      </c>
      <c r="L1816" s="53">
        <v>0</v>
      </c>
      <c r="M1816" s="53">
        <v>0</v>
      </c>
      <c r="N1816" s="53">
        <v>0</v>
      </c>
      <c r="O1816" s="53">
        <v>0</v>
      </c>
      <c r="P1816" s="53">
        <v>1353295.86</v>
      </c>
      <c r="Q1816" s="53">
        <v>1197103.55</v>
      </c>
      <c r="R1816" s="53">
        <v>1579677.5</v>
      </c>
    </row>
    <row r="1817" spans="1:18" x14ac:dyDescent="0.25">
      <c r="A1817" s="25" t="s">
        <v>215</v>
      </c>
      <c r="B1817" s="26">
        <v>2016</v>
      </c>
      <c r="C1817" s="74" t="s">
        <v>214</v>
      </c>
      <c r="D1817" s="27">
        <v>0</v>
      </c>
      <c r="E1817" s="53">
        <v>9000000</v>
      </c>
      <c r="F1817" s="53">
        <v>9000000</v>
      </c>
      <c r="G1817" s="53">
        <v>0</v>
      </c>
      <c r="H1817" s="53">
        <v>0</v>
      </c>
      <c r="I1817" s="53">
        <v>0</v>
      </c>
      <c r="J1817" s="53">
        <v>0</v>
      </c>
      <c r="K1817" s="53">
        <v>0</v>
      </c>
      <c r="L1817" s="53">
        <v>0</v>
      </c>
      <c r="M1817" s="53">
        <v>0</v>
      </c>
      <c r="N1817" s="53">
        <v>0</v>
      </c>
      <c r="O1817" s="53">
        <v>0</v>
      </c>
      <c r="P1817" s="53">
        <v>50000</v>
      </c>
      <c r="Q1817" s="53">
        <v>0</v>
      </c>
      <c r="R1817" s="53">
        <v>200000</v>
      </c>
    </row>
    <row r="1818" spans="1:18" x14ac:dyDescent="0.25">
      <c r="A1818" s="25" t="s">
        <v>213</v>
      </c>
      <c r="B1818" s="26">
        <v>2016</v>
      </c>
      <c r="C1818" s="74" t="s">
        <v>212</v>
      </c>
      <c r="D1818" s="27">
        <v>0</v>
      </c>
      <c r="E1818" s="53">
        <v>23000000</v>
      </c>
      <c r="F1818" s="53">
        <v>23000000</v>
      </c>
      <c r="G1818" s="53">
        <v>0</v>
      </c>
      <c r="H1818" s="53">
        <v>0</v>
      </c>
      <c r="I1818" s="53">
        <v>0</v>
      </c>
      <c r="J1818" s="53">
        <v>0</v>
      </c>
      <c r="K1818" s="53">
        <v>0</v>
      </c>
      <c r="L1818" s="53">
        <v>0</v>
      </c>
      <c r="M1818" s="53">
        <v>0</v>
      </c>
      <c r="N1818" s="53">
        <v>0</v>
      </c>
      <c r="O1818" s="53">
        <v>0</v>
      </c>
      <c r="P1818" s="53">
        <v>2747997.93</v>
      </c>
      <c r="Q1818" s="53">
        <v>3045433.27</v>
      </c>
      <c r="R1818" s="53">
        <v>6554020.54</v>
      </c>
    </row>
    <row r="1819" spans="1:18" x14ac:dyDescent="0.25">
      <c r="A1819" s="25" t="s">
        <v>211</v>
      </c>
      <c r="B1819" s="26">
        <v>2016</v>
      </c>
      <c r="C1819" s="74" t="s">
        <v>210</v>
      </c>
      <c r="D1819" s="27">
        <v>0</v>
      </c>
      <c r="E1819" s="53">
        <v>152000000</v>
      </c>
      <c r="F1819" s="53">
        <v>152000000</v>
      </c>
      <c r="G1819" s="53">
        <v>0</v>
      </c>
      <c r="H1819" s="53">
        <v>0</v>
      </c>
      <c r="I1819" s="53">
        <v>0</v>
      </c>
      <c r="J1819" s="53">
        <v>0</v>
      </c>
      <c r="K1819" s="53">
        <v>0</v>
      </c>
      <c r="L1819" s="53">
        <v>0</v>
      </c>
      <c r="M1819" s="53">
        <v>0</v>
      </c>
      <c r="N1819" s="53">
        <v>0</v>
      </c>
      <c r="O1819" s="53">
        <v>0</v>
      </c>
      <c r="P1819" s="53">
        <v>-17576689.77</v>
      </c>
      <c r="Q1819" s="53">
        <v>5121350</v>
      </c>
      <c r="R1819" s="53">
        <v>81653825.700000003</v>
      </c>
    </row>
    <row r="1820" spans="1:18" x14ac:dyDescent="0.25">
      <c r="A1820" s="25" t="s">
        <v>209</v>
      </c>
      <c r="B1820" s="26">
        <v>2016</v>
      </c>
      <c r="C1820" s="74" t="s">
        <v>208</v>
      </c>
      <c r="D1820" s="27">
        <v>0</v>
      </c>
      <c r="E1820" s="53">
        <v>10000000</v>
      </c>
      <c r="F1820" s="53">
        <v>10000000</v>
      </c>
      <c r="G1820" s="53">
        <v>0</v>
      </c>
      <c r="H1820" s="53">
        <v>0</v>
      </c>
      <c r="I1820" s="53">
        <v>0</v>
      </c>
      <c r="J1820" s="53">
        <v>0</v>
      </c>
      <c r="K1820" s="53">
        <v>0</v>
      </c>
      <c r="L1820" s="53">
        <v>0</v>
      </c>
      <c r="M1820" s="53">
        <v>0</v>
      </c>
      <c r="N1820" s="53">
        <v>0</v>
      </c>
      <c r="O1820" s="53">
        <v>0</v>
      </c>
      <c r="P1820" s="53">
        <v>597699.35</v>
      </c>
      <c r="Q1820" s="53">
        <v>1305098.57</v>
      </c>
      <c r="R1820" s="53">
        <v>535340.15</v>
      </c>
    </row>
    <row r="1821" spans="1:18" x14ac:dyDescent="0.25">
      <c r="A1821" s="25" t="s">
        <v>407</v>
      </c>
      <c r="B1821" s="26">
        <v>2016</v>
      </c>
      <c r="C1821" s="74" t="s">
        <v>406</v>
      </c>
      <c r="D1821" s="27">
        <v>0</v>
      </c>
      <c r="E1821" s="53">
        <v>0</v>
      </c>
      <c r="F1821" s="53">
        <v>0</v>
      </c>
      <c r="G1821" s="53">
        <v>0</v>
      </c>
      <c r="H1821" s="53">
        <v>0</v>
      </c>
      <c r="I1821" s="53">
        <v>0</v>
      </c>
      <c r="J1821" s="53">
        <v>0</v>
      </c>
      <c r="K1821" s="53">
        <v>0</v>
      </c>
      <c r="L1821" s="53">
        <v>0</v>
      </c>
      <c r="M1821" s="53">
        <v>0</v>
      </c>
      <c r="N1821" s="53">
        <v>0</v>
      </c>
      <c r="O1821" s="53">
        <v>0</v>
      </c>
      <c r="P1821" s="53">
        <v>0</v>
      </c>
      <c r="Q1821" s="53">
        <v>0</v>
      </c>
      <c r="R1821" s="53">
        <v>0</v>
      </c>
    </row>
    <row r="1822" spans="1:18" x14ac:dyDescent="0.25">
      <c r="A1822" s="25" t="s">
        <v>207</v>
      </c>
      <c r="B1822" s="26">
        <v>2016</v>
      </c>
      <c r="C1822" s="74" t="s">
        <v>206</v>
      </c>
      <c r="D1822" s="27">
        <v>0</v>
      </c>
      <c r="E1822" s="53">
        <v>229223677</v>
      </c>
      <c r="F1822" s="53">
        <v>229223677</v>
      </c>
      <c r="G1822" s="53">
        <v>0</v>
      </c>
      <c r="H1822" s="53">
        <v>0</v>
      </c>
      <c r="I1822" s="53">
        <v>0</v>
      </c>
      <c r="J1822" s="53">
        <v>0</v>
      </c>
      <c r="K1822" s="53">
        <v>0</v>
      </c>
      <c r="L1822" s="53">
        <v>0</v>
      </c>
      <c r="M1822" s="53">
        <v>0</v>
      </c>
      <c r="N1822" s="53">
        <v>0</v>
      </c>
      <c r="O1822" s="53">
        <v>0</v>
      </c>
      <c r="P1822" s="53">
        <v>0</v>
      </c>
      <c r="Q1822" s="53">
        <v>0</v>
      </c>
      <c r="R1822" s="53">
        <v>0</v>
      </c>
    </row>
    <row r="1823" spans="1:18" x14ac:dyDescent="0.25">
      <c r="A1823" s="25" t="s">
        <v>205</v>
      </c>
      <c r="B1823" s="26">
        <v>2016</v>
      </c>
      <c r="C1823" s="74" t="s">
        <v>204</v>
      </c>
      <c r="D1823" s="27">
        <v>0</v>
      </c>
      <c r="E1823" s="53">
        <v>188876323</v>
      </c>
      <c r="F1823" s="53">
        <v>188876323</v>
      </c>
      <c r="G1823" s="53">
        <v>0</v>
      </c>
      <c r="H1823" s="53">
        <v>0</v>
      </c>
      <c r="I1823" s="53">
        <v>0</v>
      </c>
      <c r="J1823" s="53">
        <v>0</v>
      </c>
      <c r="K1823" s="53">
        <v>0</v>
      </c>
      <c r="L1823" s="53">
        <v>0</v>
      </c>
      <c r="M1823" s="53">
        <v>0</v>
      </c>
      <c r="N1823" s="53">
        <v>0</v>
      </c>
      <c r="O1823" s="53">
        <v>0</v>
      </c>
      <c r="P1823" s="53">
        <v>56376640</v>
      </c>
      <c r="Q1823" s="53">
        <v>56356800</v>
      </c>
      <c r="R1823" s="53">
        <v>63241760</v>
      </c>
    </row>
    <row r="1824" spans="1:18" x14ac:dyDescent="0.25">
      <c r="A1824" s="25" t="s">
        <v>374</v>
      </c>
      <c r="B1824" s="26">
        <v>2016</v>
      </c>
      <c r="C1824" s="74" t="s">
        <v>405</v>
      </c>
      <c r="D1824" s="27">
        <v>0</v>
      </c>
      <c r="E1824" s="53">
        <v>0</v>
      </c>
      <c r="F1824" s="53">
        <v>0</v>
      </c>
      <c r="G1824" s="53">
        <v>0</v>
      </c>
      <c r="H1824" s="53">
        <v>0</v>
      </c>
      <c r="I1824" s="53">
        <v>0</v>
      </c>
      <c r="J1824" s="53">
        <v>0</v>
      </c>
      <c r="K1824" s="53">
        <v>0</v>
      </c>
      <c r="L1824" s="53">
        <v>0</v>
      </c>
      <c r="M1824" s="53">
        <v>0</v>
      </c>
      <c r="N1824" s="53">
        <v>0</v>
      </c>
      <c r="O1824" s="53">
        <v>0</v>
      </c>
      <c r="P1824" s="53">
        <v>700</v>
      </c>
      <c r="Q1824" s="53">
        <v>200</v>
      </c>
      <c r="R1824" s="53">
        <v>261690.21</v>
      </c>
    </row>
    <row r="1825" spans="1:18" x14ac:dyDescent="0.25">
      <c r="A1825" s="25" t="s">
        <v>203</v>
      </c>
      <c r="B1825" s="26">
        <v>2016</v>
      </c>
      <c r="C1825" s="74" t="s">
        <v>202</v>
      </c>
      <c r="D1825" s="27">
        <v>0</v>
      </c>
      <c r="E1825" s="53">
        <v>4804300000</v>
      </c>
      <c r="F1825" s="53">
        <v>4804300000</v>
      </c>
      <c r="G1825" s="53">
        <v>0</v>
      </c>
      <c r="H1825" s="53">
        <v>0</v>
      </c>
      <c r="I1825" s="53">
        <v>0</v>
      </c>
      <c r="J1825" s="53">
        <v>0</v>
      </c>
      <c r="K1825" s="53">
        <v>0</v>
      </c>
      <c r="L1825" s="53">
        <v>0</v>
      </c>
      <c r="M1825" s="53">
        <v>0</v>
      </c>
      <c r="N1825" s="53">
        <v>0</v>
      </c>
      <c r="O1825" s="53">
        <v>0</v>
      </c>
      <c r="P1825" s="53">
        <v>19574424.809999999</v>
      </c>
      <c r="Q1825" s="53">
        <v>453542065.14999998</v>
      </c>
      <c r="R1825" s="53">
        <v>4210357758.0500002</v>
      </c>
    </row>
    <row r="1826" spans="1:18" x14ac:dyDescent="0.25">
      <c r="A1826" s="25" t="s">
        <v>200</v>
      </c>
      <c r="B1826" s="26">
        <v>2016</v>
      </c>
      <c r="C1826" s="74" t="s">
        <v>199</v>
      </c>
      <c r="D1826" s="27">
        <v>0</v>
      </c>
      <c r="E1826" s="53">
        <v>38000000</v>
      </c>
      <c r="F1826" s="53">
        <v>38000000</v>
      </c>
      <c r="G1826" s="53">
        <v>0</v>
      </c>
      <c r="H1826" s="53">
        <v>0</v>
      </c>
      <c r="I1826" s="53">
        <v>0</v>
      </c>
      <c r="J1826" s="53">
        <v>0</v>
      </c>
      <c r="K1826" s="53">
        <v>0</v>
      </c>
      <c r="L1826" s="53">
        <v>0</v>
      </c>
      <c r="M1826" s="53">
        <v>0</v>
      </c>
      <c r="N1826" s="53">
        <v>0</v>
      </c>
      <c r="O1826" s="53">
        <v>0</v>
      </c>
      <c r="P1826" s="53">
        <v>3624175.14</v>
      </c>
      <c r="Q1826" s="53">
        <v>3402372.08</v>
      </c>
      <c r="R1826" s="53">
        <v>5203166.34</v>
      </c>
    </row>
    <row r="1827" spans="1:18" x14ac:dyDescent="0.25">
      <c r="A1827" s="25" t="s">
        <v>198</v>
      </c>
      <c r="B1827" s="26">
        <v>2016</v>
      </c>
      <c r="C1827" s="74" t="s">
        <v>197</v>
      </c>
      <c r="D1827" s="27">
        <v>0</v>
      </c>
      <c r="E1827" s="53">
        <v>5000000</v>
      </c>
      <c r="F1827" s="53">
        <v>5000000</v>
      </c>
      <c r="G1827" s="53">
        <v>0</v>
      </c>
      <c r="H1827" s="53">
        <v>0</v>
      </c>
      <c r="I1827" s="53">
        <v>0</v>
      </c>
      <c r="J1827" s="53">
        <v>0</v>
      </c>
      <c r="K1827" s="53">
        <v>0</v>
      </c>
      <c r="L1827" s="53">
        <v>0</v>
      </c>
      <c r="M1827" s="53">
        <v>0</v>
      </c>
      <c r="N1827" s="53">
        <v>0</v>
      </c>
      <c r="O1827" s="53">
        <v>0</v>
      </c>
      <c r="P1827" s="53">
        <v>213050</v>
      </c>
      <c r="Q1827" s="53">
        <v>275340</v>
      </c>
      <c r="R1827" s="53">
        <v>212100</v>
      </c>
    </row>
    <row r="1828" spans="1:18" x14ac:dyDescent="0.25">
      <c r="A1828" s="25" t="s">
        <v>196</v>
      </c>
      <c r="B1828" s="26">
        <v>2016</v>
      </c>
      <c r="C1828" s="74" t="s">
        <v>195</v>
      </c>
      <c r="D1828" s="27">
        <v>0</v>
      </c>
      <c r="E1828" s="53">
        <v>112000000</v>
      </c>
      <c r="F1828" s="53">
        <v>112000000</v>
      </c>
      <c r="G1828" s="53">
        <v>0</v>
      </c>
      <c r="H1828" s="53">
        <v>0</v>
      </c>
      <c r="I1828" s="53">
        <v>0</v>
      </c>
      <c r="J1828" s="53">
        <v>0</v>
      </c>
      <c r="K1828" s="53">
        <v>0</v>
      </c>
      <c r="L1828" s="53">
        <v>0</v>
      </c>
      <c r="M1828" s="53">
        <v>0</v>
      </c>
      <c r="N1828" s="53">
        <v>0</v>
      </c>
      <c r="O1828" s="53">
        <v>0</v>
      </c>
      <c r="P1828" s="53">
        <v>8177611.5</v>
      </c>
      <c r="Q1828" s="53">
        <v>8029979.8499999996</v>
      </c>
      <c r="R1828" s="53">
        <v>11004905.550000001</v>
      </c>
    </row>
    <row r="1829" spans="1:18" x14ac:dyDescent="0.25">
      <c r="A1829" s="25" t="s">
        <v>194</v>
      </c>
      <c r="B1829" s="26">
        <v>2016</v>
      </c>
      <c r="C1829" s="74" t="s">
        <v>193</v>
      </c>
      <c r="D1829" s="27">
        <v>0</v>
      </c>
      <c r="E1829" s="53">
        <v>52000000</v>
      </c>
      <c r="F1829" s="53">
        <v>52000000</v>
      </c>
      <c r="G1829" s="53">
        <v>0</v>
      </c>
      <c r="H1829" s="53">
        <v>0</v>
      </c>
      <c r="I1829" s="53">
        <v>0</v>
      </c>
      <c r="J1829" s="53">
        <v>0</v>
      </c>
      <c r="K1829" s="53">
        <v>0</v>
      </c>
      <c r="L1829" s="53">
        <v>0</v>
      </c>
      <c r="M1829" s="53">
        <v>0</v>
      </c>
      <c r="N1829" s="53">
        <v>0</v>
      </c>
      <c r="O1829" s="53">
        <v>0</v>
      </c>
      <c r="P1829" s="53">
        <v>6094472</v>
      </c>
      <c r="Q1829" s="53">
        <v>6496324</v>
      </c>
      <c r="R1829" s="53">
        <v>7317617.7999999998</v>
      </c>
    </row>
    <row r="1830" spans="1:18" x14ac:dyDescent="0.25">
      <c r="A1830" s="25" t="s">
        <v>191</v>
      </c>
      <c r="B1830" s="26">
        <v>2016</v>
      </c>
      <c r="C1830" s="74" t="s">
        <v>190</v>
      </c>
      <c r="D1830" s="27">
        <v>0</v>
      </c>
      <c r="E1830" s="53">
        <v>5149787962</v>
      </c>
      <c r="F1830" s="53">
        <v>5149787962</v>
      </c>
      <c r="G1830" s="53">
        <v>0</v>
      </c>
      <c r="H1830" s="53">
        <v>0</v>
      </c>
      <c r="I1830" s="53">
        <v>0</v>
      </c>
      <c r="J1830" s="53">
        <v>0</v>
      </c>
      <c r="K1830" s="53">
        <v>0</v>
      </c>
      <c r="L1830" s="53">
        <v>0</v>
      </c>
      <c r="M1830" s="53">
        <v>0</v>
      </c>
      <c r="N1830" s="53">
        <v>0</v>
      </c>
      <c r="O1830" s="53">
        <v>0</v>
      </c>
      <c r="P1830" s="53">
        <v>1946387708.5899999</v>
      </c>
      <c r="Q1830" s="53">
        <v>1095024519.9200001</v>
      </c>
      <c r="R1830" s="53">
        <v>816185099.61000001</v>
      </c>
    </row>
    <row r="1831" spans="1:18" x14ac:dyDescent="0.25">
      <c r="A1831" s="25" t="s">
        <v>189</v>
      </c>
      <c r="B1831" s="26">
        <v>2016</v>
      </c>
      <c r="C1831" s="74" t="s">
        <v>188</v>
      </c>
      <c r="D1831" s="27">
        <v>0</v>
      </c>
      <c r="E1831" s="53">
        <v>249016550</v>
      </c>
      <c r="F1831" s="53">
        <v>249016550</v>
      </c>
      <c r="G1831" s="53">
        <v>0</v>
      </c>
      <c r="H1831" s="53">
        <v>0</v>
      </c>
      <c r="I1831" s="53">
        <v>0</v>
      </c>
      <c r="J1831" s="53">
        <v>0</v>
      </c>
      <c r="K1831" s="53">
        <v>0</v>
      </c>
      <c r="L1831" s="53">
        <v>0</v>
      </c>
      <c r="M1831" s="53">
        <v>0</v>
      </c>
      <c r="N1831" s="53">
        <v>0</v>
      </c>
      <c r="O1831" s="53">
        <v>0</v>
      </c>
      <c r="P1831" s="53">
        <v>0</v>
      </c>
      <c r="Q1831" s="53">
        <v>153186250.43000001</v>
      </c>
      <c r="R1831" s="53">
        <v>11362652.52</v>
      </c>
    </row>
    <row r="1832" spans="1:18" x14ac:dyDescent="0.25">
      <c r="A1832" s="25" t="s">
        <v>187</v>
      </c>
      <c r="B1832" s="26">
        <v>2016</v>
      </c>
      <c r="C1832" s="74" t="s">
        <v>186</v>
      </c>
      <c r="D1832" s="27">
        <v>0</v>
      </c>
      <c r="E1832" s="53">
        <v>22000000</v>
      </c>
      <c r="F1832" s="53">
        <v>22000000</v>
      </c>
      <c r="G1832" s="53">
        <v>0</v>
      </c>
      <c r="H1832" s="53">
        <v>0</v>
      </c>
      <c r="I1832" s="53">
        <v>0</v>
      </c>
      <c r="J1832" s="53">
        <v>0</v>
      </c>
      <c r="K1832" s="53">
        <v>0</v>
      </c>
      <c r="L1832" s="53">
        <v>0</v>
      </c>
      <c r="M1832" s="53">
        <v>0</v>
      </c>
      <c r="N1832" s="53">
        <v>0</v>
      </c>
      <c r="O1832" s="53">
        <v>0</v>
      </c>
      <c r="P1832" s="53">
        <v>1836000</v>
      </c>
      <c r="Q1832" s="53">
        <v>1383000</v>
      </c>
      <c r="R1832" s="53">
        <v>1990000</v>
      </c>
    </row>
    <row r="1833" spans="1:18" x14ac:dyDescent="0.25">
      <c r="A1833" s="25" t="s">
        <v>185</v>
      </c>
      <c r="B1833" s="26">
        <v>2016</v>
      </c>
      <c r="C1833" s="74" t="s">
        <v>184</v>
      </c>
      <c r="D1833" s="27">
        <v>0</v>
      </c>
      <c r="E1833" s="53">
        <v>38500000</v>
      </c>
      <c r="F1833" s="53">
        <v>38500000</v>
      </c>
      <c r="G1833" s="53">
        <v>0</v>
      </c>
      <c r="H1833" s="53">
        <v>0</v>
      </c>
      <c r="I1833" s="53">
        <v>0</v>
      </c>
      <c r="J1833" s="53">
        <v>0</v>
      </c>
      <c r="K1833" s="53">
        <v>0</v>
      </c>
      <c r="L1833" s="53">
        <v>0</v>
      </c>
      <c r="M1833" s="53">
        <v>0</v>
      </c>
      <c r="N1833" s="53">
        <v>0</v>
      </c>
      <c r="O1833" s="53">
        <v>0</v>
      </c>
      <c r="P1833" s="53">
        <v>500000</v>
      </c>
      <c r="Q1833" s="53">
        <v>500000</v>
      </c>
      <c r="R1833" s="53">
        <v>4000</v>
      </c>
    </row>
    <row r="1834" spans="1:18" x14ac:dyDescent="0.25">
      <c r="A1834" s="25" t="s">
        <v>183</v>
      </c>
      <c r="B1834" s="26">
        <v>2016</v>
      </c>
      <c r="C1834" s="74" t="s">
        <v>182</v>
      </c>
      <c r="D1834" s="27">
        <v>0</v>
      </c>
      <c r="E1834" s="53">
        <v>547500000</v>
      </c>
      <c r="F1834" s="53">
        <v>547500000</v>
      </c>
      <c r="G1834" s="53">
        <v>0</v>
      </c>
      <c r="H1834" s="53">
        <v>0</v>
      </c>
      <c r="I1834" s="53">
        <v>0</v>
      </c>
      <c r="J1834" s="53">
        <v>0</v>
      </c>
      <c r="K1834" s="53">
        <v>0</v>
      </c>
      <c r="L1834" s="53">
        <v>0</v>
      </c>
      <c r="M1834" s="53">
        <v>0</v>
      </c>
      <c r="N1834" s="53">
        <v>0</v>
      </c>
      <c r="O1834" s="53">
        <v>0</v>
      </c>
      <c r="P1834" s="53">
        <v>1897000</v>
      </c>
      <c r="Q1834" s="53">
        <v>7635600</v>
      </c>
      <c r="R1834" s="53">
        <v>17929500</v>
      </c>
    </row>
    <row r="1835" spans="1:18" x14ac:dyDescent="0.25">
      <c r="A1835" s="25" t="s">
        <v>178</v>
      </c>
      <c r="B1835" s="26">
        <v>2016</v>
      </c>
      <c r="C1835" s="74" t="s">
        <v>177</v>
      </c>
      <c r="D1835" s="27">
        <v>0</v>
      </c>
      <c r="E1835" s="53">
        <v>12000000000</v>
      </c>
      <c r="F1835" s="53">
        <v>12000000000</v>
      </c>
      <c r="G1835" s="53">
        <v>0</v>
      </c>
      <c r="H1835" s="53">
        <v>0</v>
      </c>
      <c r="I1835" s="53">
        <v>0</v>
      </c>
      <c r="J1835" s="53">
        <v>0</v>
      </c>
      <c r="K1835" s="53">
        <v>0</v>
      </c>
      <c r="L1835" s="53">
        <v>0</v>
      </c>
      <c r="M1835" s="53">
        <v>0</v>
      </c>
      <c r="N1835" s="53">
        <v>0</v>
      </c>
      <c r="O1835" s="53">
        <v>0</v>
      </c>
      <c r="P1835" s="53">
        <v>0</v>
      </c>
      <c r="Q1835" s="53">
        <v>0</v>
      </c>
      <c r="R1835" s="53">
        <v>0</v>
      </c>
    </row>
    <row r="1836" spans="1:18" x14ac:dyDescent="0.25">
      <c r="A1836" s="25" t="s">
        <v>373</v>
      </c>
      <c r="B1836" s="26">
        <v>2016</v>
      </c>
      <c r="C1836" s="74" t="s">
        <v>404</v>
      </c>
      <c r="D1836" s="27">
        <v>0</v>
      </c>
      <c r="E1836" s="53">
        <v>0</v>
      </c>
      <c r="F1836" s="53">
        <v>0</v>
      </c>
      <c r="G1836" s="53">
        <v>0</v>
      </c>
      <c r="H1836" s="53">
        <v>0</v>
      </c>
      <c r="I1836" s="53">
        <v>0</v>
      </c>
      <c r="J1836" s="53">
        <v>0</v>
      </c>
      <c r="K1836" s="53">
        <v>0</v>
      </c>
      <c r="L1836" s="53">
        <v>0</v>
      </c>
      <c r="M1836" s="53">
        <v>0</v>
      </c>
      <c r="N1836" s="53">
        <v>0</v>
      </c>
      <c r="O1836" s="53">
        <v>0</v>
      </c>
      <c r="P1836" s="53">
        <v>0</v>
      </c>
      <c r="Q1836" s="53">
        <v>0</v>
      </c>
      <c r="R1836" s="53">
        <v>0.32</v>
      </c>
    </row>
    <row r="1837" spans="1:18" x14ac:dyDescent="0.25">
      <c r="A1837" s="25" t="s">
        <v>176</v>
      </c>
      <c r="B1837" s="26">
        <v>2016</v>
      </c>
      <c r="C1837" s="74" t="s">
        <v>175</v>
      </c>
      <c r="D1837" s="27">
        <v>0</v>
      </c>
      <c r="E1837" s="53">
        <v>331000000</v>
      </c>
      <c r="F1837" s="53">
        <v>331000000</v>
      </c>
      <c r="G1837" s="53">
        <v>0</v>
      </c>
      <c r="H1837" s="53">
        <v>0</v>
      </c>
      <c r="I1837" s="53">
        <v>0</v>
      </c>
      <c r="J1837" s="53">
        <v>0</v>
      </c>
      <c r="K1837" s="53">
        <v>0</v>
      </c>
      <c r="L1837" s="53">
        <v>0</v>
      </c>
      <c r="M1837" s="53">
        <v>0</v>
      </c>
      <c r="N1837" s="53">
        <v>0</v>
      </c>
      <c r="O1837" s="53">
        <v>0</v>
      </c>
      <c r="P1837" s="53">
        <v>7909039.8399999999</v>
      </c>
      <c r="Q1837" s="53">
        <v>9694090.6500000004</v>
      </c>
      <c r="R1837" s="53">
        <v>273706015.95999998</v>
      </c>
    </row>
    <row r="1838" spans="1:18" x14ac:dyDescent="0.25">
      <c r="A1838" s="25" t="s">
        <v>174</v>
      </c>
      <c r="B1838" s="26">
        <v>2016</v>
      </c>
      <c r="C1838" s="74" t="s">
        <v>173</v>
      </c>
      <c r="D1838" s="27">
        <v>0</v>
      </c>
      <c r="E1838" s="53">
        <v>176800000</v>
      </c>
      <c r="F1838" s="53">
        <v>176800000</v>
      </c>
      <c r="G1838" s="53">
        <v>0</v>
      </c>
      <c r="H1838" s="53">
        <v>0</v>
      </c>
      <c r="I1838" s="53">
        <v>0</v>
      </c>
      <c r="J1838" s="53">
        <v>0</v>
      </c>
      <c r="K1838" s="53">
        <v>0</v>
      </c>
      <c r="L1838" s="53">
        <v>0</v>
      </c>
      <c r="M1838" s="53">
        <v>0</v>
      </c>
      <c r="N1838" s="53">
        <v>0</v>
      </c>
      <c r="O1838" s="53">
        <v>0</v>
      </c>
      <c r="P1838" s="53">
        <v>0</v>
      </c>
      <c r="Q1838" s="53">
        <v>0</v>
      </c>
      <c r="R1838" s="53">
        <v>88693140.739999995</v>
      </c>
    </row>
    <row r="1839" spans="1:18" x14ac:dyDescent="0.25">
      <c r="A1839" s="25" t="s">
        <v>172</v>
      </c>
      <c r="B1839" s="26">
        <v>2016</v>
      </c>
      <c r="C1839" s="74" t="s">
        <v>171</v>
      </c>
      <c r="D1839" s="27">
        <v>0</v>
      </c>
      <c r="E1839" s="53">
        <v>2710000000</v>
      </c>
      <c r="F1839" s="53">
        <v>2710000000</v>
      </c>
      <c r="G1839" s="53">
        <v>0</v>
      </c>
      <c r="H1839" s="53">
        <v>0</v>
      </c>
      <c r="I1839" s="53">
        <v>0</v>
      </c>
      <c r="J1839" s="53">
        <v>0</v>
      </c>
      <c r="K1839" s="53">
        <v>0</v>
      </c>
      <c r="L1839" s="53">
        <v>0</v>
      </c>
      <c r="M1839" s="53">
        <v>0</v>
      </c>
      <c r="N1839" s="53">
        <v>0</v>
      </c>
      <c r="O1839" s="53">
        <v>0</v>
      </c>
      <c r="P1839" s="53">
        <v>403029844.56999999</v>
      </c>
      <c r="Q1839" s="53">
        <v>428237552</v>
      </c>
      <c r="R1839" s="53">
        <v>421460447</v>
      </c>
    </row>
    <row r="1840" spans="1:18" x14ac:dyDescent="0.25">
      <c r="A1840" s="25" t="s">
        <v>170</v>
      </c>
      <c r="B1840" s="26">
        <v>2016</v>
      </c>
      <c r="C1840" s="74" t="s">
        <v>168</v>
      </c>
      <c r="D1840" s="27">
        <v>0</v>
      </c>
      <c r="E1840" s="53">
        <v>990000000</v>
      </c>
      <c r="F1840" s="53">
        <v>990000000</v>
      </c>
      <c r="G1840" s="53">
        <v>0</v>
      </c>
      <c r="H1840" s="53">
        <v>0</v>
      </c>
      <c r="I1840" s="53">
        <v>0</v>
      </c>
      <c r="J1840" s="53">
        <v>0</v>
      </c>
      <c r="K1840" s="53">
        <v>0</v>
      </c>
      <c r="L1840" s="53">
        <v>0</v>
      </c>
      <c r="M1840" s="53">
        <v>0</v>
      </c>
      <c r="N1840" s="53">
        <v>0</v>
      </c>
      <c r="O1840" s="53">
        <v>0</v>
      </c>
      <c r="P1840" s="53">
        <v>100239858.70999999</v>
      </c>
      <c r="Q1840" s="53">
        <v>134286831.78999999</v>
      </c>
      <c r="R1840" s="53">
        <v>502829412.49000001</v>
      </c>
    </row>
    <row r="1841" spans="1:18" x14ac:dyDescent="0.25">
      <c r="A1841" s="25" t="s">
        <v>167</v>
      </c>
      <c r="B1841" s="26">
        <v>2016</v>
      </c>
      <c r="C1841" s="74" t="s">
        <v>166</v>
      </c>
      <c r="D1841" s="27">
        <v>0</v>
      </c>
      <c r="E1841" s="53">
        <v>7280000000</v>
      </c>
      <c r="F1841" s="53">
        <v>7280000000</v>
      </c>
      <c r="G1841" s="53">
        <v>0</v>
      </c>
      <c r="H1841" s="53">
        <v>0</v>
      </c>
      <c r="I1841" s="53">
        <v>0</v>
      </c>
      <c r="J1841" s="53">
        <v>0</v>
      </c>
      <c r="K1841" s="53">
        <v>0</v>
      </c>
      <c r="L1841" s="53">
        <v>0</v>
      </c>
      <c r="M1841" s="53">
        <v>0</v>
      </c>
      <c r="N1841" s="53">
        <v>0</v>
      </c>
      <c r="O1841" s="53">
        <v>0</v>
      </c>
      <c r="P1841" s="53">
        <v>363539067</v>
      </c>
      <c r="Q1841" s="53">
        <v>315610369</v>
      </c>
      <c r="R1841" s="53">
        <v>671271150</v>
      </c>
    </row>
    <row r="1842" spans="1:18" x14ac:dyDescent="0.25">
      <c r="A1842" s="25" t="s">
        <v>165</v>
      </c>
      <c r="B1842" s="26">
        <v>2016</v>
      </c>
      <c r="C1842" s="74" t="s">
        <v>164</v>
      </c>
      <c r="D1842" s="27">
        <v>0</v>
      </c>
      <c r="E1842" s="53">
        <v>5200000</v>
      </c>
      <c r="F1842" s="53">
        <v>5200000</v>
      </c>
      <c r="G1842" s="53">
        <v>0</v>
      </c>
      <c r="H1842" s="53">
        <v>0</v>
      </c>
      <c r="I1842" s="53">
        <v>0</v>
      </c>
      <c r="J1842" s="53">
        <v>0</v>
      </c>
      <c r="K1842" s="53">
        <v>0</v>
      </c>
      <c r="L1842" s="53">
        <v>0</v>
      </c>
      <c r="M1842" s="53">
        <v>0</v>
      </c>
      <c r="N1842" s="53">
        <v>0</v>
      </c>
      <c r="O1842" s="53">
        <v>0</v>
      </c>
      <c r="P1842" s="53">
        <v>1844707.5</v>
      </c>
      <c r="Q1842" s="53">
        <v>0</v>
      </c>
      <c r="R1842" s="53">
        <v>13041636.92</v>
      </c>
    </row>
    <row r="1843" spans="1:18" x14ac:dyDescent="0.25">
      <c r="A1843" s="25" t="s">
        <v>163</v>
      </c>
      <c r="B1843" s="26">
        <v>2016</v>
      </c>
      <c r="C1843" s="74" t="s">
        <v>162</v>
      </c>
      <c r="D1843" s="27">
        <v>0</v>
      </c>
      <c r="E1843" s="53">
        <v>827200000</v>
      </c>
      <c r="F1843" s="53">
        <v>827200000</v>
      </c>
      <c r="G1843" s="53">
        <v>0</v>
      </c>
      <c r="H1843" s="53">
        <v>0</v>
      </c>
      <c r="I1843" s="53">
        <v>0</v>
      </c>
      <c r="J1843" s="53">
        <v>0</v>
      </c>
      <c r="K1843" s="53">
        <v>0</v>
      </c>
      <c r="L1843" s="53">
        <v>0</v>
      </c>
      <c r="M1843" s="53">
        <v>0</v>
      </c>
      <c r="N1843" s="53">
        <v>0</v>
      </c>
      <c r="O1843" s="53">
        <v>0</v>
      </c>
      <c r="P1843" s="53">
        <v>96338000</v>
      </c>
      <c r="Q1843" s="53">
        <v>102060125</v>
      </c>
      <c r="R1843" s="53">
        <v>16661000</v>
      </c>
    </row>
    <row r="1844" spans="1:18" x14ac:dyDescent="0.25">
      <c r="A1844" s="25" t="s">
        <v>161</v>
      </c>
      <c r="B1844" s="26">
        <v>2016</v>
      </c>
      <c r="C1844" s="74" t="s">
        <v>160</v>
      </c>
      <c r="D1844" s="27">
        <v>0</v>
      </c>
      <c r="E1844" s="53">
        <v>489100000</v>
      </c>
      <c r="F1844" s="53">
        <v>489100000</v>
      </c>
      <c r="G1844" s="53">
        <v>0</v>
      </c>
      <c r="H1844" s="53">
        <v>0</v>
      </c>
      <c r="I1844" s="53">
        <v>0</v>
      </c>
      <c r="J1844" s="53">
        <v>0</v>
      </c>
      <c r="K1844" s="53">
        <v>0</v>
      </c>
      <c r="L1844" s="53">
        <v>0</v>
      </c>
      <c r="M1844" s="53">
        <v>0</v>
      </c>
      <c r="N1844" s="53">
        <v>0</v>
      </c>
      <c r="O1844" s="53">
        <v>0</v>
      </c>
      <c r="P1844" s="53">
        <v>1907541.94</v>
      </c>
      <c r="Q1844" s="53">
        <v>10269882.27</v>
      </c>
      <c r="R1844" s="53">
        <v>28880265.510000002</v>
      </c>
    </row>
    <row r="1845" spans="1:18" x14ac:dyDescent="0.25">
      <c r="A1845" s="25" t="s">
        <v>159</v>
      </c>
      <c r="B1845" s="26">
        <v>2016</v>
      </c>
      <c r="C1845" s="74" t="s">
        <v>158</v>
      </c>
      <c r="D1845" s="27">
        <v>0</v>
      </c>
      <c r="E1845" s="53">
        <v>92858411.840000004</v>
      </c>
      <c r="F1845" s="53">
        <v>92858411.840000004</v>
      </c>
      <c r="G1845" s="53">
        <v>0</v>
      </c>
      <c r="H1845" s="53">
        <v>0</v>
      </c>
      <c r="I1845" s="53">
        <v>0</v>
      </c>
      <c r="J1845" s="53">
        <v>0</v>
      </c>
      <c r="K1845" s="53">
        <v>0</v>
      </c>
      <c r="L1845" s="53">
        <v>0</v>
      </c>
      <c r="M1845" s="53">
        <v>0</v>
      </c>
      <c r="N1845" s="53">
        <v>0</v>
      </c>
      <c r="O1845" s="53">
        <v>0</v>
      </c>
      <c r="P1845" s="53">
        <v>0</v>
      </c>
      <c r="Q1845" s="53">
        <v>0</v>
      </c>
      <c r="R1845" s="53">
        <v>0</v>
      </c>
    </row>
    <row r="1846" spans="1:18" x14ac:dyDescent="0.25">
      <c r="A1846" s="25" t="s">
        <v>157</v>
      </c>
      <c r="B1846" s="26">
        <v>2016</v>
      </c>
      <c r="C1846" s="74" t="s">
        <v>156</v>
      </c>
      <c r="D1846" s="27">
        <v>0</v>
      </c>
      <c r="E1846" s="53">
        <v>0</v>
      </c>
      <c r="F1846" s="53">
        <v>0</v>
      </c>
      <c r="G1846" s="53">
        <v>0</v>
      </c>
      <c r="H1846" s="53">
        <v>0</v>
      </c>
      <c r="I1846" s="53">
        <v>0</v>
      </c>
      <c r="J1846" s="53">
        <v>0</v>
      </c>
      <c r="K1846" s="53">
        <v>0</v>
      </c>
      <c r="L1846" s="53">
        <v>0</v>
      </c>
      <c r="M1846" s="53">
        <v>0</v>
      </c>
      <c r="N1846" s="53">
        <v>0</v>
      </c>
      <c r="O1846" s="53">
        <v>0</v>
      </c>
      <c r="P1846" s="53">
        <v>0</v>
      </c>
      <c r="Q1846" s="53">
        <v>0</v>
      </c>
      <c r="R1846" s="53">
        <v>0</v>
      </c>
    </row>
    <row r="1847" spans="1:18" x14ac:dyDescent="0.25">
      <c r="A1847" s="25" t="s">
        <v>153</v>
      </c>
      <c r="B1847" s="26">
        <v>2016</v>
      </c>
      <c r="C1847" s="74" t="s">
        <v>151</v>
      </c>
      <c r="D1847" s="27">
        <v>0</v>
      </c>
      <c r="E1847" s="53">
        <v>295700000</v>
      </c>
      <c r="F1847" s="53">
        <v>295700000</v>
      </c>
      <c r="G1847" s="53">
        <v>0</v>
      </c>
      <c r="H1847" s="53">
        <v>0</v>
      </c>
      <c r="I1847" s="53">
        <v>0</v>
      </c>
      <c r="J1847" s="53">
        <v>0</v>
      </c>
      <c r="K1847" s="53">
        <v>0</v>
      </c>
      <c r="L1847" s="53">
        <v>0</v>
      </c>
      <c r="M1847" s="53">
        <v>0</v>
      </c>
      <c r="N1847" s="53">
        <v>0</v>
      </c>
      <c r="O1847" s="53">
        <v>0</v>
      </c>
      <c r="P1847" s="53">
        <v>7033126</v>
      </c>
      <c r="Q1847" s="53">
        <v>176574984.66999999</v>
      </c>
      <c r="R1847" s="53">
        <v>-15286189.119999999</v>
      </c>
    </row>
    <row r="1848" spans="1:18" x14ac:dyDescent="0.25">
      <c r="A1848" s="25" t="s">
        <v>150</v>
      </c>
      <c r="B1848" s="26">
        <v>2016</v>
      </c>
      <c r="C1848" s="74" t="s">
        <v>149</v>
      </c>
      <c r="D1848" s="27">
        <v>0</v>
      </c>
      <c r="E1848" s="53">
        <v>146000000</v>
      </c>
      <c r="F1848" s="53">
        <v>146000000</v>
      </c>
      <c r="G1848" s="53">
        <v>0</v>
      </c>
      <c r="H1848" s="53">
        <v>0</v>
      </c>
      <c r="I1848" s="53">
        <v>0</v>
      </c>
      <c r="J1848" s="53">
        <v>0</v>
      </c>
      <c r="K1848" s="53">
        <v>0</v>
      </c>
      <c r="L1848" s="53">
        <v>0</v>
      </c>
      <c r="M1848" s="53">
        <v>0</v>
      </c>
      <c r="N1848" s="53">
        <v>0</v>
      </c>
      <c r="O1848" s="53">
        <v>0</v>
      </c>
      <c r="P1848" s="53">
        <v>9020375.5700000003</v>
      </c>
      <c r="Q1848" s="53">
        <v>3335468.84</v>
      </c>
      <c r="R1848" s="53">
        <v>24424538.870000001</v>
      </c>
    </row>
    <row r="1849" spans="1:18" x14ac:dyDescent="0.25">
      <c r="A1849" s="25" t="s">
        <v>147</v>
      </c>
      <c r="B1849" s="26">
        <v>2016</v>
      </c>
      <c r="C1849" s="74" t="s">
        <v>146</v>
      </c>
      <c r="D1849" s="27">
        <v>0</v>
      </c>
      <c r="E1849" s="53">
        <v>273000000</v>
      </c>
      <c r="F1849" s="53">
        <v>273000000</v>
      </c>
      <c r="G1849" s="53">
        <v>0</v>
      </c>
      <c r="H1849" s="53">
        <v>0</v>
      </c>
      <c r="I1849" s="53">
        <v>0</v>
      </c>
      <c r="J1849" s="53">
        <v>0</v>
      </c>
      <c r="K1849" s="53">
        <v>0</v>
      </c>
      <c r="L1849" s="53">
        <v>0</v>
      </c>
      <c r="M1849" s="53">
        <v>0</v>
      </c>
      <c r="N1849" s="53">
        <v>0</v>
      </c>
      <c r="O1849" s="53">
        <v>0</v>
      </c>
      <c r="P1849" s="53">
        <v>47852627.299999997</v>
      </c>
      <c r="Q1849" s="53">
        <v>44045285.25</v>
      </c>
      <c r="R1849" s="53">
        <v>53441340.539999999</v>
      </c>
    </row>
    <row r="1850" spans="1:18" x14ac:dyDescent="0.25">
      <c r="A1850" s="25" t="s">
        <v>144</v>
      </c>
      <c r="B1850" s="26">
        <v>2016</v>
      </c>
      <c r="C1850" s="74" t="s">
        <v>143</v>
      </c>
      <c r="D1850" s="27">
        <v>0</v>
      </c>
      <c r="E1850" s="53">
        <v>2198275019</v>
      </c>
      <c r="F1850" s="53">
        <v>2198275019</v>
      </c>
      <c r="G1850" s="53">
        <v>0</v>
      </c>
      <c r="H1850" s="53">
        <v>0</v>
      </c>
      <c r="I1850" s="53">
        <v>0</v>
      </c>
      <c r="J1850" s="53">
        <v>0</v>
      </c>
      <c r="K1850" s="53">
        <v>0</v>
      </c>
      <c r="L1850" s="53">
        <v>0</v>
      </c>
      <c r="M1850" s="53">
        <v>0</v>
      </c>
      <c r="N1850" s="53">
        <v>0</v>
      </c>
      <c r="O1850" s="53">
        <v>0</v>
      </c>
      <c r="P1850" s="53">
        <v>524425345.73000002</v>
      </c>
      <c r="Q1850" s="53">
        <v>1106691452.48</v>
      </c>
      <c r="R1850" s="53">
        <v>865188003.36000001</v>
      </c>
    </row>
    <row r="1851" spans="1:18" x14ac:dyDescent="0.25">
      <c r="A1851" s="25" t="s">
        <v>142</v>
      </c>
      <c r="B1851" s="26">
        <v>2016</v>
      </c>
      <c r="C1851" s="74" t="s">
        <v>141</v>
      </c>
      <c r="D1851" s="27">
        <v>0</v>
      </c>
      <c r="E1851" s="53">
        <v>2288000000</v>
      </c>
      <c r="F1851" s="53">
        <v>2288000000</v>
      </c>
      <c r="G1851" s="53">
        <v>0</v>
      </c>
      <c r="H1851" s="53">
        <v>0</v>
      </c>
      <c r="I1851" s="53">
        <v>0</v>
      </c>
      <c r="J1851" s="53">
        <v>0</v>
      </c>
      <c r="K1851" s="53">
        <v>0</v>
      </c>
      <c r="L1851" s="53">
        <v>0</v>
      </c>
      <c r="M1851" s="53">
        <v>0</v>
      </c>
      <c r="N1851" s="53">
        <v>0</v>
      </c>
      <c r="O1851" s="53">
        <v>0</v>
      </c>
      <c r="P1851" s="53">
        <v>268681034.44</v>
      </c>
      <c r="Q1851" s="53">
        <v>128074603.34</v>
      </c>
      <c r="R1851" s="53">
        <v>225360730.72999999</v>
      </c>
    </row>
    <row r="1852" spans="1:18" x14ac:dyDescent="0.25">
      <c r="A1852" s="25" t="s">
        <v>403</v>
      </c>
      <c r="B1852" s="26">
        <v>2016</v>
      </c>
      <c r="C1852" s="74" t="s">
        <v>400</v>
      </c>
      <c r="D1852" s="27">
        <v>0</v>
      </c>
      <c r="E1852" s="53">
        <v>0</v>
      </c>
      <c r="F1852" s="53">
        <v>0</v>
      </c>
      <c r="G1852" s="53">
        <v>0</v>
      </c>
      <c r="H1852" s="53">
        <v>0</v>
      </c>
      <c r="I1852" s="53">
        <v>0</v>
      </c>
      <c r="J1852" s="53">
        <v>0</v>
      </c>
      <c r="K1852" s="53">
        <v>0</v>
      </c>
      <c r="L1852" s="53">
        <v>0</v>
      </c>
      <c r="M1852" s="53">
        <v>0</v>
      </c>
      <c r="N1852" s="53">
        <v>0</v>
      </c>
      <c r="O1852" s="53">
        <v>0</v>
      </c>
      <c r="P1852" s="53">
        <v>0</v>
      </c>
      <c r="Q1852" s="53">
        <v>0</v>
      </c>
      <c r="R1852" s="53">
        <v>0</v>
      </c>
    </row>
    <row r="1853" spans="1:18" x14ac:dyDescent="0.25">
      <c r="A1853" s="25" t="s">
        <v>402</v>
      </c>
      <c r="B1853" s="26">
        <v>2016</v>
      </c>
      <c r="C1853" s="74" t="s">
        <v>399</v>
      </c>
      <c r="D1853" s="27">
        <v>0</v>
      </c>
      <c r="E1853" s="53">
        <v>1450000000</v>
      </c>
      <c r="F1853" s="53">
        <v>1450000000</v>
      </c>
      <c r="G1853" s="53">
        <v>0</v>
      </c>
      <c r="H1853" s="53">
        <v>0</v>
      </c>
      <c r="I1853" s="53">
        <v>0</v>
      </c>
      <c r="J1853" s="53">
        <v>0</v>
      </c>
      <c r="K1853" s="53">
        <v>0</v>
      </c>
      <c r="L1853" s="53">
        <v>0</v>
      </c>
      <c r="M1853" s="53">
        <v>0</v>
      </c>
      <c r="N1853" s="53">
        <v>0</v>
      </c>
      <c r="O1853" s="53">
        <v>0</v>
      </c>
      <c r="P1853" s="53">
        <v>0</v>
      </c>
      <c r="Q1853" s="53">
        <v>0</v>
      </c>
      <c r="R1853" s="53">
        <v>1450000000</v>
      </c>
    </row>
    <row r="1854" spans="1:18" x14ac:dyDescent="0.25">
      <c r="A1854" s="25" t="s">
        <v>140</v>
      </c>
      <c r="B1854" s="26">
        <v>2016</v>
      </c>
      <c r="C1854" s="74" t="s">
        <v>139</v>
      </c>
      <c r="D1854" s="27">
        <v>0</v>
      </c>
      <c r="E1854" s="53">
        <v>30242045597</v>
      </c>
      <c r="F1854" s="53">
        <v>30242045597</v>
      </c>
      <c r="G1854" s="53">
        <v>0</v>
      </c>
      <c r="H1854" s="53">
        <v>0</v>
      </c>
      <c r="I1854" s="53">
        <v>0</v>
      </c>
      <c r="J1854" s="53">
        <v>0</v>
      </c>
      <c r="K1854" s="53">
        <v>0</v>
      </c>
      <c r="L1854" s="53">
        <v>0</v>
      </c>
      <c r="M1854" s="53">
        <v>0</v>
      </c>
      <c r="N1854" s="53">
        <v>0</v>
      </c>
      <c r="O1854" s="53">
        <v>0</v>
      </c>
      <c r="P1854" s="53">
        <v>0</v>
      </c>
      <c r="Q1854" s="53">
        <v>3598978632.8200002</v>
      </c>
      <c r="R1854" s="53">
        <v>882050097.70000005</v>
      </c>
    </row>
    <row r="1855" spans="1:18" x14ac:dyDescent="0.25">
      <c r="A1855" s="25" t="s">
        <v>372</v>
      </c>
      <c r="B1855" s="26">
        <v>2016</v>
      </c>
      <c r="C1855" s="74" t="s">
        <v>398</v>
      </c>
      <c r="D1855" s="27">
        <v>0</v>
      </c>
      <c r="E1855" s="53">
        <v>2500000000</v>
      </c>
      <c r="F1855" s="53">
        <v>2500000000</v>
      </c>
      <c r="G1855" s="53">
        <v>0</v>
      </c>
      <c r="H1855" s="53">
        <v>0</v>
      </c>
      <c r="I1855" s="53">
        <v>0</v>
      </c>
      <c r="J1855" s="53">
        <v>0</v>
      </c>
      <c r="K1855" s="53">
        <v>0</v>
      </c>
      <c r="L1855" s="53">
        <v>0</v>
      </c>
      <c r="M1855" s="53">
        <v>0</v>
      </c>
      <c r="N1855" s="53">
        <v>0</v>
      </c>
      <c r="O1855" s="53">
        <v>0</v>
      </c>
      <c r="P1855" s="53">
        <v>0</v>
      </c>
      <c r="Q1855" s="53">
        <v>0</v>
      </c>
      <c r="R1855" s="53">
        <v>0</v>
      </c>
    </row>
    <row r="1856" spans="1:18" x14ac:dyDescent="0.25">
      <c r="A1856" s="25" t="s">
        <v>138</v>
      </c>
      <c r="B1856" s="26">
        <v>2016</v>
      </c>
      <c r="C1856" s="74" t="s">
        <v>137</v>
      </c>
      <c r="D1856" s="27">
        <v>0</v>
      </c>
      <c r="E1856" s="53">
        <v>14764602209</v>
      </c>
      <c r="F1856" s="53">
        <v>14764602209</v>
      </c>
      <c r="G1856" s="53">
        <v>0</v>
      </c>
      <c r="H1856" s="53">
        <v>0</v>
      </c>
      <c r="I1856" s="53">
        <v>0</v>
      </c>
      <c r="J1856" s="53">
        <v>0</v>
      </c>
      <c r="K1856" s="53">
        <v>0</v>
      </c>
      <c r="L1856" s="53">
        <v>0</v>
      </c>
      <c r="M1856" s="53">
        <v>0</v>
      </c>
      <c r="N1856" s="53">
        <v>0</v>
      </c>
      <c r="O1856" s="53">
        <v>0</v>
      </c>
      <c r="P1856" s="53">
        <v>1100450000</v>
      </c>
      <c r="Q1856" s="53">
        <v>1055198750</v>
      </c>
      <c r="R1856" s="53">
        <v>1172615000</v>
      </c>
    </row>
    <row r="1857" spans="1:18" x14ac:dyDescent="0.25">
      <c r="A1857" s="25" t="s">
        <v>136</v>
      </c>
      <c r="B1857" s="26">
        <v>2016</v>
      </c>
      <c r="C1857" s="74" t="s">
        <v>135</v>
      </c>
      <c r="D1857" s="27">
        <v>0</v>
      </c>
      <c r="E1857" s="53">
        <v>2000000000</v>
      </c>
      <c r="F1857" s="53">
        <v>2000000000</v>
      </c>
      <c r="G1857" s="53">
        <v>0</v>
      </c>
      <c r="H1857" s="53">
        <v>0</v>
      </c>
      <c r="I1857" s="53">
        <v>0</v>
      </c>
      <c r="J1857" s="53">
        <v>0</v>
      </c>
      <c r="K1857" s="53">
        <v>0</v>
      </c>
      <c r="L1857" s="53">
        <v>0</v>
      </c>
      <c r="M1857" s="53">
        <v>0</v>
      </c>
      <c r="N1857" s="53">
        <v>0</v>
      </c>
      <c r="O1857" s="53">
        <v>0</v>
      </c>
      <c r="P1857" s="53">
        <v>166666666.66</v>
      </c>
      <c r="Q1857" s="53">
        <v>333333333.33999997</v>
      </c>
      <c r="R1857" s="53">
        <v>500000000.00999999</v>
      </c>
    </row>
    <row r="1858" spans="1:18" x14ac:dyDescent="0.25">
      <c r="A1858" s="25" t="s">
        <v>134</v>
      </c>
      <c r="B1858" s="26">
        <v>2016</v>
      </c>
      <c r="C1858" s="74" t="s">
        <v>133</v>
      </c>
      <c r="D1858" s="27">
        <v>0</v>
      </c>
      <c r="E1858" s="53">
        <v>71202325329</v>
      </c>
      <c r="F1858" s="53">
        <v>71202325329</v>
      </c>
      <c r="G1858" s="53">
        <v>0</v>
      </c>
      <c r="H1858" s="53">
        <v>0</v>
      </c>
      <c r="I1858" s="53">
        <v>0</v>
      </c>
      <c r="J1858" s="53">
        <v>0</v>
      </c>
      <c r="K1858" s="53">
        <v>0</v>
      </c>
      <c r="L1858" s="53">
        <v>0</v>
      </c>
      <c r="M1858" s="53">
        <v>0</v>
      </c>
      <c r="N1858" s="53">
        <v>0</v>
      </c>
      <c r="O1858" s="53">
        <v>0</v>
      </c>
      <c r="P1858" s="53">
        <v>5000000000</v>
      </c>
      <c r="Q1858" s="53">
        <v>6740679211.75</v>
      </c>
      <c r="R1858" s="53">
        <v>10000000000</v>
      </c>
    </row>
    <row r="1859" spans="1:18" x14ac:dyDescent="0.25">
      <c r="A1859" s="25" t="s">
        <v>132</v>
      </c>
      <c r="B1859" s="26">
        <v>2016</v>
      </c>
      <c r="C1859" s="74" t="s">
        <v>131</v>
      </c>
      <c r="D1859" s="27">
        <v>0</v>
      </c>
      <c r="E1859" s="53">
        <v>19157764215</v>
      </c>
      <c r="F1859" s="53">
        <v>19157764215</v>
      </c>
      <c r="G1859" s="53">
        <v>0</v>
      </c>
      <c r="H1859" s="53">
        <v>0</v>
      </c>
      <c r="I1859" s="53">
        <v>0</v>
      </c>
      <c r="J1859" s="53">
        <v>0</v>
      </c>
      <c r="K1859" s="53">
        <v>0</v>
      </c>
      <c r="L1859" s="53">
        <v>0</v>
      </c>
      <c r="M1859" s="53">
        <v>0</v>
      </c>
      <c r="N1859" s="53">
        <v>0</v>
      </c>
      <c r="O1859" s="53">
        <v>0</v>
      </c>
      <c r="P1859" s="53">
        <v>0</v>
      </c>
      <c r="Q1859" s="53">
        <v>0</v>
      </c>
      <c r="R1859" s="53">
        <v>0</v>
      </c>
    </row>
    <row r="1860" spans="1:18" x14ac:dyDescent="0.25">
      <c r="A1860" s="25" t="s">
        <v>130</v>
      </c>
      <c r="B1860" s="26">
        <v>2016</v>
      </c>
      <c r="C1860" s="74" t="s">
        <v>129</v>
      </c>
      <c r="D1860" s="27">
        <v>0</v>
      </c>
      <c r="E1860" s="53">
        <v>48970000000</v>
      </c>
      <c r="F1860" s="53">
        <v>48970000000</v>
      </c>
      <c r="G1860" s="53">
        <v>0</v>
      </c>
      <c r="H1860" s="53">
        <v>0</v>
      </c>
      <c r="I1860" s="53">
        <v>0</v>
      </c>
      <c r="J1860" s="53">
        <v>0</v>
      </c>
      <c r="K1860" s="53">
        <v>0</v>
      </c>
      <c r="L1860" s="53">
        <v>0</v>
      </c>
      <c r="M1860" s="53">
        <v>0</v>
      </c>
      <c r="N1860" s="53">
        <v>0</v>
      </c>
      <c r="O1860" s="53">
        <v>0</v>
      </c>
      <c r="P1860" s="53">
        <v>0</v>
      </c>
      <c r="Q1860" s="53">
        <v>9107702404</v>
      </c>
      <c r="R1860" s="53">
        <v>4800000000</v>
      </c>
    </row>
    <row r="1861" spans="1:18" x14ac:dyDescent="0.25">
      <c r="A1861" s="25" t="s">
        <v>128</v>
      </c>
      <c r="B1861" s="26">
        <v>2016</v>
      </c>
      <c r="C1861" s="74" t="s">
        <v>127</v>
      </c>
      <c r="D1861" s="27">
        <v>0</v>
      </c>
      <c r="E1861" s="53">
        <v>7177242240</v>
      </c>
      <c r="F1861" s="53">
        <v>7177242240</v>
      </c>
      <c r="G1861" s="53">
        <v>0</v>
      </c>
      <c r="H1861" s="53">
        <v>0</v>
      </c>
      <c r="I1861" s="53">
        <v>0</v>
      </c>
      <c r="J1861" s="53">
        <v>0</v>
      </c>
      <c r="K1861" s="53">
        <v>0</v>
      </c>
      <c r="L1861" s="53">
        <v>0</v>
      </c>
      <c r="M1861" s="53">
        <v>0</v>
      </c>
      <c r="N1861" s="53">
        <v>0</v>
      </c>
      <c r="O1861" s="53">
        <v>0</v>
      </c>
      <c r="P1861" s="53">
        <v>0</v>
      </c>
      <c r="Q1861" s="53">
        <v>507856680</v>
      </c>
      <c r="R1861" s="53">
        <v>1794310560</v>
      </c>
    </row>
    <row r="1862" spans="1:18" x14ac:dyDescent="0.25">
      <c r="A1862" s="25" t="s">
        <v>126</v>
      </c>
      <c r="B1862" s="26">
        <v>2016</v>
      </c>
      <c r="C1862" s="74" t="s">
        <v>125</v>
      </c>
      <c r="D1862" s="27">
        <v>0</v>
      </c>
      <c r="E1862" s="53">
        <v>2795717800</v>
      </c>
      <c r="F1862" s="53">
        <v>2795717800</v>
      </c>
      <c r="G1862" s="53">
        <v>0</v>
      </c>
      <c r="H1862" s="53">
        <v>0</v>
      </c>
      <c r="I1862" s="53">
        <v>0</v>
      </c>
      <c r="J1862" s="53">
        <v>0</v>
      </c>
      <c r="K1862" s="53">
        <v>0</v>
      </c>
      <c r="L1862" s="53">
        <v>0</v>
      </c>
      <c r="M1862" s="53">
        <v>0</v>
      </c>
      <c r="N1862" s="53">
        <v>0</v>
      </c>
      <c r="O1862" s="53">
        <v>0</v>
      </c>
      <c r="P1862" s="53">
        <v>0</v>
      </c>
      <c r="Q1862" s="53">
        <v>203359419</v>
      </c>
      <c r="R1862" s="53">
        <v>309645580</v>
      </c>
    </row>
    <row r="1863" spans="1:18" x14ac:dyDescent="0.25">
      <c r="A1863" s="25" t="s">
        <v>124</v>
      </c>
      <c r="B1863" s="26">
        <v>2016</v>
      </c>
      <c r="C1863" s="74" t="s">
        <v>123</v>
      </c>
      <c r="D1863" s="27">
        <v>0</v>
      </c>
      <c r="E1863" s="53">
        <v>535000000</v>
      </c>
      <c r="F1863" s="53">
        <v>535000000</v>
      </c>
      <c r="G1863" s="53">
        <v>0</v>
      </c>
      <c r="H1863" s="53">
        <v>0</v>
      </c>
      <c r="I1863" s="53">
        <v>0</v>
      </c>
      <c r="J1863" s="53">
        <v>0</v>
      </c>
      <c r="K1863" s="53">
        <v>0</v>
      </c>
      <c r="L1863" s="53">
        <v>0</v>
      </c>
      <c r="M1863" s="53">
        <v>0</v>
      </c>
      <c r="N1863" s="53">
        <v>0</v>
      </c>
      <c r="O1863" s="53">
        <v>0</v>
      </c>
      <c r="P1863" s="53">
        <v>0</v>
      </c>
      <c r="Q1863" s="53">
        <v>0</v>
      </c>
      <c r="R1863" s="53">
        <v>0</v>
      </c>
    </row>
    <row r="1864" spans="1:18" x14ac:dyDescent="0.25">
      <c r="A1864" s="25" t="s">
        <v>122</v>
      </c>
      <c r="B1864" s="26">
        <v>2016</v>
      </c>
      <c r="C1864" s="74" t="s">
        <v>121</v>
      </c>
      <c r="D1864" s="27">
        <v>0</v>
      </c>
      <c r="E1864" s="53">
        <v>3403400000</v>
      </c>
      <c r="F1864" s="53">
        <v>3403400000</v>
      </c>
      <c r="G1864" s="53">
        <v>0</v>
      </c>
      <c r="H1864" s="53">
        <v>0</v>
      </c>
      <c r="I1864" s="53">
        <v>0</v>
      </c>
      <c r="J1864" s="53">
        <v>0</v>
      </c>
      <c r="K1864" s="53">
        <v>0</v>
      </c>
      <c r="L1864" s="53">
        <v>0</v>
      </c>
      <c r="M1864" s="53">
        <v>0</v>
      </c>
      <c r="N1864" s="53">
        <v>0</v>
      </c>
      <c r="O1864" s="53">
        <v>0</v>
      </c>
      <c r="P1864" s="53">
        <v>217210448.00999999</v>
      </c>
      <c r="Q1864" s="53">
        <v>217741623.80000001</v>
      </c>
      <c r="R1864" s="53">
        <v>632158025.98000002</v>
      </c>
    </row>
    <row r="1865" spans="1:18" x14ac:dyDescent="0.25">
      <c r="A1865" s="25" t="s">
        <v>120</v>
      </c>
      <c r="B1865" s="26">
        <v>2016</v>
      </c>
      <c r="C1865" s="74" t="s">
        <v>119</v>
      </c>
      <c r="D1865" s="27">
        <v>0</v>
      </c>
      <c r="E1865" s="53">
        <v>446119040</v>
      </c>
      <c r="F1865" s="53">
        <v>446119040</v>
      </c>
      <c r="G1865" s="53">
        <v>0</v>
      </c>
      <c r="H1865" s="53">
        <v>0</v>
      </c>
      <c r="I1865" s="53">
        <v>0</v>
      </c>
      <c r="J1865" s="53">
        <v>0</v>
      </c>
      <c r="K1865" s="53">
        <v>0</v>
      </c>
      <c r="L1865" s="53">
        <v>0</v>
      </c>
      <c r="M1865" s="53">
        <v>0</v>
      </c>
      <c r="N1865" s="53">
        <v>0</v>
      </c>
      <c r="O1865" s="53">
        <v>0</v>
      </c>
      <c r="P1865" s="53">
        <v>0</v>
      </c>
      <c r="Q1865" s="53">
        <v>0</v>
      </c>
      <c r="R1865" s="53">
        <v>0</v>
      </c>
    </row>
    <row r="1866" spans="1:18" x14ac:dyDescent="0.25">
      <c r="A1866" s="25" t="s">
        <v>118</v>
      </c>
      <c r="B1866" s="26">
        <v>2016</v>
      </c>
      <c r="C1866" s="74" t="s">
        <v>117</v>
      </c>
      <c r="D1866" s="27">
        <v>0</v>
      </c>
      <c r="E1866" s="53">
        <v>409643380</v>
      </c>
      <c r="F1866" s="53">
        <v>409643380</v>
      </c>
      <c r="G1866" s="53">
        <v>0</v>
      </c>
      <c r="H1866" s="53">
        <v>0</v>
      </c>
      <c r="I1866" s="53">
        <v>0</v>
      </c>
      <c r="J1866" s="53">
        <v>0</v>
      </c>
      <c r="K1866" s="53">
        <v>0</v>
      </c>
      <c r="L1866" s="53">
        <v>0</v>
      </c>
      <c r="M1866" s="53">
        <v>0</v>
      </c>
      <c r="N1866" s="53">
        <v>0</v>
      </c>
      <c r="O1866" s="53">
        <v>0</v>
      </c>
      <c r="P1866" s="53">
        <v>0</v>
      </c>
      <c r="Q1866" s="53">
        <v>243044950.50999999</v>
      </c>
      <c r="R1866" s="53">
        <v>43645832.100000001</v>
      </c>
    </row>
    <row r="1867" spans="1:18" x14ac:dyDescent="0.25">
      <c r="A1867" s="25" t="s">
        <v>397</v>
      </c>
      <c r="B1867" s="26">
        <v>2016</v>
      </c>
      <c r="C1867" s="74" t="s">
        <v>396</v>
      </c>
      <c r="D1867" s="27">
        <v>0</v>
      </c>
      <c r="E1867" s="53">
        <v>0</v>
      </c>
      <c r="F1867" s="53">
        <v>0</v>
      </c>
      <c r="G1867" s="53">
        <v>0</v>
      </c>
      <c r="H1867" s="53">
        <v>0</v>
      </c>
      <c r="I1867" s="53">
        <v>0</v>
      </c>
      <c r="J1867" s="53">
        <v>0</v>
      </c>
      <c r="K1867" s="53">
        <v>0</v>
      </c>
      <c r="L1867" s="53">
        <v>0</v>
      </c>
      <c r="M1867" s="53">
        <v>0</v>
      </c>
      <c r="N1867" s="53">
        <v>0</v>
      </c>
      <c r="O1867" s="53">
        <v>0</v>
      </c>
      <c r="P1867" s="53">
        <v>0</v>
      </c>
      <c r="Q1867" s="53">
        <v>0</v>
      </c>
      <c r="R1867" s="53">
        <v>0</v>
      </c>
    </row>
    <row r="1868" spans="1:18" x14ac:dyDescent="0.25">
      <c r="A1868" s="25" t="s">
        <v>395</v>
      </c>
      <c r="B1868" s="26">
        <v>2016</v>
      </c>
      <c r="C1868" s="74" t="s">
        <v>394</v>
      </c>
      <c r="D1868" s="27">
        <v>0</v>
      </c>
      <c r="E1868" s="53">
        <v>32664045</v>
      </c>
      <c r="F1868" s="53">
        <v>32664045</v>
      </c>
      <c r="G1868" s="53">
        <v>0</v>
      </c>
      <c r="H1868" s="53">
        <v>0</v>
      </c>
      <c r="I1868" s="53">
        <v>0</v>
      </c>
      <c r="J1868" s="53">
        <v>0</v>
      </c>
      <c r="K1868" s="53">
        <v>0</v>
      </c>
      <c r="L1868" s="53">
        <v>0</v>
      </c>
      <c r="M1868" s="53">
        <v>0</v>
      </c>
      <c r="N1868" s="53">
        <v>0</v>
      </c>
      <c r="O1868" s="53">
        <v>0</v>
      </c>
      <c r="P1868" s="53">
        <v>0</v>
      </c>
      <c r="Q1868" s="53">
        <v>0</v>
      </c>
      <c r="R1868" s="53">
        <v>32664045</v>
      </c>
    </row>
    <row r="1869" spans="1:18" x14ac:dyDescent="0.25">
      <c r="A1869" s="25" t="s">
        <v>115</v>
      </c>
      <c r="B1869" s="26">
        <v>2016</v>
      </c>
      <c r="C1869" s="74" t="s">
        <v>114</v>
      </c>
      <c r="D1869" s="27">
        <v>0</v>
      </c>
      <c r="E1869" s="53">
        <v>5400000</v>
      </c>
      <c r="F1869" s="53">
        <v>5400000</v>
      </c>
      <c r="G1869" s="53">
        <v>0</v>
      </c>
      <c r="H1869" s="53">
        <v>0</v>
      </c>
      <c r="I1869" s="53">
        <v>0</v>
      </c>
      <c r="J1869" s="53">
        <v>0</v>
      </c>
      <c r="K1869" s="53">
        <v>0</v>
      </c>
      <c r="L1869" s="53">
        <v>0</v>
      </c>
      <c r="M1869" s="53">
        <v>0</v>
      </c>
      <c r="N1869" s="53">
        <v>0</v>
      </c>
      <c r="O1869" s="53">
        <v>0</v>
      </c>
      <c r="P1869" s="53">
        <v>0</v>
      </c>
      <c r="Q1869" s="53">
        <v>0</v>
      </c>
      <c r="R1869" s="53">
        <v>0</v>
      </c>
    </row>
    <row r="1870" spans="1:18" x14ac:dyDescent="0.25">
      <c r="A1870" s="25" t="s">
        <v>113</v>
      </c>
      <c r="B1870" s="26">
        <v>2016</v>
      </c>
      <c r="C1870" s="74" t="s">
        <v>112</v>
      </c>
      <c r="D1870" s="27">
        <v>0</v>
      </c>
      <c r="E1870" s="53">
        <v>200000</v>
      </c>
      <c r="F1870" s="53">
        <v>200000</v>
      </c>
      <c r="G1870" s="53">
        <v>0</v>
      </c>
      <c r="H1870" s="53">
        <v>0</v>
      </c>
      <c r="I1870" s="53">
        <v>0</v>
      </c>
      <c r="J1870" s="53">
        <v>0</v>
      </c>
      <c r="K1870" s="53">
        <v>0</v>
      </c>
      <c r="L1870" s="53">
        <v>0</v>
      </c>
      <c r="M1870" s="53">
        <v>0</v>
      </c>
      <c r="N1870" s="53">
        <v>0</v>
      </c>
      <c r="O1870" s="53">
        <v>0</v>
      </c>
      <c r="P1870" s="53">
        <v>200000</v>
      </c>
      <c r="Q1870" s="53">
        <v>0</v>
      </c>
      <c r="R1870" s="53">
        <v>0</v>
      </c>
    </row>
    <row r="1871" spans="1:18" x14ac:dyDescent="0.25">
      <c r="A1871" s="25" t="s">
        <v>111</v>
      </c>
      <c r="B1871" s="26">
        <v>2016</v>
      </c>
      <c r="C1871" s="74" t="s">
        <v>110</v>
      </c>
      <c r="D1871" s="27">
        <v>0</v>
      </c>
      <c r="E1871" s="53">
        <v>32900000</v>
      </c>
      <c r="F1871" s="53">
        <v>32900000</v>
      </c>
      <c r="G1871" s="53">
        <v>0</v>
      </c>
      <c r="H1871" s="53">
        <v>0</v>
      </c>
      <c r="I1871" s="53">
        <v>0</v>
      </c>
      <c r="J1871" s="53">
        <v>0</v>
      </c>
      <c r="K1871" s="53">
        <v>0</v>
      </c>
      <c r="L1871" s="53">
        <v>0</v>
      </c>
      <c r="M1871" s="53">
        <v>0</v>
      </c>
      <c r="N1871" s="53">
        <v>0</v>
      </c>
      <c r="O1871" s="53">
        <v>0</v>
      </c>
      <c r="P1871" s="53">
        <v>0</v>
      </c>
      <c r="Q1871" s="53">
        <v>0</v>
      </c>
      <c r="R1871" s="53">
        <v>0</v>
      </c>
    </row>
    <row r="1872" spans="1:18" x14ac:dyDescent="0.25">
      <c r="A1872" s="25" t="s">
        <v>109</v>
      </c>
      <c r="B1872" s="26">
        <v>2016</v>
      </c>
      <c r="C1872" s="74" t="s">
        <v>108</v>
      </c>
      <c r="D1872" s="27">
        <v>0</v>
      </c>
      <c r="E1872" s="53">
        <v>5100000</v>
      </c>
      <c r="F1872" s="53">
        <v>5100000</v>
      </c>
      <c r="G1872" s="53">
        <v>0</v>
      </c>
      <c r="H1872" s="53">
        <v>0</v>
      </c>
      <c r="I1872" s="53">
        <v>0</v>
      </c>
      <c r="J1872" s="53">
        <v>0</v>
      </c>
      <c r="K1872" s="53">
        <v>0</v>
      </c>
      <c r="L1872" s="53">
        <v>0</v>
      </c>
      <c r="M1872" s="53">
        <v>0</v>
      </c>
      <c r="N1872" s="53">
        <v>0</v>
      </c>
      <c r="O1872" s="53">
        <v>0</v>
      </c>
      <c r="P1872" s="53">
        <v>0</v>
      </c>
      <c r="Q1872" s="53">
        <v>0</v>
      </c>
      <c r="R1872" s="53">
        <v>0</v>
      </c>
    </row>
    <row r="1873" spans="1:18" x14ac:dyDescent="0.25">
      <c r="A1873" s="25" t="s">
        <v>107</v>
      </c>
      <c r="B1873" s="26">
        <v>2016</v>
      </c>
      <c r="C1873" s="74" t="s">
        <v>106</v>
      </c>
      <c r="D1873" s="27">
        <v>0</v>
      </c>
      <c r="E1873" s="53">
        <v>19500000</v>
      </c>
      <c r="F1873" s="53">
        <v>19500000</v>
      </c>
      <c r="G1873" s="53">
        <v>0</v>
      </c>
      <c r="H1873" s="53">
        <v>0</v>
      </c>
      <c r="I1873" s="53">
        <v>0</v>
      </c>
      <c r="J1873" s="53">
        <v>0</v>
      </c>
      <c r="K1873" s="53">
        <v>0</v>
      </c>
      <c r="L1873" s="53">
        <v>0</v>
      </c>
      <c r="M1873" s="53">
        <v>0</v>
      </c>
      <c r="N1873" s="53">
        <v>0</v>
      </c>
      <c r="O1873" s="53">
        <v>0</v>
      </c>
      <c r="P1873" s="53">
        <v>0</v>
      </c>
      <c r="Q1873" s="53">
        <v>0</v>
      </c>
      <c r="R1873" s="53">
        <v>0</v>
      </c>
    </row>
    <row r="1874" spans="1:18" x14ac:dyDescent="0.25">
      <c r="A1874" s="25" t="s">
        <v>105</v>
      </c>
      <c r="B1874" s="26">
        <v>2016</v>
      </c>
      <c r="C1874" s="74" t="s">
        <v>104</v>
      </c>
      <c r="D1874" s="27">
        <v>0</v>
      </c>
      <c r="E1874" s="53">
        <v>26700000</v>
      </c>
      <c r="F1874" s="53">
        <v>26700000</v>
      </c>
      <c r="G1874" s="53">
        <v>0</v>
      </c>
      <c r="H1874" s="53">
        <v>0</v>
      </c>
      <c r="I1874" s="53">
        <v>0</v>
      </c>
      <c r="J1874" s="53">
        <v>0</v>
      </c>
      <c r="K1874" s="53">
        <v>0</v>
      </c>
      <c r="L1874" s="53">
        <v>0</v>
      </c>
      <c r="M1874" s="53">
        <v>0</v>
      </c>
      <c r="N1874" s="53">
        <v>0</v>
      </c>
      <c r="O1874" s="53">
        <v>0</v>
      </c>
      <c r="P1874" s="53">
        <v>0</v>
      </c>
      <c r="Q1874" s="53">
        <v>0</v>
      </c>
      <c r="R1874" s="53">
        <v>0</v>
      </c>
    </row>
    <row r="1875" spans="1:18" x14ac:dyDescent="0.25">
      <c r="A1875" s="25" t="s">
        <v>103</v>
      </c>
      <c r="B1875" s="26">
        <v>2016</v>
      </c>
      <c r="C1875" s="74" t="s">
        <v>102</v>
      </c>
      <c r="D1875" s="27">
        <v>0</v>
      </c>
      <c r="E1875" s="53">
        <v>45100000</v>
      </c>
      <c r="F1875" s="53">
        <v>45100000</v>
      </c>
      <c r="G1875" s="53">
        <v>0</v>
      </c>
      <c r="H1875" s="53">
        <v>0</v>
      </c>
      <c r="I1875" s="53">
        <v>0</v>
      </c>
      <c r="J1875" s="53">
        <v>0</v>
      </c>
      <c r="K1875" s="53">
        <v>0</v>
      </c>
      <c r="L1875" s="53">
        <v>0</v>
      </c>
      <c r="M1875" s="53">
        <v>0</v>
      </c>
      <c r="N1875" s="53">
        <v>0</v>
      </c>
      <c r="O1875" s="53">
        <v>0</v>
      </c>
      <c r="P1875" s="53">
        <v>0</v>
      </c>
      <c r="Q1875" s="53">
        <v>0</v>
      </c>
      <c r="R1875" s="53">
        <v>0</v>
      </c>
    </row>
    <row r="1876" spans="1:18" x14ac:dyDescent="0.25">
      <c r="A1876" s="25" t="s">
        <v>101</v>
      </c>
      <c r="B1876" s="26">
        <v>2016</v>
      </c>
      <c r="C1876" s="74" t="s">
        <v>100</v>
      </c>
      <c r="D1876" s="27">
        <v>0</v>
      </c>
      <c r="E1876" s="53">
        <v>10500000</v>
      </c>
      <c r="F1876" s="53">
        <v>10500000</v>
      </c>
      <c r="G1876" s="53">
        <v>0</v>
      </c>
      <c r="H1876" s="53">
        <v>0</v>
      </c>
      <c r="I1876" s="53">
        <v>0</v>
      </c>
      <c r="J1876" s="53">
        <v>0</v>
      </c>
      <c r="K1876" s="53">
        <v>0</v>
      </c>
      <c r="L1876" s="53">
        <v>0</v>
      </c>
      <c r="M1876" s="53">
        <v>0</v>
      </c>
      <c r="N1876" s="53">
        <v>0</v>
      </c>
      <c r="O1876" s="53">
        <v>0</v>
      </c>
      <c r="P1876" s="53">
        <v>0</v>
      </c>
      <c r="Q1876" s="53">
        <v>0</v>
      </c>
      <c r="R1876" s="53">
        <v>0</v>
      </c>
    </row>
    <row r="1877" spans="1:18" x14ac:dyDescent="0.25">
      <c r="A1877" s="25" t="s">
        <v>99</v>
      </c>
      <c r="B1877" s="26">
        <v>2016</v>
      </c>
      <c r="C1877" s="74" t="s">
        <v>98</v>
      </c>
      <c r="D1877" s="27">
        <v>0</v>
      </c>
      <c r="E1877" s="53">
        <v>35000000</v>
      </c>
      <c r="F1877" s="53">
        <v>35000000</v>
      </c>
      <c r="G1877" s="53">
        <v>0</v>
      </c>
      <c r="H1877" s="53">
        <v>0</v>
      </c>
      <c r="I1877" s="53">
        <v>0</v>
      </c>
      <c r="J1877" s="53">
        <v>0</v>
      </c>
      <c r="K1877" s="53">
        <v>0</v>
      </c>
      <c r="L1877" s="53">
        <v>0</v>
      </c>
      <c r="M1877" s="53">
        <v>0</v>
      </c>
      <c r="N1877" s="53">
        <v>0</v>
      </c>
      <c r="O1877" s="53">
        <v>0</v>
      </c>
      <c r="P1877" s="53">
        <v>0</v>
      </c>
      <c r="Q1877" s="53">
        <v>0</v>
      </c>
      <c r="R1877" s="53">
        <v>0</v>
      </c>
    </row>
    <row r="1878" spans="1:18" x14ac:dyDescent="0.25">
      <c r="A1878" s="25" t="s">
        <v>97</v>
      </c>
      <c r="B1878" s="26">
        <v>2016</v>
      </c>
      <c r="C1878" s="74" t="s">
        <v>96</v>
      </c>
      <c r="D1878" s="27">
        <v>0</v>
      </c>
      <c r="E1878" s="53">
        <v>7000000</v>
      </c>
      <c r="F1878" s="53">
        <v>7000000</v>
      </c>
      <c r="G1878" s="53">
        <v>0</v>
      </c>
      <c r="H1878" s="53">
        <v>0</v>
      </c>
      <c r="I1878" s="53">
        <v>0</v>
      </c>
      <c r="J1878" s="53">
        <v>0</v>
      </c>
      <c r="K1878" s="53">
        <v>0</v>
      </c>
      <c r="L1878" s="53">
        <v>0</v>
      </c>
      <c r="M1878" s="53">
        <v>0</v>
      </c>
      <c r="N1878" s="53">
        <v>0</v>
      </c>
      <c r="O1878" s="53">
        <v>0</v>
      </c>
      <c r="P1878" s="53">
        <v>0</v>
      </c>
      <c r="Q1878" s="53">
        <v>0</v>
      </c>
      <c r="R1878" s="53">
        <v>0</v>
      </c>
    </row>
    <row r="1879" spans="1:18" x14ac:dyDescent="0.25">
      <c r="A1879" s="25" t="s">
        <v>95</v>
      </c>
      <c r="B1879" s="26">
        <v>2016</v>
      </c>
      <c r="C1879" s="74" t="s">
        <v>94</v>
      </c>
      <c r="D1879" s="27">
        <v>0</v>
      </c>
      <c r="E1879" s="53">
        <v>96300000</v>
      </c>
      <c r="F1879" s="53">
        <v>96300000</v>
      </c>
      <c r="G1879" s="53">
        <v>0</v>
      </c>
      <c r="H1879" s="53">
        <v>0</v>
      </c>
      <c r="I1879" s="53">
        <v>0</v>
      </c>
      <c r="J1879" s="53">
        <v>0</v>
      </c>
      <c r="K1879" s="53">
        <v>0</v>
      </c>
      <c r="L1879" s="53">
        <v>0</v>
      </c>
      <c r="M1879" s="53">
        <v>0</v>
      </c>
      <c r="N1879" s="53">
        <v>0</v>
      </c>
      <c r="O1879" s="53">
        <v>0</v>
      </c>
      <c r="P1879" s="53">
        <v>96300000</v>
      </c>
      <c r="Q1879" s="53">
        <v>0</v>
      </c>
      <c r="R1879" s="53">
        <v>0</v>
      </c>
    </row>
    <row r="1880" spans="1:18" x14ac:dyDescent="0.25">
      <c r="A1880" s="25" t="s">
        <v>93</v>
      </c>
      <c r="B1880" s="26">
        <v>2016</v>
      </c>
      <c r="C1880" s="74" t="s">
        <v>92</v>
      </c>
      <c r="D1880" s="27">
        <v>0</v>
      </c>
      <c r="E1880" s="53">
        <v>18400000</v>
      </c>
      <c r="F1880" s="53">
        <v>18400000</v>
      </c>
      <c r="G1880" s="53">
        <v>0</v>
      </c>
      <c r="H1880" s="53">
        <v>0</v>
      </c>
      <c r="I1880" s="53">
        <v>0</v>
      </c>
      <c r="J1880" s="53">
        <v>0</v>
      </c>
      <c r="K1880" s="53">
        <v>0</v>
      </c>
      <c r="L1880" s="53">
        <v>0</v>
      </c>
      <c r="M1880" s="53">
        <v>0</v>
      </c>
      <c r="N1880" s="53">
        <v>0</v>
      </c>
      <c r="O1880" s="53">
        <v>0</v>
      </c>
      <c r="P1880" s="53">
        <v>0</v>
      </c>
      <c r="Q1880" s="53">
        <v>0</v>
      </c>
      <c r="R1880" s="53">
        <v>0</v>
      </c>
    </row>
    <row r="1881" spans="1:18" x14ac:dyDescent="0.25">
      <c r="A1881" s="25" t="s">
        <v>91</v>
      </c>
      <c r="B1881" s="26">
        <v>2016</v>
      </c>
      <c r="C1881" s="74" t="s">
        <v>90</v>
      </c>
      <c r="D1881" s="27">
        <v>0</v>
      </c>
      <c r="E1881" s="53">
        <v>5119129099</v>
      </c>
      <c r="F1881" s="53">
        <v>5119129099</v>
      </c>
      <c r="G1881" s="53">
        <v>0</v>
      </c>
      <c r="H1881" s="53">
        <v>0</v>
      </c>
      <c r="I1881" s="53">
        <v>0</v>
      </c>
      <c r="J1881" s="53">
        <v>0</v>
      </c>
      <c r="K1881" s="53">
        <v>0</v>
      </c>
      <c r="L1881" s="53">
        <v>0</v>
      </c>
      <c r="M1881" s="53">
        <v>0</v>
      </c>
      <c r="N1881" s="53">
        <v>0</v>
      </c>
      <c r="O1881" s="53">
        <v>0</v>
      </c>
      <c r="P1881" s="53">
        <v>0</v>
      </c>
      <c r="Q1881" s="53">
        <v>0</v>
      </c>
      <c r="R1881" s="53">
        <v>0</v>
      </c>
    </row>
    <row r="1882" spans="1:18" x14ac:dyDescent="0.25">
      <c r="A1882" s="25" t="s">
        <v>89</v>
      </c>
      <c r="B1882" s="26">
        <v>2016</v>
      </c>
      <c r="C1882" s="74" t="s">
        <v>88</v>
      </c>
      <c r="D1882" s="27">
        <v>0</v>
      </c>
      <c r="E1882" s="53">
        <v>421635661</v>
      </c>
      <c r="F1882" s="53">
        <v>421635661</v>
      </c>
      <c r="G1882" s="53">
        <v>0</v>
      </c>
      <c r="H1882" s="53">
        <v>0</v>
      </c>
      <c r="I1882" s="53">
        <v>0</v>
      </c>
      <c r="J1882" s="53">
        <v>0</v>
      </c>
      <c r="K1882" s="53">
        <v>0</v>
      </c>
      <c r="L1882" s="53">
        <v>0</v>
      </c>
      <c r="M1882" s="53">
        <v>0</v>
      </c>
      <c r="N1882" s="53">
        <v>0</v>
      </c>
      <c r="O1882" s="53">
        <v>0</v>
      </c>
      <c r="P1882" s="53">
        <v>70272610.159999996</v>
      </c>
      <c r="Q1882" s="53">
        <v>0</v>
      </c>
      <c r="R1882" s="53">
        <v>35136305.079999998</v>
      </c>
    </row>
    <row r="1883" spans="1:18" x14ac:dyDescent="0.25">
      <c r="A1883" s="25" t="s">
        <v>87</v>
      </c>
      <c r="B1883" s="26">
        <v>2016</v>
      </c>
      <c r="C1883" s="74" t="s">
        <v>86</v>
      </c>
      <c r="D1883" s="27">
        <v>0</v>
      </c>
      <c r="E1883" s="53">
        <v>465948163</v>
      </c>
      <c r="F1883" s="53">
        <v>465948163</v>
      </c>
      <c r="G1883" s="53">
        <v>0</v>
      </c>
      <c r="H1883" s="53">
        <v>0</v>
      </c>
      <c r="I1883" s="53">
        <v>0</v>
      </c>
      <c r="J1883" s="53">
        <v>0</v>
      </c>
      <c r="K1883" s="53">
        <v>0</v>
      </c>
      <c r="L1883" s="53">
        <v>0</v>
      </c>
      <c r="M1883" s="53">
        <v>0</v>
      </c>
      <c r="N1883" s="53">
        <v>0</v>
      </c>
      <c r="O1883" s="53">
        <v>0</v>
      </c>
      <c r="P1883" s="53">
        <v>0</v>
      </c>
      <c r="Q1883" s="53">
        <v>0</v>
      </c>
      <c r="R1883" s="53">
        <v>0</v>
      </c>
    </row>
    <row r="1884" spans="1:18" x14ac:dyDescent="0.25">
      <c r="A1884" s="25" t="s">
        <v>85</v>
      </c>
      <c r="B1884" s="26">
        <v>2016</v>
      </c>
      <c r="C1884" s="74" t="s">
        <v>84</v>
      </c>
      <c r="D1884" s="27">
        <v>0</v>
      </c>
      <c r="E1884" s="53">
        <v>50000000</v>
      </c>
      <c r="F1884" s="53">
        <v>50000000</v>
      </c>
      <c r="G1884" s="53">
        <v>0</v>
      </c>
      <c r="H1884" s="53">
        <v>0</v>
      </c>
      <c r="I1884" s="53">
        <v>0</v>
      </c>
      <c r="J1884" s="53">
        <v>0</v>
      </c>
      <c r="K1884" s="53">
        <v>0</v>
      </c>
      <c r="L1884" s="53">
        <v>0</v>
      </c>
      <c r="M1884" s="53">
        <v>0</v>
      </c>
      <c r="N1884" s="53">
        <v>0</v>
      </c>
      <c r="O1884" s="53">
        <v>0</v>
      </c>
      <c r="P1884" s="53">
        <v>0</v>
      </c>
      <c r="Q1884" s="53">
        <v>0</v>
      </c>
      <c r="R1884" s="53">
        <v>0</v>
      </c>
    </row>
    <row r="1885" spans="1:18" x14ac:dyDescent="0.25">
      <c r="A1885" s="25" t="s">
        <v>393</v>
      </c>
      <c r="B1885" s="26">
        <v>2016</v>
      </c>
      <c r="C1885" s="74" t="s">
        <v>392</v>
      </c>
      <c r="D1885" s="27">
        <v>0</v>
      </c>
      <c r="E1885" s="53">
        <v>100000000</v>
      </c>
      <c r="F1885" s="53">
        <v>100000000</v>
      </c>
      <c r="G1885" s="53">
        <v>0</v>
      </c>
      <c r="H1885" s="53">
        <v>0</v>
      </c>
      <c r="I1885" s="53">
        <v>0</v>
      </c>
      <c r="J1885" s="53">
        <v>0</v>
      </c>
      <c r="K1885" s="53">
        <v>0</v>
      </c>
      <c r="L1885" s="53">
        <v>0</v>
      </c>
      <c r="M1885" s="53">
        <v>0</v>
      </c>
      <c r="N1885" s="53">
        <v>0</v>
      </c>
      <c r="O1885" s="53">
        <v>0</v>
      </c>
      <c r="P1885" s="53">
        <v>0</v>
      </c>
      <c r="Q1885" s="53">
        <v>0</v>
      </c>
      <c r="R1885" s="53">
        <v>0</v>
      </c>
    </row>
    <row r="1886" spans="1:18" x14ac:dyDescent="0.25">
      <c r="A1886" s="25" t="s">
        <v>83</v>
      </c>
      <c r="B1886" s="26">
        <v>2016</v>
      </c>
      <c r="C1886" s="74" t="s">
        <v>82</v>
      </c>
      <c r="D1886" s="27">
        <v>0</v>
      </c>
      <c r="E1886" s="53">
        <v>482614150</v>
      </c>
      <c r="F1886" s="53">
        <v>482614150</v>
      </c>
      <c r="G1886" s="53">
        <v>0</v>
      </c>
      <c r="H1886" s="53">
        <v>0</v>
      </c>
      <c r="I1886" s="53">
        <v>0</v>
      </c>
      <c r="J1886" s="53">
        <v>0</v>
      </c>
      <c r="K1886" s="53">
        <v>0</v>
      </c>
      <c r="L1886" s="53">
        <v>0</v>
      </c>
      <c r="M1886" s="53">
        <v>0</v>
      </c>
      <c r="N1886" s="53">
        <v>0</v>
      </c>
      <c r="O1886" s="53">
        <v>0</v>
      </c>
      <c r="P1886" s="53">
        <v>68133713.909999996</v>
      </c>
      <c r="Q1886" s="53">
        <v>110421153.20999999</v>
      </c>
      <c r="R1886" s="53">
        <v>50007176.93</v>
      </c>
    </row>
    <row r="1887" spans="1:18" x14ac:dyDescent="0.25">
      <c r="A1887" s="25" t="s">
        <v>80</v>
      </c>
      <c r="B1887" s="26">
        <v>2016</v>
      </c>
      <c r="C1887" s="74" t="s">
        <v>79</v>
      </c>
      <c r="D1887" s="27">
        <v>0</v>
      </c>
      <c r="E1887" s="53">
        <v>116700000</v>
      </c>
      <c r="F1887" s="53">
        <v>116700000</v>
      </c>
      <c r="G1887" s="53">
        <v>0</v>
      </c>
      <c r="H1887" s="53">
        <v>0</v>
      </c>
      <c r="I1887" s="53">
        <v>0</v>
      </c>
      <c r="J1887" s="53">
        <v>0</v>
      </c>
      <c r="K1887" s="53">
        <v>0</v>
      </c>
      <c r="L1887" s="53">
        <v>0</v>
      </c>
      <c r="M1887" s="53">
        <v>0</v>
      </c>
      <c r="N1887" s="53">
        <v>0</v>
      </c>
      <c r="O1887" s="53">
        <v>0</v>
      </c>
      <c r="P1887" s="53">
        <v>0</v>
      </c>
      <c r="Q1887" s="53">
        <v>0</v>
      </c>
      <c r="R1887" s="53">
        <v>0</v>
      </c>
    </row>
    <row r="1888" spans="1:18" x14ac:dyDescent="0.25">
      <c r="A1888" s="25" t="s">
        <v>78</v>
      </c>
      <c r="B1888" s="26">
        <v>2016</v>
      </c>
      <c r="C1888" s="74" t="s">
        <v>77</v>
      </c>
      <c r="D1888" s="27">
        <v>0</v>
      </c>
      <c r="E1888" s="53">
        <v>196100000</v>
      </c>
      <c r="F1888" s="53">
        <v>196100000</v>
      </c>
      <c r="G1888" s="53">
        <v>0</v>
      </c>
      <c r="H1888" s="53">
        <v>0</v>
      </c>
      <c r="I1888" s="53">
        <v>0</v>
      </c>
      <c r="J1888" s="53">
        <v>0</v>
      </c>
      <c r="K1888" s="53">
        <v>0</v>
      </c>
      <c r="L1888" s="53">
        <v>0</v>
      </c>
      <c r="M1888" s="53">
        <v>0</v>
      </c>
      <c r="N1888" s="53">
        <v>0</v>
      </c>
      <c r="O1888" s="53">
        <v>0</v>
      </c>
      <c r="P1888" s="53">
        <v>0</v>
      </c>
      <c r="Q1888" s="53">
        <v>0</v>
      </c>
      <c r="R1888" s="53">
        <v>0</v>
      </c>
    </row>
    <row r="1889" spans="1:18" x14ac:dyDescent="0.25">
      <c r="A1889" s="25" t="s">
        <v>76</v>
      </c>
      <c r="B1889" s="26">
        <v>2016</v>
      </c>
      <c r="C1889" s="74" t="s">
        <v>75</v>
      </c>
      <c r="D1889" s="27">
        <v>0</v>
      </c>
      <c r="E1889" s="53">
        <v>14100000</v>
      </c>
      <c r="F1889" s="53">
        <v>14100000</v>
      </c>
      <c r="G1889" s="53">
        <v>0</v>
      </c>
      <c r="H1889" s="53">
        <v>0</v>
      </c>
      <c r="I1889" s="53">
        <v>0</v>
      </c>
      <c r="J1889" s="53">
        <v>0</v>
      </c>
      <c r="K1889" s="53">
        <v>0</v>
      </c>
      <c r="L1889" s="53">
        <v>0</v>
      </c>
      <c r="M1889" s="53">
        <v>0</v>
      </c>
      <c r="N1889" s="53">
        <v>0</v>
      </c>
      <c r="O1889" s="53">
        <v>0</v>
      </c>
      <c r="P1889" s="53">
        <v>-14700000</v>
      </c>
      <c r="Q1889" s="53">
        <v>0</v>
      </c>
      <c r="R1889" s="53">
        <v>0</v>
      </c>
    </row>
    <row r="1890" spans="1:18" x14ac:dyDescent="0.25">
      <c r="A1890" s="25" t="s">
        <v>74</v>
      </c>
      <c r="B1890" s="26">
        <v>2016</v>
      </c>
      <c r="C1890" s="74" t="s">
        <v>73</v>
      </c>
      <c r="D1890" s="27">
        <v>0</v>
      </c>
      <c r="E1890" s="53">
        <v>26400000</v>
      </c>
      <c r="F1890" s="53">
        <v>26400000</v>
      </c>
      <c r="G1890" s="53">
        <v>0</v>
      </c>
      <c r="H1890" s="53">
        <v>0</v>
      </c>
      <c r="I1890" s="53">
        <v>0</v>
      </c>
      <c r="J1890" s="53">
        <v>0</v>
      </c>
      <c r="K1890" s="53">
        <v>0</v>
      </c>
      <c r="L1890" s="53">
        <v>0</v>
      </c>
      <c r="M1890" s="53">
        <v>0</v>
      </c>
      <c r="N1890" s="53">
        <v>0</v>
      </c>
      <c r="O1890" s="53">
        <v>0</v>
      </c>
      <c r="P1890" s="53">
        <v>0</v>
      </c>
      <c r="Q1890" s="53">
        <v>0</v>
      </c>
      <c r="R1890" s="53">
        <v>0</v>
      </c>
    </row>
    <row r="1891" spans="1:18" x14ac:dyDescent="0.25">
      <c r="A1891" s="25" t="s">
        <v>72</v>
      </c>
      <c r="B1891" s="26">
        <v>2016</v>
      </c>
      <c r="C1891" s="74" t="s">
        <v>71</v>
      </c>
      <c r="D1891" s="27">
        <v>0</v>
      </c>
      <c r="E1891" s="53">
        <v>14100000</v>
      </c>
      <c r="F1891" s="53">
        <v>14100000</v>
      </c>
      <c r="G1891" s="53">
        <v>0</v>
      </c>
      <c r="H1891" s="53">
        <v>0</v>
      </c>
      <c r="I1891" s="53">
        <v>0</v>
      </c>
      <c r="J1891" s="53">
        <v>0</v>
      </c>
      <c r="K1891" s="53">
        <v>0</v>
      </c>
      <c r="L1891" s="53">
        <v>0</v>
      </c>
      <c r="M1891" s="53">
        <v>0</v>
      </c>
      <c r="N1891" s="53">
        <v>0</v>
      </c>
      <c r="O1891" s="53">
        <v>0</v>
      </c>
      <c r="P1891" s="53">
        <v>0</v>
      </c>
      <c r="Q1891" s="53">
        <v>0</v>
      </c>
      <c r="R1891" s="53">
        <v>0</v>
      </c>
    </row>
    <row r="1892" spans="1:18" x14ac:dyDescent="0.25">
      <c r="A1892" s="25" t="s">
        <v>70</v>
      </c>
      <c r="B1892" s="26">
        <v>2016</v>
      </c>
      <c r="C1892" s="74" t="s">
        <v>69</v>
      </c>
      <c r="D1892" s="27">
        <v>0</v>
      </c>
      <c r="E1892" s="53">
        <v>4900000</v>
      </c>
      <c r="F1892" s="53">
        <v>4900000</v>
      </c>
      <c r="G1892" s="53">
        <v>0</v>
      </c>
      <c r="H1892" s="53">
        <v>0</v>
      </c>
      <c r="I1892" s="53">
        <v>0</v>
      </c>
      <c r="J1892" s="53">
        <v>0</v>
      </c>
      <c r="K1892" s="53">
        <v>0</v>
      </c>
      <c r="L1892" s="53">
        <v>0</v>
      </c>
      <c r="M1892" s="53">
        <v>0</v>
      </c>
      <c r="N1892" s="53">
        <v>0</v>
      </c>
      <c r="O1892" s="53">
        <v>0</v>
      </c>
      <c r="P1892" s="53">
        <v>0</v>
      </c>
      <c r="Q1892" s="53">
        <v>0</v>
      </c>
      <c r="R1892" s="53">
        <v>0</v>
      </c>
    </row>
    <row r="1893" spans="1:18" x14ac:dyDescent="0.25">
      <c r="A1893" s="25" t="s">
        <v>68</v>
      </c>
      <c r="B1893" s="26">
        <v>2016</v>
      </c>
      <c r="C1893" s="74" t="s">
        <v>67</v>
      </c>
      <c r="D1893" s="27">
        <v>0</v>
      </c>
      <c r="E1893" s="53">
        <v>598700000</v>
      </c>
      <c r="F1893" s="53">
        <v>598700000</v>
      </c>
      <c r="G1893" s="53">
        <v>0</v>
      </c>
      <c r="H1893" s="53">
        <v>0</v>
      </c>
      <c r="I1893" s="53">
        <v>0</v>
      </c>
      <c r="J1893" s="53">
        <v>0</v>
      </c>
      <c r="K1893" s="53">
        <v>0</v>
      </c>
      <c r="L1893" s="53">
        <v>0</v>
      </c>
      <c r="M1893" s="53">
        <v>0</v>
      </c>
      <c r="N1893" s="53">
        <v>0</v>
      </c>
      <c r="O1893" s="53">
        <v>0</v>
      </c>
      <c r="P1893" s="53">
        <v>0</v>
      </c>
      <c r="Q1893" s="53">
        <v>0</v>
      </c>
      <c r="R1893" s="53">
        <v>0</v>
      </c>
    </row>
    <row r="1894" spans="1:18" x14ac:dyDescent="0.25">
      <c r="A1894" s="25" t="s">
        <v>66</v>
      </c>
      <c r="B1894" s="26">
        <v>2016</v>
      </c>
      <c r="C1894" s="74" t="s">
        <v>65</v>
      </c>
      <c r="D1894" s="27">
        <v>0</v>
      </c>
      <c r="E1894" s="53">
        <v>94300000</v>
      </c>
      <c r="F1894" s="53">
        <v>94300000</v>
      </c>
      <c r="G1894" s="53">
        <v>0</v>
      </c>
      <c r="H1894" s="53">
        <v>0</v>
      </c>
      <c r="I1894" s="53">
        <v>0</v>
      </c>
      <c r="J1894" s="53">
        <v>0</v>
      </c>
      <c r="K1894" s="53">
        <v>0</v>
      </c>
      <c r="L1894" s="53">
        <v>0</v>
      </c>
      <c r="M1894" s="53">
        <v>0</v>
      </c>
      <c r="N1894" s="53">
        <v>0</v>
      </c>
      <c r="O1894" s="53">
        <v>0</v>
      </c>
      <c r="P1894" s="53">
        <v>7858334</v>
      </c>
      <c r="Q1894" s="53">
        <v>7858334</v>
      </c>
      <c r="R1894" s="53">
        <v>7858326</v>
      </c>
    </row>
    <row r="1895" spans="1:18" x14ac:dyDescent="0.25">
      <c r="A1895" s="25" t="s">
        <v>64</v>
      </c>
      <c r="B1895" s="26">
        <v>2016</v>
      </c>
      <c r="C1895" s="74" t="s">
        <v>63</v>
      </c>
      <c r="D1895" s="27">
        <v>0</v>
      </c>
      <c r="E1895" s="53">
        <v>848600000</v>
      </c>
      <c r="F1895" s="53">
        <v>848600000</v>
      </c>
      <c r="G1895" s="53">
        <v>0</v>
      </c>
      <c r="H1895" s="53">
        <v>0</v>
      </c>
      <c r="I1895" s="53">
        <v>0</v>
      </c>
      <c r="J1895" s="53">
        <v>0</v>
      </c>
      <c r="K1895" s="53">
        <v>0</v>
      </c>
      <c r="L1895" s="53">
        <v>0</v>
      </c>
      <c r="M1895" s="53">
        <v>0</v>
      </c>
      <c r="N1895" s="53">
        <v>0</v>
      </c>
      <c r="O1895" s="53">
        <v>0</v>
      </c>
      <c r="P1895" s="53">
        <v>0</v>
      </c>
      <c r="Q1895" s="53">
        <v>0</v>
      </c>
      <c r="R1895" s="53">
        <v>848600000</v>
      </c>
    </row>
    <row r="1896" spans="1:18" x14ac:dyDescent="0.25">
      <c r="A1896" s="25" t="s">
        <v>62</v>
      </c>
      <c r="B1896" s="26">
        <v>2016</v>
      </c>
      <c r="C1896" s="74" t="s">
        <v>61</v>
      </c>
      <c r="D1896" s="27">
        <v>0</v>
      </c>
      <c r="E1896" s="53">
        <v>21000000</v>
      </c>
      <c r="F1896" s="53">
        <v>21000000</v>
      </c>
      <c r="G1896" s="53">
        <v>0</v>
      </c>
      <c r="H1896" s="53">
        <v>0</v>
      </c>
      <c r="I1896" s="53">
        <v>0</v>
      </c>
      <c r="J1896" s="53">
        <v>0</v>
      </c>
      <c r="K1896" s="53">
        <v>0</v>
      </c>
      <c r="L1896" s="53">
        <v>0</v>
      </c>
      <c r="M1896" s="53">
        <v>0</v>
      </c>
      <c r="N1896" s="53">
        <v>0</v>
      </c>
      <c r="O1896" s="53">
        <v>0</v>
      </c>
      <c r="P1896" s="53">
        <v>0</v>
      </c>
      <c r="Q1896" s="53">
        <v>0</v>
      </c>
      <c r="R1896" s="53">
        <v>0</v>
      </c>
    </row>
    <row r="1897" spans="1:18" x14ac:dyDescent="0.25">
      <c r="A1897" s="25" t="s">
        <v>60</v>
      </c>
      <c r="B1897" s="26">
        <v>2016</v>
      </c>
      <c r="C1897" s="74" t="s">
        <v>59</v>
      </c>
      <c r="D1897" s="27">
        <v>0</v>
      </c>
      <c r="E1897" s="53">
        <v>14700000</v>
      </c>
      <c r="F1897" s="53">
        <v>14700000</v>
      </c>
      <c r="G1897" s="53">
        <v>0</v>
      </c>
      <c r="H1897" s="53">
        <v>0</v>
      </c>
      <c r="I1897" s="53">
        <v>0</v>
      </c>
      <c r="J1897" s="53">
        <v>0</v>
      </c>
      <c r="K1897" s="53">
        <v>0</v>
      </c>
      <c r="L1897" s="53">
        <v>0</v>
      </c>
      <c r="M1897" s="53">
        <v>0</v>
      </c>
      <c r="N1897" s="53">
        <v>0</v>
      </c>
      <c r="O1897" s="53">
        <v>0</v>
      </c>
      <c r="P1897" s="53">
        <v>14700000</v>
      </c>
      <c r="Q1897" s="53">
        <v>0</v>
      </c>
      <c r="R1897" s="53">
        <v>0</v>
      </c>
    </row>
    <row r="1898" spans="1:18" x14ac:dyDescent="0.25">
      <c r="A1898" s="25" t="s">
        <v>57</v>
      </c>
      <c r="B1898" s="26">
        <v>2016</v>
      </c>
      <c r="C1898" s="74" t="s">
        <v>56</v>
      </c>
      <c r="D1898" s="27">
        <v>0</v>
      </c>
      <c r="E1898" s="53">
        <v>86173100</v>
      </c>
      <c r="F1898" s="53">
        <v>86173100</v>
      </c>
      <c r="G1898" s="53">
        <v>0</v>
      </c>
      <c r="H1898" s="53">
        <v>0</v>
      </c>
      <c r="I1898" s="53">
        <v>0</v>
      </c>
      <c r="J1898" s="53">
        <v>0</v>
      </c>
      <c r="K1898" s="53">
        <v>0</v>
      </c>
      <c r="L1898" s="53">
        <v>0</v>
      </c>
      <c r="M1898" s="53">
        <v>0</v>
      </c>
      <c r="N1898" s="53">
        <v>0</v>
      </c>
      <c r="O1898" s="53">
        <v>0</v>
      </c>
      <c r="P1898" s="53">
        <v>0</v>
      </c>
      <c r="Q1898" s="53">
        <v>0</v>
      </c>
      <c r="R1898" s="53">
        <v>0</v>
      </c>
    </row>
    <row r="1899" spans="1:18" x14ac:dyDescent="0.25">
      <c r="A1899" s="25" t="s">
        <v>391</v>
      </c>
      <c r="B1899" s="26">
        <v>2016</v>
      </c>
      <c r="C1899" s="74" t="s">
        <v>390</v>
      </c>
      <c r="D1899" s="27">
        <v>0</v>
      </c>
      <c r="E1899" s="53">
        <v>0</v>
      </c>
      <c r="F1899" s="53">
        <v>0</v>
      </c>
      <c r="G1899" s="53">
        <v>0</v>
      </c>
      <c r="H1899" s="53">
        <v>0</v>
      </c>
      <c r="I1899" s="53">
        <v>0</v>
      </c>
      <c r="J1899" s="53">
        <v>0</v>
      </c>
      <c r="K1899" s="53">
        <v>0</v>
      </c>
      <c r="L1899" s="53">
        <v>0</v>
      </c>
      <c r="M1899" s="53">
        <v>0</v>
      </c>
      <c r="N1899" s="53">
        <v>0</v>
      </c>
      <c r="O1899" s="53">
        <v>0</v>
      </c>
      <c r="P1899" s="53">
        <v>0</v>
      </c>
      <c r="Q1899" s="53">
        <v>0</v>
      </c>
      <c r="R1899" s="53">
        <v>52400000</v>
      </c>
    </row>
    <row r="1900" spans="1:18" x14ac:dyDescent="0.25">
      <c r="A1900" s="25" t="s">
        <v>389</v>
      </c>
      <c r="B1900" s="26">
        <v>2016</v>
      </c>
      <c r="C1900" s="74" t="s">
        <v>388</v>
      </c>
      <c r="D1900" s="27">
        <v>0</v>
      </c>
      <c r="E1900" s="53">
        <v>480306478</v>
      </c>
      <c r="F1900" s="53">
        <v>480306478</v>
      </c>
      <c r="G1900" s="53">
        <v>0</v>
      </c>
      <c r="H1900" s="53">
        <v>0</v>
      </c>
      <c r="I1900" s="53">
        <v>0</v>
      </c>
      <c r="J1900" s="53">
        <v>0</v>
      </c>
      <c r="K1900" s="53">
        <v>0</v>
      </c>
      <c r="L1900" s="53">
        <v>0</v>
      </c>
      <c r="M1900" s="53">
        <v>0</v>
      </c>
      <c r="N1900" s="53">
        <v>0</v>
      </c>
      <c r="O1900" s="53">
        <v>0</v>
      </c>
      <c r="P1900" s="53">
        <v>0</v>
      </c>
      <c r="Q1900" s="53">
        <v>0</v>
      </c>
      <c r="R1900" s="53">
        <v>0</v>
      </c>
    </row>
    <row r="1901" spans="1:18" x14ac:dyDescent="0.25">
      <c r="A1901" s="25" t="s">
        <v>387</v>
      </c>
      <c r="B1901" s="26">
        <v>2016</v>
      </c>
      <c r="C1901" s="74" t="s">
        <v>386</v>
      </c>
      <c r="D1901" s="27">
        <v>0</v>
      </c>
      <c r="E1901" s="53">
        <v>561495892</v>
      </c>
      <c r="F1901" s="53">
        <v>561495892</v>
      </c>
      <c r="G1901" s="53">
        <v>0</v>
      </c>
      <c r="H1901" s="53">
        <v>0</v>
      </c>
      <c r="I1901" s="53">
        <v>0</v>
      </c>
      <c r="J1901" s="53">
        <v>0</v>
      </c>
      <c r="K1901" s="53">
        <v>0</v>
      </c>
      <c r="L1901" s="53">
        <v>0</v>
      </c>
      <c r="M1901" s="53">
        <v>0</v>
      </c>
      <c r="N1901" s="53">
        <v>0</v>
      </c>
      <c r="O1901" s="53">
        <v>0</v>
      </c>
      <c r="P1901" s="53">
        <v>0</v>
      </c>
      <c r="Q1901" s="53">
        <v>0</v>
      </c>
      <c r="R1901" s="53">
        <v>0</v>
      </c>
    </row>
    <row r="1902" spans="1:18" x14ac:dyDescent="0.25">
      <c r="A1902" s="25" t="s">
        <v>367</v>
      </c>
      <c r="B1902" s="26">
        <v>2016</v>
      </c>
      <c r="C1902" s="74" t="s">
        <v>385</v>
      </c>
      <c r="D1902" s="27">
        <v>0</v>
      </c>
      <c r="E1902" s="53">
        <v>4304736470</v>
      </c>
      <c r="F1902" s="53">
        <v>4304736470</v>
      </c>
      <c r="G1902" s="53">
        <v>0</v>
      </c>
      <c r="H1902" s="53">
        <v>0</v>
      </c>
      <c r="I1902" s="53">
        <v>0</v>
      </c>
      <c r="J1902" s="53">
        <v>0</v>
      </c>
      <c r="K1902" s="53">
        <v>0</v>
      </c>
      <c r="L1902" s="53">
        <v>0</v>
      </c>
      <c r="M1902" s="53">
        <v>0</v>
      </c>
      <c r="N1902" s="53">
        <v>0</v>
      </c>
      <c r="O1902" s="53">
        <v>0</v>
      </c>
      <c r="P1902" s="53">
        <v>0</v>
      </c>
      <c r="Q1902" s="53">
        <v>0</v>
      </c>
      <c r="R1902" s="53">
        <v>867051444</v>
      </c>
    </row>
    <row r="1903" spans="1:18" x14ac:dyDescent="0.25">
      <c r="A1903" s="25" t="s">
        <v>366</v>
      </c>
      <c r="B1903" s="26">
        <v>2016</v>
      </c>
      <c r="C1903" s="74" t="s">
        <v>384</v>
      </c>
      <c r="D1903" s="27">
        <v>0</v>
      </c>
      <c r="E1903" s="53">
        <v>1147398886</v>
      </c>
      <c r="F1903" s="53">
        <v>1147398886</v>
      </c>
      <c r="G1903" s="53">
        <v>0</v>
      </c>
      <c r="H1903" s="53">
        <v>0</v>
      </c>
      <c r="I1903" s="53">
        <v>0</v>
      </c>
      <c r="J1903" s="53">
        <v>0</v>
      </c>
      <c r="K1903" s="53">
        <v>0</v>
      </c>
      <c r="L1903" s="53">
        <v>0</v>
      </c>
      <c r="M1903" s="53">
        <v>0</v>
      </c>
      <c r="N1903" s="53">
        <v>0</v>
      </c>
      <c r="O1903" s="53">
        <v>0</v>
      </c>
      <c r="P1903" s="53">
        <v>0</v>
      </c>
      <c r="Q1903" s="53">
        <v>0</v>
      </c>
      <c r="R1903" s="53">
        <v>1447398886</v>
      </c>
    </row>
    <row r="1904" spans="1:18" x14ac:dyDescent="0.25">
      <c r="A1904" s="25" t="s">
        <v>49</v>
      </c>
      <c r="B1904" s="26">
        <v>2016</v>
      </c>
      <c r="C1904" s="74" t="s">
        <v>48</v>
      </c>
      <c r="D1904" s="27">
        <v>0</v>
      </c>
      <c r="E1904" s="53">
        <v>791159596958</v>
      </c>
      <c r="F1904" s="53">
        <v>791159596958</v>
      </c>
      <c r="G1904" s="53">
        <v>0</v>
      </c>
      <c r="H1904" s="53">
        <v>0</v>
      </c>
      <c r="I1904" s="53">
        <v>0</v>
      </c>
      <c r="J1904" s="53">
        <v>0</v>
      </c>
      <c r="K1904" s="53">
        <v>0</v>
      </c>
      <c r="L1904" s="53">
        <v>0</v>
      </c>
      <c r="M1904" s="53">
        <v>0</v>
      </c>
      <c r="N1904" s="53">
        <v>0</v>
      </c>
      <c r="O1904" s="53">
        <v>0</v>
      </c>
      <c r="P1904" s="53">
        <v>26614236823.029999</v>
      </c>
      <c r="Q1904" s="53">
        <v>63106919990.279999</v>
      </c>
      <c r="R1904" s="53">
        <v>255320871489.07999</v>
      </c>
    </row>
    <row r="1905" spans="1:18" x14ac:dyDescent="0.25">
      <c r="A1905" s="25" t="s">
        <v>43</v>
      </c>
      <c r="B1905" s="26">
        <v>2016</v>
      </c>
      <c r="C1905" s="74" t="s">
        <v>42</v>
      </c>
      <c r="D1905" s="27">
        <v>0</v>
      </c>
      <c r="E1905" s="53">
        <v>2804262340611</v>
      </c>
      <c r="F1905" s="53">
        <v>2804262340611</v>
      </c>
      <c r="G1905" s="53">
        <v>0</v>
      </c>
      <c r="H1905" s="53">
        <v>0</v>
      </c>
      <c r="I1905" s="53">
        <v>0</v>
      </c>
      <c r="J1905" s="53">
        <v>0</v>
      </c>
      <c r="K1905" s="53">
        <v>0</v>
      </c>
      <c r="L1905" s="53">
        <v>0</v>
      </c>
      <c r="M1905" s="53">
        <v>0</v>
      </c>
      <c r="N1905" s="53">
        <v>0</v>
      </c>
      <c r="O1905" s="53">
        <v>0</v>
      </c>
      <c r="P1905" s="53">
        <v>182373351452.32001</v>
      </c>
      <c r="Q1905" s="53">
        <v>172210721858.63</v>
      </c>
      <c r="R1905" s="53">
        <v>109607038032.45</v>
      </c>
    </row>
    <row r="1906" spans="1:18" x14ac:dyDescent="0.25">
      <c r="A1906" s="25" t="s">
        <v>47</v>
      </c>
      <c r="B1906" s="26">
        <v>2016</v>
      </c>
      <c r="C1906" s="74" t="s">
        <v>46</v>
      </c>
      <c r="D1906" s="27">
        <v>0</v>
      </c>
      <c r="E1906" s="53">
        <v>4800500000</v>
      </c>
      <c r="F1906" s="53">
        <v>4800500000</v>
      </c>
      <c r="G1906" s="53">
        <v>0</v>
      </c>
      <c r="H1906" s="53">
        <v>0</v>
      </c>
      <c r="I1906" s="53">
        <v>0</v>
      </c>
      <c r="J1906" s="53">
        <v>0</v>
      </c>
      <c r="K1906" s="53">
        <v>0</v>
      </c>
      <c r="L1906" s="53">
        <v>0</v>
      </c>
      <c r="M1906" s="53">
        <v>0</v>
      </c>
      <c r="N1906" s="53">
        <v>0</v>
      </c>
      <c r="O1906" s="53">
        <v>0</v>
      </c>
      <c r="P1906" s="53">
        <v>0</v>
      </c>
      <c r="Q1906" s="53">
        <v>0</v>
      </c>
      <c r="R1906" s="53">
        <v>0</v>
      </c>
    </row>
    <row r="1907" spans="1:18" x14ac:dyDescent="0.25">
      <c r="A1907" s="25" t="s">
        <v>45</v>
      </c>
      <c r="B1907" s="26">
        <v>2016</v>
      </c>
      <c r="C1907" s="74" t="s">
        <v>44</v>
      </c>
      <c r="D1907" s="27">
        <v>0</v>
      </c>
      <c r="E1907" s="53">
        <v>313000000</v>
      </c>
      <c r="F1907" s="53">
        <v>313000000</v>
      </c>
      <c r="G1907" s="53">
        <v>0</v>
      </c>
      <c r="H1907" s="53">
        <v>0</v>
      </c>
      <c r="I1907" s="53">
        <v>0</v>
      </c>
      <c r="J1907" s="53">
        <v>0</v>
      </c>
      <c r="K1907" s="53">
        <v>0</v>
      </c>
      <c r="L1907" s="53">
        <v>0</v>
      </c>
      <c r="M1907" s="53">
        <v>0</v>
      </c>
      <c r="N1907" s="53">
        <v>0</v>
      </c>
      <c r="O1907" s="53">
        <v>0</v>
      </c>
      <c r="P1907" s="53">
        <v>0</v>
      </c>
      <c r="Q1907" s="53">
        <v>0</v>
      </c>
      <c r="R1907" s="53">
        <v>0</v>
      </c>
    </row>
    <row r="1908" spans="1:18" x14ac:dyDescent="0.25">
      <c r="A1908" s="25" t="s">
        <v>41</v>
      </c>
      <c r="B1908" s="26">
        <v>2016</v>
      </c>
      <c r="C1908" s="74" t="s">
        <v>40</v>
      </c>
      <c r="D1908" s="27">
        <v>0</v>
      </c>
      <c r="E1908" s="54">
        <v>5455942119.5500002</v>
      </c>
      <c r="F1908" s="54">
        <v>3660154758.4200001</v>
      </c>
      <c r="G1908" s="53">
        <v>0</v>
      </c>
      <c r="H1908" s="53">
        <v>0</v>
      </c>
      <c r="I1908" s="53">
        <v>0</v>
      </c>
      <c r="J1908" s="53">
        <v>0</v>
      </c>
      <c r="K1908" s="53">
        <v>0</v>
      </c>
      <c r="L1908" s="53">
        <v>0</v>
      </c>
      <c r="M1908" s="53">
        <v>0</v>
      </c>
      <c r="N1908" s="53">
        <v>0</v>
      </c>
      <c r="O1908" s="53">
        <v>0</v>
      </c>
      <c r="P1908" s="53">
        <v>0</v>
      </c>
      <c r="Q1908" s="53">
        <v>0</v>
      </c>
      <c r="R1908" s="53">
        <v>0</v>
      </c>
    </row>
    <row r="1909" spans="1:18" x14ac:dyDescent="0.25">
      <c r="A1909" s="25" t="s">
        <v>37</v>
      </c>
      <c r="B1909" s="26">
        <v>2016</v>
      </c>
      <c r="C1909" s="74" t="s">
        <v>36</v>
      </c>
      <c r="D1909" s="27">
        <v>0</v>
      </c>
      <c r="E1909" s="54">
        <v>284279981.19999999</v>
      </c>
      <c r="F1909" s="54">
        <v>78151436.319999993</v>
      </c>
      <c r="G1909" s="53">
        <v>0</v>
      </c>
      <c r="H1909" s="53">
        <v>0</v>
      </c>
      <c r="I1909" s="53">
        <v>0</v>
      </c>
      <c r="J1909" s="53">
        <v>0</v>
      </c>
      <c r="K1909" s="53">
        <v>0</v>
      </c>
      <c r="L1909" s="53">
        <v>0</v>
      </c>
      <c r="M1909" s="53">
        <v>0</v>
      </c>
      <c r="N1909" s="53">
        <v>0</v>
      </c>
      <c r="O1909" s="53">
        <v>0</v>
      </c>
      <c r="P1909" s="53">
        <v>0</v>
      </c>
      <c r="Q1909" s="53">
        <v>0</v>
      </c>
      <c r="R1909" s="53">
        <v>0</v>
      </c>
    </row>
    <row r="1910" spans="1:18" x14ac:dyDescent="0.25">
      <c r="A1910" s="25" t="s">
        <v>35</v>
      </c>
      <c r="B1910" s="26">
        <v>2016</v>
      </c>
      <c r="C1910" s="74" t="s">
        <v>34</v>
      </c>
      <c r="D1910" s="27">
        <v>0</v>
      </c>
      <c r="E1910" s="54">
        <v>24368300711.77</v>
      </c>
      <c r="F1910" s="54">
        <v>23856623430.150002</v>
      </c>
      <c r="G1910" s="53">
        <v>0</v>
      </c>
      <c r="H1910" s="53">
        <v>0</v>
      </c>
      <c r="I1910" s="53">
        <v>0</v>
      </c>
      <c r="J1910" s="53">
        <v>0</v>
      </c>
      <c r="K1910" s="53">
        <v>0</v>
      </c>
      <c r="L1910" s="53">
        <v>0</v>
      </c>
      <c r="M1910" s="53">
        <v>0</v>
      </c>
      <c r="N1910" s="53">
        <v>0</v>
      </c>
      <c r="O1910" s="53">
        <v>0</v>
      </c>
      <c r="P1910" s="53">
        <v>0</v>
      </c>
      <c r="Q1910" s="53">
        <v>0</v>
      </c>
      <c r="R1910" s="53">
        <v>1448053320.25</v>
      </c>
    </row>
    <row r="1911" spans="1:18" x14ac:dyDescent="0.25">
      <c r="A1911" s="25" t="s">
        <v>33</v>
      </c>
      <c r="B1911" s="26">
        <v>2016</v>
      </c>
      <c r="C1911" s="74" t="s">
        <v>32</v>
      </c>
      <c r="D1911" s="27">
        <v>0</v>
      </c>
      <c r="E1911" s="54">
        <v>22763805162.219994</v>
      </c>
      <c r="F1911" s="54">
        <v>10890086981.050003</v>
      </c>
      <c r="G1911" s="53">
        <v>0</v>
      </c>
      <c r="H1911" s="53">
        <v>0</v>
      </c>
      <c r="I1911" s="53">
        <v>0</v>
      </c>
      <c r="J1911" s="53">
        <v>0</v>
      </c>
      <c r="K1911" s="53">
        <v>0</v>
      </c>
      <c r="L1911" s="53">
        <v>0</v>
      </c>
      <c r="M1911" s="53">
        <v>0</v>
      </c>
      <c r="N1911" s="53">
        <v>0</v>
      </c>
      <c r="O1911" s="53">
        <v>0</v>
      </c>
      <c r="P1911" s="53">
        <v>1368189842.51</v>
      </c>
      <c r="Q1911" s="53">
        <v>1513603823.73</v>
      </c>
      <c r="R1911" s="53">
        <v>1386789655.1099999</v>
      </c>
    </row>
    <row r="1912" spans="1:18" x14ac:dyDescent="0.25">
      <c r="A1912" s="25" t="s">
        <v>31</v>
      </c>
      <c r="B1912" s="26">
        <v>2016</v>
      </c>
      <c r="C1912" s="74" t="s">
        <v>30</v>
      </c>
      <c r="D1912" s="27">
        <v>0</v>
      </c>
      <c r="E1912" s="54">
        <v>6310914477.3999996</v>
      </c>
      <c r="F1912" s="54">
        <v>5557605647.5900002</v>
      </c>
      <c r="G1912" s="53">
        <v>0</v>
      </c>
      <c r="H1912" s="53">
        <v>0</v>
      </c>
      <c r="I1912" s="53">
        <v>0</v>
      </c>
      <c r="J1912" s="53">
        <v>0</v>
      </c>
      <c r="K1912" s="53">
        <v>0</v>
      </c>
      <c r="L1912" s="53">
        <v>0</v>
      </c>
      <c r="M1912" s="53">
        <v>0</v>
      </c>
      <c r="N1912" s="53">
        <v>0</v>
      </c>
      <c r="O1912" s="53">
        <v>0</v>
      </c>
      <c r="P1912" s="53">
        <v>318165603.13999999</v>
      </c>
      <c r="Q1912" s="53">
        <v>1243300437.1199999</v>
      </c>
      <c r="R1912" s="53">
        <v>92005650</v>
      </c>
    </row>
    <row r="1913" spans="1:18" x14ac:dyDescent="0.25">
      <c r="A1913" s="25" t="s">
        <v>29</v>
      </c>
      <c r="B1913" s="26">
        <v>2016</v>
      </c>
      <c r="C1913" s="74" t="s">
        <v>28</v>
      </c>
      <c r="D1913" s="27">
        <v>0</v>
      </c>
      <c r="E1913" s="54">
        <v>44762273049.110001</v>
      </c>
      <c r="F1913" s="54">
        <v>33496350000</v>
      </c>
      <c r="G1913" s="53">
        <v>0</v>
      </c>
      <c r="H1913" s="53">
        <v>0</v>
      </c>
      <c r="I1913" s="53">
        <v>0</v>
      </c>
      <c r="J1913" s="53">
        <v>0</v>
      </c>
      <c r="K1913" s="53">
        <v>0</v>
      </c>
      <c r="L1913" s="53">
        <v>0</v>
      </c>
      <c r="M1913" s="53">
        <v>0</v>
      </c>
      <c r="N1913" s="53">
        <v>0</v>
      </c>
      <c r="O1913" s="53">
        <v>0</v>
      </c>
      <c r="P1913" s="53">
        <v>0</v>
      </c>
      <c r="Q1913" s="53">
        <v>25260750000</v>
      </c>
      <c r="R1913" s="53">
        <v>0</v>
      </c>
    </row>
    <row r="1914" spans="1:18" x14ac:dyDescent="0.25">
      <c r="A1914" s="25" t="s">
        <v>27</v>
      </c>
      <c r="B1914" s="26">
        <v>2016</v>
      </c>
      <c r="C1914" s="74" t="s">
        <v>26</v>
      </c>
      <c r="D1914" s="27">
        <v>0</v>
      </c>
      <c r="E1914" s="54">
        <v>18908541453.760002</v>
      </c>
      <c r="F1914" s="54">
        <v>3274662828.0800004</v>
      </c>
      <c r="G1914" s="53">
        <v>0</v>
      </c>
      <c r="H1914" s="53">
        <v>0</v>
      </c>
      <c r="I1914" s="53">
        <v>0</v>
      </c>
      <c r="J1914" s="53">
        <v>0</v>
      </c>
      <c r="K1914" s="53">
        <v>0</v>
      </c>
      <c r="L1914" s="53">
        <v>0</v>
      </c>
      <c r="M1914" s="53">
        <v>0</v>
      </c>
      <c r="N1914" s="53">
        <v>0</v>
      </c>
      <c r="O1914" s="53">
        <v>0</v>
      </c>
      <c r="P1914" s="53">
        <v>126497393.86</v>
      </c>
      <c r="Q1914" s="53">
        <v>441802896.75</v>
      </c>
      <c r="R1914" s="53">
        <v>264572441.16999999</v>
      </c>
    </row>
    <row r="1915" spans="1:18" x14ac:dyDescent="0.25">
      <c r="A1915" s="25" t="s">
        <v>25</v>
      </c>
      <c r="B1915" s="26">
        <v>2016</v>
      </c>
      <c r="C1915" s="74" t="s">
        <v>24</v>
      </c>
      <c r="D1915" s="27">
        <v>0</v>
      </c>
      <c r="E1915" s="54">
        <v>222319643100</v>
      </c>
      <c r="F1915" s="54">
        <v>2797053500</v>
      </c>
      <c r="G1915" s="53">
        <v>0</v>
      </c>
      <c r="H1915" s="53">
        <v>0</v>
      </c>
      <c r="I1915" s="53">
        <v>0</v>
      </c>
      <c r="J1915" s="53">
        <v>0</v>
      </c>
      <c r="K1915" s="53">
        <v>0</v>
      </c>
      <c r="L1915" s="53">
        <v>0</v>
      </c>
      <c r="M1915" s="53">
        <v>0</v>
      </c>
      <c r="N1915" s="53">
        <v>0</v>
      </c>
      <c r="O1915" s="53">
        <v>0</v>
      </c>
      <c r="P1915" s="53">
        <v>2797053500</v>
      </c>
      <c r="Q1915" s="53">
        <v>0</v>
      </c>
      <c r="R1915" s="53">
        <v>0</v>
      </c>
    </row>
    <row r="1916" spans="1:18" x14ac:dyDescent="0.25">
      <c r="A1916" s="25" t="s">
        <v>23</v>
      </c>
      <c r="B1916" s="26">
        <v>2016</v>
      </c>
      <c r="C1916" s="74" t="s">
        <v>22</v>
      </c>
      <c r="D1916" s="27">
        <v>0</v>
      </c>
      <c r="E1916" s="54">
        <v>27802000000</v>
      </c>
      <c r="F1916" s="54">
        <v>0</v>
      </c>
      <c r="G1916" s="53">
        <v>0</v>
      </c>
      <c r="H1916" s="53">
        <v>0</v>
      </c>
      <c r="I1916" s="53">
        <v>0</v>
      </c>
      <c r="J1916" s="53">
        <v>0</v>
      </c>
      <c r="K1916" s="53">
        <v>0</v>
      </c>
      <c r="L1916" s="53">
        <v>0</v>
      </c>
      <c r="M1916" s="53">
        <v>0</v>
      </c>
      <c r="N1916" s="53">
        <v>0</v>
      </c>
      <c r="O1916" s="53">
        <v>0</v>
      </c>
      <c r="P1916" s="53">
        <v>0</v>
      </c>
      <c r="Q1916" s="53">
        <v>0</v>
      </c>
      <c r="R1916" s="53">
        <v>0</v>
      </c>
    </row>
    <row r="1917" spans="1:18" x14ac:dyDescent="0.25">
      <c r="A1917" s="25" t="s">
        <v>6</v>
      </c>
      <c r="B1917" s="26">
        <v>2016</v>
      </c>
      <c r="C1917" s="74" t="s">
        <v>4</v>
      </c>
      <c r="D1917" s="27">
        <v>0</v>
      </c>
      <c r="E1917" s="54">
        <v>53052957835.120003</v>
      </c>
      <c r="F1917" s="54">
        <v>44057751996.360001</v>
      </c>
      <c r="G1917" s="53">
        <v>0</v>
      </c>
      <c r="H1917" s="53">
        <v>0</v>
      </c>
      <c r="I1917" s="53">
        <v>0</v>
      </c>
      <c r="J1917" s="53">
        <v>0</v>
      </c>
      <c r="K1917" s="53">
        <v>0</v>
      </c>
      <c r="L1917" s="53">
        <v>0</v>
      </c>
      <c r="M1917" s="53">
        <v>0</v>
      </c>
      <c r="N1917" s="53">
        <v>0</v>
      </c>
      <c r="O1917" s="53">
        <v>0</v>
      </c>
      <c r="P1917" s="53">
        <v>0</v>
      </c>
      <c r="Q1917" s="53">
        <v>0</v>
      </c>
      <c r="R1917" s="53">
        <v>44057751996.360001</v>
      </c>
    </row>
    <row r="1918" spans="1:18" x14ac:dyDescent="0.25">
      <c r="A1918" s="25" t="s">
        <v>5</v>
      </c>
      <c r="B1918" s="26">
        <v>2016</v>
      </c>
      <c r="C1918" s="74" t="s">
        <v>4</v>
      </c>
      <c r="D1918" s="27">
        <v>0</v>
      </c>
      <c r="E1918" s="54">
        <v>158937200000</v>
      </c>
      <c r="F1918" s="54">
        <v>0</v>
      </c>
      <c r="G1918" s="53">
        <v>0</v>
      </c>
      <c r="H1918" s="53">
        <v>0</v>
      </c>
      <c r="I1918" s="53">
        <v>0</v>
      </c>
      <c r="J1918" s="53">
        <v>0</v>
      </c>
      <c r="K1918" s="53">
        <v>0</v>
      </c>
      <c r="L1918" s="53">
        <v>0</v>
      </c>
      <c r="M1918" s="53">
        <v>0</v>
      </c>
      <c r="N1918" s="53">
        <v>0</v>
      </c>
      <c r="O1918" s="53">
        <v>0</v>
      </c>
      <c r="P1918" s="53">
        <v>0</v>
      </c>
      <c r="Q1918" s="53">
        <v>0</v>
      </c>
      <c r="R1918" s="53">
        <v>0</v>
      </c>
    </row>
    <row r="1919" spans="1:18" x14ac:dyDescent="0.25">
      <c r="A1919" s="25" t="s">
        <v>39</v>
      </c>
      <c r="B1919" s="26">
        <v>2016</v>
      </c>
      <c r="C1919" s="74" t="s">
        <v>38</v>
      </c>
      <c r="D1919" s="27">
        <v>0</v>
      </c>
      <c r="E1919" s="54">
        <v>25831035543.599998</v>
      </c>
      <c r="F1919" s="54">
        <v>0</v>
      </c>
      <c r="G1919" s="53">
        <v>0</v>
      </c>
      <c r="H1919" s="53">
        <v>0</v>
      </c>
      <c r="I1919" s="53">
        <v>0</v>
      </c>
      <c r="J1919" s="53">
        <v>0</v>
      </c>
      <c r="K1919" s="53">
        <v>0</v>
      </c>
      <c r="L1919" s="53">
        <v>0</v>
      </c>
      <c r="M1919" s="53">
        <v>0</v>
      </c>
      <c r="N1919" s="53">
        <v>0</v>
      </c>
      <c r="O1919" s="53">
        <v>0</v>
      </c>
      <c r="P1919" s="53">
        <v>0</v>
      </c>
      <c r="Q1919" s="53">
        <v>0</v>
      </c>
      <c r="R1919" s="53">
        <v>0</v>
      </c>
    </row>
    <row r="1920" spans="1:18" x14ac:dyDescent="0.25">
      <c r="A1920" s="25" t="s">
        <v>17</v>
      </c>
      <c r="B1920" s="26">
        <v>2016</v>
      </c>
      <c r="C1920" s="74" t="s">
        <v>16</v>
      </c>
      <c r="D1920" s="27">
        <v>0</v>
      </c>
      <c r="E1920" s="54">
        <v>233377200000</v>
      </c>
      <c r="F1920" s="54">
        <v>0</v>
      </c>
      <c r="G1920" s="53">
        <v>0</v>
      </c>
      <c r="H1920" s="53">
        <v>0</v>
      </c>
      <c r="I1920" s="53">
        <v>0</v>
      </c>
      <c r="J1920" s="53">
        <v>0</v>
      </c>
      <c r="K1920" s="53">
        <v>0</v>
      </c>
      <c r="L1920" s="53">
        <v>0</v>
      </c>
      <c r="M1920" s="53">
        <v>0</v>
      </c>
      <c r="N1920" s="53">
        <v>0</v>
      </c>
      <c r="O1920" s="53">
        <v>0</v>
      </c>
      <c r="P1920" s="53">
        <v>0</v>
      </c>
      <c r="Q1920" s="53">
        <v>0</v>
      </c>
      <c r="R1920" s="53">
        <v>0</v>
      </c>
    </row>
    <row r="1921" spans="1:18" x14ac:dyDescent="0.25">
      <c r="A1921" s="25" t="s">
        <v>383</v>
      </c>
      <c r="B1921" s="26">
        <v>2016</v>
      </c>
      <c r="C1921" s="74" t="s">
        <v>382</v>
      </c>
      <c r="D1921" s="27">
        <v>0</v>
      </c>
      <c r="E1921" s="54">
        <v>0</v>
      </c>
      <c r="F1921" s="54">
        <v>0</v>
      </c>
      <c r="G1921" s="53">
        <v>0</v>
      </c>
      <c r="H1921" s="53">
        <v>0</v>
      </c>
      <c r="I1921" s="53">
        <v>0</v>
      </c>
      <c r="J1921" s="53">
        <v>0</v>
      </c>
      <c r="K1921" s="53">
        <v>0</v>
      </c>
      <c r="L1921" s="53">
        <v>0</v>
      </c>
      <c r="M1921" s="53">
        <v>0</v>
      </c>
      <c r="N1921" s="53">
        <v>0</v>
      </c>
      <c r="O1921" s="53">
        <v>0</v>
      </c>
      <c r="P1921" s="53">
        <v>0</v>
      </c>
      <c r="Q1921" s="53">
        <v>0</v>
      </c>
      <c r="R1921" s="53">
        <v>0</v>
      </c>
    </row>
    <row r="1922" spans="1:18" x14ac:dyDescent="0.25">
      <c r="A1922" s="25" t="s">
        <v>381</v>
      </c>
      <c r="B1922" s="26">
        <v>2016</v>
      </c>
      <c r="C1922" s="74" t="s">
        <v>380</v>
      </c>
      <c r="D1922" s="27">
        <v>0</v>
      </c>
      <c r="E1922" s="54">
        <v>0</v>
      </c>
      <c r="F1922" s="54">
        <v>0</v>
      </c>
      <c r="G1922" s="53">
        <v>0</v>
      </c>
      <c r="H1922" s="53">
        <v>0</v>
      </c>
      <c r="I1922" s="53">
        <v>0</v>
      </c>
      <c r="J1922" s="53">
        <v>0</v>
      </c>
      <c r="K1922" s="53">
        <v>0</v>
      </c>
      <c r="L1922" s="53">
        <v>0</v>
      </c>
      <c r="M1922" s="53">
        <v>0</v>
      </c>
      <c r="N1922" s="53">
        <v>0</v>
      </c>
      <c r="O1922" s="53">
        <v>0</v>
      </c>
      <c r="P1922" s="53">
        <v>0</v>
      </c>
      <c r="Q1922" s="53">
        <v>0</v>
      </c>
      <c r="R1922" s="53">
        <v>0</v>
      </c>
    </row>
    <row r="1923" spans="1:18" x14ac:dyDescent="0.25">
      <c r="A1923" s="25" t="s">
        <v>15</v>
      </c>
      <c r="B1923" s="26">
        <v>2016</v>
      </c>
      <c r="C1923" s="74" t="s">
        <v>14</v>
      </c>
      <c r="D1923" s="27">
        <v>0</v>
      </c>
      <c r="E1923" s="54">
        <v>17485079619.900002</v>
      </c>
      <c r="F1923" s="54">
        <v>0</v>
      </c>
      <c r="G1923" s="53">
        <v>0</v>
      </c>
      <c r="H1923" s="53">
        <v>0</v>
      </c>
      <c r="I1923" s="53">
        <v>0</v>
      </c>
      <c r="J1923" s="53">
        <v>0</v>
      </c>
      <c r="K1923" s="53">
        <v>0</v>
      </c>
      <c r="L1923" s="53">
        <v>0</v>
      </c>
      <c r="M1923" s="53">
        <v>0</v>
      </c>
      <c r="N1923" s="53">
        <v>0</v>
      </c>
      <c r="O1923" s="53">
        <v>0</v>
      </c>
      <c r="P1923" s="53">
        <v>0</v>
      </c>
      <c r="Q1923" s="53">
        <v>0</v>
      </c>
      <c r="R1923" s="53">
        <v>0</v>
      </c>
    </row>
    <row r="1924" spans="1:18" x14ac:dyDescent="0.25">
      <c r="A1924" s="25" t="s">
        <v>13</v>
      </c>
      <c r="B1924" s="26">
        <v>2016</v>
      </c>
      <c r="C1924" s="74" t="s">
        <v>11</v>
      </c>
      <c r="D1924" s="27">
        <v>0</v>
      </c>
      <c r="E1924" s="54">
        <v>93507716017.73999</v>
      </c>
      <c r="F1924" s="54">
        <v>19629142271.450001</v>
      </c>
      <c r="G1924" s="53">
        <v>0</v>
      </c>
      <c r="H1924" s="53">
        <v>0</v>
      </c>
      <c r="I1924" s="53">
        <v>0</v>
      </c>
      <c r="J1924" s="53">
        <v>0</v>
      </c>
      <c r="K1924" s="53">
        <v>0</v>
      </c>
      <c r="L1924" s="53">
        <v>0</v>
      </c>
      <c r="M1924" s="53">
        <v>0</v>
      </c>
      <c r="N1924" s="53">
        <v>0</v>
      </c>
      <c r="O1924" s="53">
        <v>0</v>
      </c>
      <c r="P1924" s="53">
        <v>5039080000</v>
      </c>
      <c r="Q1924" s="53">
        <v>0</v>
      </c>
      <c r="R1924" s="53">
        <v>1115440000</v>
      </c>
    </row>
    <row r="1925" spans="1:18" x14ac:dyDescent="0.25">
      <c r="A1925" s="25" t="s">
        <v>10</v>
      </c>
      <c r="B1925" s="26">
        <v>2016</v>
      </c>
      <c r="C1925" s="74" t="s">
        <v>9</v>
      </c>
      <c r="D1925" s="27">
        <v>0</v>
      </c>
      <c r="E1925" s="54">
        <v>25372337813.779999</v>
      </c>
      <c r="F1925" s="54">
        <v>7428611030.4899998</v>
      </c>
      <c r="G1925" s="53">
        <v>0</v>
      </c>
      <c r="H1925" s="53">
        <v>0</v>
      </c>
      <c r="I1925" s="53">
        <v>0</v>
      </c>
      <c r="J1925" s="53">
        <v>0</v>
      </c>
      <c r="K1925" s="53">
        <v>0</v>
      </c>
      <c r="L1925" s="53">
        <v>0</v>
      </c>
      <c r="M1925" s="53">
        <v>0</v>
      </c>
      <c r="N1925" s="53">
        <v>0</v>
      </c>
      <c r="O1925" s="53">
        <v>0</v>
      </c>
      <c r="P1925" s="53">
        <v>690352561.30999994</v>
      </c>
      <c r="Q1925" s="53">
        <v>643229502.51999998</v>
      </c>
      <c r="R1925" s="53">
        <v>-2075832769.3199999</v>
      </c>
    </row>
    <row r="1926" spans="1:18" x14ac:dyDescent="0.25">
      <c r="A1926" s="25" t="s">
        <v>8</v>
      </c>
      <c r="B1926" s="26">
        <v>2016</v>
      </c>
      <c r="C1926" s="74" t="s">
        <v>7</v>
      </c>
      <c r="D1926" s="27">
        <v>0</v>
      </c>
      <c r="E1926" s="54">
        <v>12833174869.98</v>
      </c>
      <c r="F1926" s="54">
        <v>3436864125.1900001</v>
      </c>
      <c r="G1926" s="53">
        <v>0</v>
      </c>
      <c r="H1926" s="53">
        <v>0</v>
      </c>
      <c r="I1926" s="53">
        <v>0</v>
      </c>
      <c r="J1926" s="53">
        <v>0</v>
      </c>
      <c r="K1926" s="53">
        <v>0</v>
      </c>
      <c r="L1926" s="53">
        <v>0</v>
      </c>
      <c r="M1926" s="53">
        <v>0</v>
      </c>
      <c r="N1926" s="53">
        <v>0</v>
      </c>
      <c r="O1926" s="53">
        <v>0</v>
      </c>
      <c r="P1926" s="53">
        <v>44557201.5</v>
      </c>
      <c r="Q1926" s="53">
        <v>0</v>
      </c>
      <c r="R1926" s="53">
        <v>0</v>
      </c>
    </row>
    <row r="1927" spans="1:18" x14ac:dyDescent="0.25">
      <c r="A1927" s="25" t="s">
        <v>3</v>
      </c>
      <c r="B1927" s="26">
        <v>2016</v>
      </c>
      <c r="C1927" s="74" t="s">
        <v>0</v>
      </c>
      <c r="D1927" s="27">
        <v>0</v>
      </c>
      <c r="E1927" s="54">
        <v>800563269.12</v>
      </c>
      <c r="F1927" s="54">
        <v>513517292.57999998</v>
      </c>
      <c r="G1927" s="53">
        <v>0</v>
      </c>
      <c r="H1927" s="53">
        <v>0</v>
      </c>
      <c r="I1927" s="53">
        <v>0</v>
      </c>
      <c r="J1927" s="53">
        <v>0</v>
      </c>
      <c r="K1927" s="53">
        <v>0</v>
      </c>
      <c r="L1927" s="53">
        <v>0</v>
      </c>
      <c r="M1927" s="53">
        <v>0</v>
      </c>
      <c r="N1927" s="53">
        <v>0</v>
      </c>
      <c r="O1927" s="53">
        <v>0</v>
      </c>
      <c r="P1927" s="53">
        <v>0</v>
      </c>
      <c r="Q1927" s="53">
        <v>0</v>
      </c>
      <c r="R1927" s="53">
        <v>81946441.700000003</v>
      </c>
    </row>
    <row r="1928" spans="1:18" x14ac:dyDescent="0.25">
      <c r="A1928" s="25" t="s">
        <v>361</v>
      </c>
      <c r="B1928" s="26">
        <v>2016</v>
      </c>
      <c r="C1928" s="74" t="s">
        <v>379</v>
      </c>
      <c r="D1928" s="27">
        <v>0</v>
      </c>
      <c r="E1928" s="53">
        <v>3389977352.3299999</v>
      </c>
      <c r="F1928" s="53">
        <v>3389977352.3299999</v>
      </c>
      <c r="G1928" s="53">
        <v>0</v>
      </c>
      <c r="H1928" s="53">
        <v>0</v>
      </c>
      <c r="I1928" s="53">
        <v>0</v>
      </c>
      <c r="J1928" s="53">
        <v>0</v>
      </c>
      <c r="K1928" s="53">
        <v>0</v>
      </c>
      <c r="L1928" s="53">
        <v>0</v>
      </c>
      <c r="M1928" s="53">
        <v>0</v>
      </c>
      <c r="N1928" s="53">
        <v>0</v>
      </c>
      <c r="O1928" s="53">
        <v>0</v>
      </c>
      <c r="P1928" s="53">
        <v>0</v>
      </c>
      <c r="Q1928" s="53">
        <v>0</v>
      </c>
      <c r="R1928" s="53">
        <v>718426687.33000004</v>
      </c>
    </row>
    <row r="1929" spans="1:18" x14ac:dyDescent="0.25">
      <c r="A1929" s="2" t="s">
        <v>360</v>
      </c>
      <c r="B1929" s="2">
        <v>2017</v>
      </c>
      <c r="C1929" s="75" t="s">
        <v>359</v>
      </c>
      <c r="D1929" s="27">
        <v>243488000000</v>
      </c>
      <c r="E1929" s="56">
        <v>243488000000</v>
      </c>
      <c r="F1929" s="56">
        <v>243488000000</v>
      </c>
      <c r="G1929" s="56">
        <v>19399732111.130001</v>
      </c>
      <c r="H1929" s="56">
        <v>17656113344.41</v>
      </c>
      <c r="I1929" s="56">
        <v>19254702611.919998</v>
      </c>
      <c r="J1929" s="56">
        <v>20794066941.119999</v>
      </c>
      <c r="K1929" s="56">
        <v>18842215762.509998</v>
      </c>
      <c r="L1929" s="56">
        <v>20588170347.880001</v>
      </c>
      <c r="M1929" s="56">
        <v>19926793652.450001</v>
      </c>
      <c r="N1929" s="56">
        <v>19230102494.759998</v>
      </c>
      <c r="O1929" s="56">
        <v>19830122415.689999</v>
      </c>
      <c r="P1929" s="56">
        <v>23554187192.650002</v>
      </c>
      <c r="Q1929" s="56">
        <v>20165422506.5</v>
      </c>
      <c r="R1929" s="56">
        <v>21330585340.5</v>
      </c>
    </row>
    <row r="1930" spans="1:18" x14ac:dyDescent="0.25">
      <c r="A1930" s="2" t="s">
        <v>358</v>
      </c>
      <c r="B1930" s="2">
        <v>2017</v>
      </c>
      <c r="C1930" s="75" t="s">
        <v>357</v>
      </c>
      <c r="D1930" s="27">
        <v>145000000000</v>
      </c>
      <c r="E1930" s="56">
        <v>145000000000</v>
      </c>
      <c r="F1930" s="56">
        <v>145000000000</v>
      </c>
      <c r="G1930" s="56">
        <v>13553286750.98</v>
      </c>
      <c r="H1930" s="56">
        <v>11520709222.51</v>
      </c>
      <c r="I1930" s="56">
        <v>12819781646.09</v>
      </c>
      <c r="J1930" s="56">
        <v>17395360057.450001</v>
      </c>
      <c r="K1930" s="56">
        <v>12935356080.27</v>
      </c>
      <c r="L1930" s="56">
        <v>13622398837.700001</v>
      </c>
      <c r="M1930" s="56">
        <v>12529310376.629999</v>
      </c>
      <c r="N1930" s="56">
        <v>12362705562.129999</v>
      </c>
      <c r="O1930" s="56">
        <v>12547407043.280001</v>
      </c>
      <c r="P1930" s="56">
        <v>13159878070.620001</v>
      </c>
      <c r="Q1930" s="56">
        <v>12544369740.879999</v>
      </c>
      <c r="R1930" s="56">
        <v>12843258305.1</v>
      </c>
    </row>
    <row r="1931" spans="1:18" x14ac:dyDescent="0.25">
      <c r="A1931" s="2" t="s">
        <v>356</v>
      </c>
      <c r="B1931" s="2">
        <v>2017</v>
      </c>
      <c r="C1931" s="75" t="s">
        <v>355</v>
      </c>
      <c r="D1931" s="27">
        <v>64975000000</v>
      </c>
      <c r="E1931" s="56">
        <v>64975000000</v>
      </c>
      <c r="F1931" s="56">
        <v>64975000000</v>
      </c>
      <c r="G1931" s="56">
        <v>1761285704.3599999</v>
      </c>
      <c r="H1931" s="56">
        <v>752917809.17999995</v>
      </c>
      <c r="I1931" s="56">
        <v>5238284614.8599997</v>
      </c>
      <c r="J1931" s="56">
        <v>2476536916.6500001</v>
      </c>
      <c r="K1931" s="56">
        <v>916280095.36000001</v>
      </c>
      <c r="L1931" s="56">
        <v>5087070776.4499998</v>
      </c>
      <c r="M1931" s="56">
        <v>2593265419.3600001</v>
      </c>
      <c r="N1931" s="56">
        <v>659619667.00999999</v>
      </c>
      <c r="O1931" s="56">
        <v>4839095584.0200005</v>
      </c>
      <c r="P1931" s="56">
        <v>3541147397.5</v>
      </c>
      <c r="Q1931" s="56">
        <v>2622069437.6399999</v>
      </c>
      <c r="R1931" s="56">
        <v>17625728919.77</v>
      </c>
    </row>
    <row r="1932" spans="1:18" x14ac:dyDescent="0.25">
      <c r="A1932" s="2" t="s">
        <v>353</v>
      </c>
      <c r="B1932" s="2">
        <v>2017</v>
      </c>
      <c r="C1932" s="75" t="s">
        <v>352</v>
      </c>
      <c r="D1932" s="27">
        <v>100000000000</v>
      </c>
      <c r="E1932" s="56">
        <v>100000000000</v>
      </c>
      <c r="F1932" s="56">
        <v>100000000000</v>
      </c>
      <c r="G1932" s="56">
        <v>10183101923.059999</v>
      </c>
      <c r="H1932" s="56">
        <v>4962248645.7299995</v>
      </c>
      <c r="I1932" s="56">
        <v>20686643712.82</v>
      </c>
      <c r="J1932" s="56">
        <v>5838102679.7299995</v>
      </c>
      <c r="K1932" s="56">
        <v>5237821814.8599997</v>
      </c>
      <c r="L1932" s="56">
        <v>17060653579.76</v>
      </c>
      <c r="M1932" s="56">
        <v>6206065179.6599998</v>
      </c>
      <c r="N1932" s="56">
        <v>5576547037.6599998</v>
      </c>
      <c r="O1932" s="56">
        <v>16583657186.440001</v>
      </c>
      <c r="P1932" s="56">
        <v>6406206083.3299999</v>
      </c>
      <c r="Q1932" s="56">
        <v>6005482426.1199999</v>
      </c>
      <c r="R1932" s="56">
        <v>17551964926.290001</v>
      </c>
    </row>
    <row r="1933" spans="1:18" x14ac:dyDescent="0.25">
      <c r="A1933" s="2" t="s">
        <v>351</v>
      </c>
      <c r="B1933" s="2">
        <v>2017</v>
      </c>
      <c r="C1933" s="75" t="s">
        <v>350</v>
      </c>
      <c r="D1933" s="27">
        <v>683550000000</v>
      </c>
      <c r="E1933" s="56">
        <v>683550000000</v>
      </c>
      <c r="F1933" s="56">
        <v>683550000000</v>
      </c>
      <c r="G1933" s="56">
        <v>17366773667.23</v>
      </c>
      <c r="H1933" s="56">
        <v>14505265859.860001</v>
      </c>
      <c r="I1933" s="56">
        <v>160681537789.19</v>
      </c>
      <c r="J1933" s="56">
        <v>19782228865.049999</v>
      </c>
      <c r="K1933" s="56">
        <v>11776548518.66</v>
      </c>
      <c r="L1933" s="56">
        <v>126685350477.53999</v>
      </c>
      <c r="M1933" s="56">
        <v>20374828517.18</v>
      </c>
      <c r="N1933" s="56">
        <v>11056017282.73</v>
      </c>
      <c r="O1933" s="56">
        <v>120372729717.03999</v>
      </c>
      <c r="P1933" s="56">
        <v>25745331707.630001</v>
      </c>
      <c r="Q1933" s="56">
        <v>15266052478.389999</v>
      </c>
      <c r="R1933" s="56">
        <v>177968152330.48999</v>
      </c>
    </row>
    <row r="1934" spans="1:18" x14ac:dyDescent="0.25">
      <c r="A1934" s="2" t="s">
        <v>348</v>
      </c>
      <c r="B1934" s="2">
        <v>2017</v>
      </c>
      <c r="C1934" s="75" t="s">
        <v>344</v>
      </c>
      <c r="D1934" s="27">
        <v>723000000</v>
      </c>
      <c r="E1934" s="56">
        <v>723000000</v>
      </c>
      <c r="F1934" s="56">
        <v>723000000</v>
      </c>
      <c r="G1934" s="56">
        <v>19312771</v>
      </c>
      <c r="H1934" s="56">
        <v>353510779</v>
      </c>
      <c r="I1934" s="56">
        <v>94688996.920000002</v>
      </c>
      <c r="J1934" s="56">
        <v>41863600</v>
      </c>
      <c r="K1934" s="56">
        <v>44088126</v>
      </c>
      <c r="L1934" s="56">
        <v>27516629.73</v>
      </c>
      <c r="M1934" s="56">
        <v>34726722</v>
      </c>
      <c r="N1934" s="56">
        <v>22166865</v>
      </c>
      <c r="O1934" s="56">
        <v>29877626</v>
      </c>
      <c r="P1934" s="56">
        <v>27024245</v>
      </c>
      <c r="Q1934" s="56">
        <v>46811471</v>
      </c>
      <c r="R1934" s="56">
        <v>92213856</v>
      </c>
    </row>
    <row r="1935" spans="1:18" x14ac:dyDescent="0.25">
      <c r="A1935" s="2" t="s">
        <v>347</v>
      </c>
      <c r="B1935" s="2">
        <v>2017</v>
      </c>
      <c r="C1935" s="75" t="s">
        <v>342</v>
      </c>
      <c r="D1935" s="27">
        <v>31122000000</v>
      </c>
      <c r="E1935" s="56">
        <v>31122000000</v>
      </c>
      <c r="F1935" s="56">
        <v>31122000000</v>
      </c>
      <c r="G1935" s="56">
        <v>3745036033.4699998</v>
      </c>
      <c r="H1935" s="56">
        <v>1568715324.71</v>
      </c>
      <c r="I1935" s="56">
        <v>2680006056.6500001</v>
      </c>
      <c r="J1935" s="56">
        <v>2371597305.04</v>
      </c>
      <c r="K1935" s="56">
        <v>1243463892.77</v>
      </c>
      <c r="L1935" s="56">
        <v>1525355823.6800001</v>
      </c>
      <c r="M1935" s="56">
        <v>5603780499.9399996</v>
      </c>
      <c r="N1935" s="56">
        <v>2173909420.6900001</v>
      </c>
      <c r="O1935" s="56">
        <v>930921548.90999997</v>
      </c>
      <c r="P1935" s="56">
        <v>1867836109.3499999</v>
      </c>
      <c r="Q1935" s="56">
        <v>2494556673.5700002</v>
      </c>
      <c r="R1935" s="56">
        <v>4912414618.5600004</v>
      </c>
    </row>
    <row r="1936" spans="1:18" x14ac:dyDescent="0.25">
      <c r="A1936" s="2" t="s">
        <v>345</v>
      </c>
      <c r="B1936" s="2">
        <v>2017</v>
      </c>
      <c r="C1936" s="75" t="s">
        <v>344</v>
      </c>
      <c r="D1936" s="27">
        <v>43783000000</v>
      </c>
      <c r="E1936" s="56">
        <v>43783000000</v>
      </c>
      <c r="F1936" s="56">
        <v>43783000000</v>
      </c>
      <c r="G1936" s="56">
        <v>5992506069.4799995</v>
      </c>
      <c r="H1936" s="56">
        <v>2651587202.23</v>
      </c>
      <c r="I1936" s="56">
        <v>1145006997.1400001</v>
      </c>
      <c r="J1936" s="56">
        <v>6812285098.3100004</v>
      </c>
      <c r="K1936" s="56">
        <v>2626796798.3299999</v>
      </c>
      <c r="L1936" s="56">
        <v>4934673358.2600002</v>
      </c>
      <c r="M1936" s="56">
        <v>4953897017.6000004</v>
      </c>
      <c r="N1936" s="56">
        <v>2530441773.54</v>
      </c>
      <c r="O1936" s="56">
        <v>1456692917.1500001</v>
      </c>
      <c r="P1936" s="56">
        <v>5953557644.6700001</v>
      </c>
      <c r="Q1936" s="56">
        <v>2347775348.4400001</v>
      </c>
      <c r="R1936" s="56">
        <v>5580904637.5299997</v>
      </c>
    </row>
    <row r="1937" spans="1:18" x14ac:dyDescent="0.25">
      <c r="A1937" s="2" t="s">
        <v>343</v>
      </c>
      <c r="B1937" s="2">
        <v>2017</v>
      </c>
      <c r="C1937" s="75" t="s">
        <v>342</v>
      </c>
      <c r="D1937" s="27">
        <v>20572000000</v>
      </c>
      <c r="E1937" s="56">
        <v>20572000000</v>
      </c>
      <c r="F1937" s="56">
        <v>20572000000</v>
      </c>
      <c r="G1937" s="56">
        <v>1502905714.55</v>
      </c>
      <c r="H1937" s="56">
        <v>1677883683.05</v>
      </c>
      <c r="I1937" s="56">
        <v>1476663291.3599999</v>
      </c>
      <c r="J1937" s="56">
        <v>1572023033.3499999</v>
      </c>
      <c r="K1937" s="56">
        <v>1773401537.02</v>
      </c>
      <c r="L1937" s="56">
        <v>1595890258.5899999</v>
      </c>
      <c r="M1937" s="56">
        <v>1817456470.1199999</v>
      </c>
      <c r="N1937" s="56">
        <v>1873004315.73</v>
      </c>
      <c r="O1937" s="56">
        <v>1905197506.3499999</v>
      </c>
      <c r="P1937" s="56">
        <v>1851803710.0599999</v>
      </c>
      <c r="Q1937" s="56">
        <v>2121483434.26</v>
      </c>
      <c r="R1937" s="56">
        <v>2261276651.1599998</v>
      </c>
    </row>
    <row r="1938" spans="1:18" x14ac:dyDescent="0.25">
      <c r="A1938" s="2" t="s">
        <v>340</v>
      </c>
      <c r="B1938" s="2">
        <v>2017</v>
      </c>
      <c r="C1938" s="75" t="s">
        <v>339</v>
      </c>
      <c r="D1938" s="27">
        <v>162000000000</v>
      </c>
      <c r="E1938" s="56">
        <v>162000000000</v>
      </c>
      <c r="F1938" s="56">
        <v>162000000000</v>
      </c>
      <c r="G1938" s="56">
        <v>22945360397.77</v>
      </c>
      <c r="H1938" s="56">
        <v>9397123545.6499996</v>
      </c>
      <c r="I1938" s="56">
        <v>16352230281.27</v>
      </c>
      <c r="J1938" s="56">
        <v>11638291867.16</v>
      </c>
      <c r="K1938" s="56">
        <v>9814202710.8999996</v>
      </c>
      <c r="L1938" s="56">
        <v>15206801712.860001</v>
      </c>
      <c r="M1938" s="56">
        <v>18630809954.560001</v>
      </c>
      <c r="N1938" s="56">
        <v>9169235134.2999992</v>
      </c>
      <c r="O1938" s="56">
        <v>18434509978.290001</v>
      </c>
      <c r="P1938" s="56">
        <v>12618108639.18</v>
      </c>
      <c r="Q1938" s="56">
        <v>12283771528.299999</v>
      </c>
      <c r="R1938" s="56">
        <v>14789937988.870001</v>
      </c>
    </row>
    <row r="1939" spans="1:18" x14ac:dyDescent="0.25">
      <c r="A1939" s="2" t="s">
        <v>338</v>
      </c>
      <c r="B1939" s="2">
        <v>2017</v>
      </c>
      <c r="C1939" s="75" t="s">
        <v>337</v>
      </c>
      <c r="D1939" s="27">
        <v>0</v>
      </c>
      <c r="E1939" s="56">
        <v>0</v>
      </c>
      <c r="F1939" s="56">
        <v>0</v>
      </c>
      <c r="G1939" s="56">
        <v>0</v>
      </c>
      <c r="H1939" s="56">
        <v>0</v>
      </c>
      <c r="I1939" s="56">
        <v>0</v>
      </c>
      <c r="J1939" s="56">
        <v>4489975.66</v>
      </c>
      <c r="K1939" s="56">
        <v>1442636.47</v>
      </c>
      <c r="L1939" s="56">
        <v>1576169.47</v>
      </c>
      <c r="M1939" s="56">
        <v>1063655.3999999999</v>
      </c>
      <c r="N1939" s="56">
        <v>2154510.4</v>
      </c>
      <c r="O1939" s="56">
        <v>1430594.99</v>
      </c>
      <c r="P1939" s="56">
        <v>1423596.36</v>
      </c>
      <c r="Q1939" s="56">
        <v>1734728.7</v>
      </c>
      <c r="R1939" s="56">
        <v>2188092.91</v>
      </c>
    </row>
    <row r="1940" spans="1:18" x14ac:dyDescent="0.25">
      <c r="A1940" s="2" t="s">
        <v>335</v>
      </c>
      <c r="B1940" s="2">
        <v>2017</v>
      </c>
      <c r="C1940" s="75" t="s">
        <v>334</v>
      </c>
      <c r="D1940" s="27">
        <v>4000000000</v>
      </c>
      <c r="E1940" s="56">
        <v>4000000000</v>
      </c>
      <c r="F1940" s="56">
        <v>4000000000</v>
      </c>
      <c r="G1940" s="56">
        <v>3414956158</v>
      </c>
      <c r="H1940" s="56">
        <v>171385666</v>
      </c>
      <c r="I1940" s="56">
        <v>136582818</v>
      </c>
      <c r="J1940" s="56">
        <v>85358541</v>
      </c>
      <c r="K1940" s="56">
        <v>59835887</v>
      </c>
      <c r="L1940" s="56">
        <v>64728651.030000001</v>
      </c>
      <c r="M1940" s="56">
        <v>43470428</v>
      </c>
      <c r="N1940" s="56">
        <v>78577084</v>
      </c>
      <c r="O1940" s="56">
        <v>23807910</v>
      </c>
      <c r="P1940" s="56">
        <v>51026451</v>
      </c>
      <c r="Q1940" s="56">
        <v>47173178</v>
      </c>
      <c r="R1940" s="56">
        <v>77712455</v>
      </c>
    </row>
    <row r="1941" spans="1:18" x14ac:dyDescent="0.25">
      <c r="A1941" s="2" t="s">
        <v>332</v>
      </c>
      <c r="B1941" s="2">
        <v>2017</v>
      </c>
      <c r="C1941" s="75" t="s">
        <v>331</v>
      </c>
      <c r="D1941" s="27">
        <v>183000000000</v>
      </c>
      <c r="E1941" s="56">
        <v>183000000000</v>
      </c>
      <c r="F1941" s="56">
        <v>183000000000</v>
      </c>
      <c r="G1941" s="56">
        <v>9111209288.0100002</v>
      </c>
      <c r="H1941" s="56">
        <v>3357857969.04</v>
      </c>
      <c r="I1941" s="56">
        <v>2488314301.1500001</v>
      </c>
      <c r="J1941" s="56">
        <v>1946218282.23</v>
      </c>
      <c r="K1941" s="56">
        <v>2854476474.27</v>
      </c>
      <c r="L1941" s="56">
        <v>2129769542.1600001</v>
      </c>
      <c r="M1941" s="56">
        <v>928623503</v>
      </c>
      <c r="N1941" s="56">
        <v>1112739635.45</v>
      </c>
      <c r="O1941" s="56">
        <v>1056931237.66</v>
      </c>
      <c r="P1941" s="56">
        <v>704973302.01999998</v>
      </c>
      <c r="Q1941" s="56">
        <v>22003744629.759998</v>
      </c>
      <c r="R1941" s="56">
        <v>116339335927.67999</v>
      </c>
    </row>
    <row r="1942" spans="1:18" x14ac:dyDescent="0.25">
      <c r="A1942" s="2" t="s">
        <v>329</v>
      </c>
      <c r="B1942" s="2">
        <v>2017</v>
      </c>
      <c r="C1942" s="75" t="s">
        <v>328</v>
      </c>
      <c r="D1942" s="27">
        <v>177000000</v>
      </c>
      <c r="E1942" s="56">
        <v>177000000</v>
      </c>
      <c r="F1942" s="56">
        <v>177000000</v>
      </c>
      <c r="G1942" s="56">
        <v>13899713</v>
      </c>
      <c r="H1942" s="56">
        <v>5239126</v>
      </c>
      <c r="I1942" s="56">
        <v>3850742</v>
      </c>
      <c r="J1942" s="56">
        <v>2798453</v>
      </c>
      <c r="K1942" s="56">
        <v>3098168</v>
      </c>
      <c r="L1942" s="56">
        <v>2732052</v>
      </c>
      <c r="M1942" s="56">
        <v>7126271</v>
      </c>
      <c r="N1942" s="56">
        <v>1869135</v>
      </c>
      <c r="O1942" s="56">
        <v>1883623</v>
      </c>
      <c r="P1942" s="56">
        <v>1484469</v>
      </c>
      <c r="Q1942" s="56">
        <v>149778447</v>
      </c>
      <c r="R1942" s="56">
        <v>1090609069</v>
      </c>
    </row>
    <row r="1943" spans="1:18" x14ac:dyDescent="0.25">
      <c r="A1943" s="2" t="s">
        <v>325</v>
      </c>
      <c r="B1943" s="2">
        <v>2017</v>
      </c>
      <c r="C1943" s="75" t="s">
        <v>324</v>
      </c>
      <c r="D1943" s="27">
        <v>412000000</v>
      </c>
      <c r="E1943" s="56">
        <v>412000000</v>
      </c>
      <c r="F1943" s="56">
        <v>412000000</v>
      </c>
      <c r="G1943" s="56">
        <v>27078251.100000001</v>
      </c>
      <c r="H1943" s="56">
        <v>19245058.870000001</v>
      </c>
      <c r="I1943" s="56">
        <v>18281865.359999999</v>
      </c>
      <c r="J1943" s="56">
        <v>178401730.75</v>
      </c>
      <c r="K1943" s="56">
        <v>66972759.43</v>
      </c>
      <c r="L1943" s="56">
        <v>102939893.20999999</v>
      </c>
      <c r="M1943" s="56">
        <v>16823540.030000001</v>
      </c>
      <c r="N1943" s="56">
        <v>9779027.4000000004</v>
      </c>
      <c r="O1943" s="56">
        <v>11393956.93</v>
      </c>
      <c r="P1943" s="56">
        <v>18619652.129999999</v>
      </c>
      <c r="Q1943" s="56">
        <v>20485300.710000001</v>
      </c>
      <c r="R1943" s="56">
        <v>17774652.059999999</v>
      </c>
    </row>
    <row r="1944" spans="1:18" x14ac:dyDescent="0.25">
      <c r="A1944" s="2" t="s">
        <v>378</v>
      </c>
      <c r="B1944" s="2">
        <v>2017</v>
      </c>
      <c r="C1944" s="75" t="s">
        <v>411</v>
      </c>
      <c r="D1944" s="27">
        <v>1000000000</v>
      </c>
      <c r="E1944" s="56">
        <v>1000000000</v>
      </c>
      <c r="F1944" s="56">
        <v>1000000000</v>
      </c>
      <c r="G1944" s="56">
        <v>352029182.11000001</v>
      </c>
      <c r="H1944" s="56">
        <v>552998194.99000001</v>
      </c>
      <c r="I1944" s="56">
        <v>435768842.75999999</v>
      </c>
      <c r="J1944" s="56">
        <v>233436062.80000001</v>
      </c>
      <c r="K1944" s="56">
        <v>476573841.73000002</v>
      </c>
      <c r="L1944" s="56">
        <v>373406366.94</v>
      </c>
      <c r="M1944" s="56">
        <v>322430683.50999999</v>
      </c>
      <c r="N1944" s="56">
        <v>756183847.66999996</v>
      </c>
      <c r="O1944" s="56">
        <v>42691796.840000004</v>
      </c>
      <c r="P1944" s="56">
        <v>0</v>
      </c>
      <c r="Q1944" s="56">
        <v>0</v>
      </c>
      <c r="R1944" s="56">
        <v>0</v>
      </c>
    </row>
    <row r="1945" spans="1:18" x14ac:dyDescent="0.25">
      <c r="A1945" s="2" t="s">
        <v>323</v>
      </c>
      <c r="B1945" s="2">
        <v>2017</v>
      </c>
      <c r="C1945" s="75" t="s">
        <v>321</v>
      </c>
      <c r="D1945" s="27">
        <v>0</v>
      </c>
      <c r="E1945" s="56">
        <v>6825000000</v>
      </c>
      <c r="F1945" s="56">
        <v>6825000000</v>
      </c>
      <c r="G1945" s="56">
        <v>0</v>
      </c>
      <c r="H1945" s="56">
        <v>0</v>
      </c>
      <c r="I1945" s="56">
        <v>0</v>
      </c>
      <c r="J1945" s="56">
        <v>0</v>
      </c>
      <c r="K1945" s="56">
        <v>0</v>
      </c>
      <c r="L1945" s="56">
        <v>0</v>
      </c>
      <c r="M1945" s="56">
        <v>0</v>
      </c>
      <c r="N1945" s="56">
        <v>0</v>
      </c>
      <c r="O1945" s="56">
        <v>2488701730</v>
      </c>
      <c r="P1945" s="56">
        <v>4020420644.0900002</v>
      </c>
      <c r="Q1945" s="56">
        <v>1636510949.3299999</v>
      </c>
      <c r="R1945" s="56">
        <v>1946848634.28</v>
      </c>
    </row>
    <row r="1946" spans="1:18" x14ac:dyDescent="0.25">
      <c r="A1946" s="2" t="s">
        <v>320</v>
      </c>
      <c r="B1946" s="2">
        <v>2017</v>
      </c>
      <c r="C1946" s="75" t="s">
        <v>319</v>
      </c>
      <c r="D1946" s="27">
        <v>40200000000</v>
      </c>
      <c r="E1946" s="56">
        <v>40200000000</v>
      </c>
      <c r="F1946" s="56">
        <v>40200000000</v>
      </c>
      <c r="G1946" s="56">
        <v>2563682519</v>
      </c>
      <c r="H1946" s="56">
        <v>3486701822</v>
      </c>
      <c r="I1946" s="56">
        <v>3449797749</v>
      </c>
      <c r="J1946" s="56">
        <v>3258342356</v>
      </c>
      <c r="K1946" s="56">
        <v>3422324852</v>
      </c>
      <c r="L1946" s="56">
        <v>3583789800.5</v>
      </c>
      <c r="M1946" s="56">
        <v>3115591314</v>
      </c>
      <c r="N1946" s="56">
        <v>3809303252</v>
      </c>
      <c r="O1946" s="56">
        <v>2982714632.73</v>
      </c>
      <c r="P1946" s="56">
        <v>2693688047.7800002</v>
      </c>
      <c r="Q1946" s="56">
        <v>3103439810</v>
      </c>
      <c r="R1946" s="56">
        <v>3329648119.5</v>
      </c>
    </row>
    <row r="1947" spans="1:18" x14ac:dyDescent="0.25">
      <c r="A1947" s="2" t="s">
        <v>317</v>
      </c>
      <c r="B1947" s="2">
        <v>2017</v>
      </c>
      <c r="C1947" s="75" t="s">
        <v>316</v>
      </c>
      <c r="D1947" s="27">
        <v>25000000000</v>
      </c>
      <c r="E1947" s="56">
        <v>25000000000</v>
      </c>
      <c r="F1947" s="56">
        <v>25000000000</v>
      </c>
      <c r="G1947" s="56">
        <v>1875701925</v>
      </c>
      <c r="H1947" s="56">
        <v>1951518550</v>
      </c>
      <c r="I1947" s="56">
        <v>2096243773.8399999</v>
      </c>
      <c r="J1947" s="56">
        <v>1366156866.6300001</v>
      </c>
      <c r="K1947" s="56">
        <v>1889310557</v>
      </c>
      <c r="L1947" s="56">
        <v>1943932519</v>
      </c>
      <c r="M1947" s="56">
        <v>1698048389</v>
      </c>
      <c r="N1947" s="56">
        <v>1929619998</v>
      </c>
      <c r="O1947" s="56">
        <v>1693065135</v>
      </c>
      <c r="P1947" s="56">
        <v>1758681902.5599999</v>
      </c>
      <c r="Q1947" s="56">
        <v>2036450282</v>
      </c>
      <c r="R1947" s="56">
        <v>1632934379</v>
      </c>
    </row>
    <row r="1948" spans="1:18" x14ac:dyDescent="0.25">
      <c r="A1948" s="2" t="s">
        <v>313</v>
      </c>
      <c r="B1948" s="2">
        <v>2017</v>
      </c>
      <c r="C1948" s="75" t="s">
        <v>312</v>
      </c>
      <c r="D1948" s="27">
        <v>828400000000</v>
      </c>
      <c r="E1948" s="56">
        <v>828400000000</v>
      </c>
      <c r="F1948" s="56">
        <v>828400000000</v>
      </c>
      <c r="G1948" s="56">
        <v>81463650557.25</v>
      </c>
      <c r="H1948" s="56">
        <v>63199794615.080002</v>
      </c>
      <c r="I1948" s="56">
        <v>61936712085.410004</v>
      </c>
      <c r="J1948" s="56">
        <v>60117410380.099998</v>
      </c>
      <c r="K1948" s="56">
        <v>63128167259.18</v>
      </c>
      <c r="L1948" s="56">
        <v>59570557122.940002</v>
      </c>
      <c r="M1948" s="56">
        <v>59567443447.07</v>
      </c>
      <c r="N1948" s="56">
        <v>62659069467.099998</v>
      </c>
      <c r="O1948" s="56">
        <v>60273948923.650002</v>
      </c>
      <c r="P1948" s="56">
        <v>57076252093.519997</v>
      </c>
      <c r="Q1948" s="56">
        <v>59459944417.779999</v>
      </c>
      <c r="R1948" s="56">
        <v>66631846299.239998</v>
      </c>
    </row>
    <row r="1949" spans="1:18" x14ac:dyDescent="0.25">
      <c r="A1949" s="2" t="s">
        <v>310</v>
      </c>
      <c r="B1949" s="2">
        <v>2017</v>
      </c>
      <c r="C1949" s="75" t="s">
        <v>309</v>
      </c>
      <c r="D1949" s="27">
        <v>734600000000</v>
      </c>
      <c r="E1949" s="56">
        <v>734600000000</v>
      </c>
      <c r="F1949" s="56">
        <v>734600000000</v>
      </c>
      <c r="G1949" s="56">
        <v>54137541335.389999</v>
      </c>
      <c r="H1949" s="56">
        <v>51051489861.529999</v>
      </c>
      <c r="I1949" s="56">
        <v>63298005864.660004</v>
      </c>
      <c r="J1949" s="56">
        <v>50354742590.970001</v>
      </c>
      <c r="K1949" s="56">
        <v>61467854300.540001</v>
      </c>
      <c r="L1949" s="56">
        <v>60313665570.650002</v>
      </c>
      <c r="M1949" s="56">
        <v>52803885947.279999</v>
      </c>
      <c r="N1949" s="56">
        <v>58240786004.260002</v>
      </c>
      <c r="O1949" s="56">
        <v>55369186009.43</v>
      </c>
      <c r="P1949" s="56">
        <v>64061682793.080002</v>
      </c>
      <c r="Q1949" s="56">
        <v>71688490449.449997</v>
      </c>
      <c r="R1949" s="56">
        <v>55475734324.839996</v>
      </c>
    </row>
    <row r="1950" spans="1:18" x14ac:dyDescent="0.25">
      <c r="A1950" s="2" t="s">
        <v>306</v>
      </c>
      <c r="B1950" s="2">
        <v>2017</v>
      </c>
      <c r="C1950" s="75" t="s">
        <v>305</v>
      </c>
      <c r="D1950" s="27">
        <v>24500000000</v>
      </c>
      <c r="E1950" s="56">
        <v>24500000000</v>
      </c>
      <c r="F1950" s="56">
        <v>24500000000</v>
      </c>
      <c r="G1950" s="56">
        <v>2917176922.6900001</v>
      </c>
      <c r="H1950" s="56">
        <v>916989685.34000003</v>
      </c>
      <c r="I1950" s="56">
        <v>1455371014.2</v>
      </c>
      <c r="J1950" s="56">
        <v>4756437437.8800001</v>
      </c>
      <c r="K1950" s="56">
        <v>1034397550.26</v>
      </c>
      <c r="L1950" s="56">
        <v>1125812673.48</v>
      </c>
      <c r="M1950" s="56">
        <v>1683792097.3199999</v>
      </c>
      <c r="N1950" s="56">
        <v>3887189105.9499998</v>
      </c>
      <c r="O1950" s="56">
        <v>947022282.70000005</v>
      </c>
      <c r="P1950" s="56">
        <v>787701497.40999997</v>
      </c>
      <c r="Q1950" s="56">
        <v>1073766237.02</v>
      </c>
      <c r="R1950" s="56">
        <v>1554830708.5999999</v>
      </c>
    </row>
    <row r="1951" spans="1:18" x14ac:dyDescent="0.25">
      <c r="A1951" s="2" t="s">
        <v>303</v>
      </c>
      <c r="B1951" s="2">
        <v>2017</v>
      </c>
      <c r="C1951" s="75" t="s">
        <v>302</v>
      </c>
      <c r="D1951" s="27">
        <v>266000000000</v>
      </c>
      <c r="E1951" s="56">
        <v>266000000000</v>
      </c>
      <c r="F1951" s="56">
        <v>266000000000</v>
      </c>
      <c r="G1951" s="56">
        <v>16711895008.790001</v>
      </c>
      <c r="H1951" s="56">
        <v>15701892046.120001</v>
      </c>
      <c r="I1951" s="56">
        <v>23963301080.439999</v>
      </c>
      <c r="J1951" s="56">
        <v>20798719366.68</v>
      </c>
      <c r="K1951" s="56">
        <v>20138257052.560001</v>
      </c>
      <c r="L1951" s="56">
        <v>16834926872.030001</v>
      </c>
      <c r="M1951" s="56">
        <v>15202971759.33</v>
      </c>
      <c r="N1951" s="56">
        <v>15789203070.6</v>
      </c>
      <c r="O1951" s="56">
        <v>18486650180.25</v>
      </c>
      <c r="P1951" s="56">
        <v>18317021689.490002</v>
      </c>
      <c r="Q1951" s="56">
        <v>23427242213.810001</v>
      </c>
      <c r="R1951" s="56">
        <v>16262086165.809999</v>
      </c>
    </row>
    <row r="1952" spans="1:18" x14ac:dyDescent="0.25">
      <c r="A1952" s="2" t="s">
        <v>298</v>
      </c>
      <c r="B1952" s="2">
        <v>2017</v>
      </c>
      <c r="C1952" s="75" t="s">
        <v>281</v>
      </c>
      <c r="D1952" s="27">
        <v>280440000000</v>
      </c>
      <c r="E1952" s="56">
        <v>280440000000</v>
      </c>
      <c r="F1952" s="56">
        <v>280440000000</v>
      </c>
      <c r="G1952" s="56">
        <v>19987907200</v>
      </c>
      <c r="H1952" s="56">
        <v>32709852882</v>
      </c>
      <c r="I1952" s="56">
        <v>21954016500</v>
      </c>
      <c r="J1952" s="56">
        <v>25545494901</v>
      </c>
      <c r="K1952" s="56">
        <v>29834127341</v>
      </c>
      <c r="L1952" s="56">
        <v>27854851611</v>
      </c>
      <c r="M1952" s="56">
        <v>21186287631</v>
      </c>
      <c r="N1952" s="56">
        <v>23249604836</v>
      </c>
      <c r="O1952" s="56">
        <v>33426983703</v>
      </c>
      <c r="P1952" s="56">
        <v>19492910248</v>
      </c>
      <c r="Q1952" s="56">
        <v>17237736067</v>
      </c>
      <c r="R1952" s="56">
        <v>35711949237</v>
      </c>
    </row>
    <row r="1953" spans="1:18" x14ac:dyDescent="0.25">
      <c r="A1953" s="2" t="s">
        <v>297</v>
      </c>
      <c r="B1953" s="2">
        <v>2017</v>
      </c>
      <c r="C1953" s="75" t="s">
        <v>287</v>
      </c>
      <c r="D1953" s="27">
        <v>211560000000</v>
      </c>
      <c r="E1953" s="56">
        <v>211560000000</v>
      </c>
      <c r="F1953" s="56">
        <v>211560000000</v>
      </c>
      <c r="G1953" s="56">
        <v>19537653064.959999</v>
      </c>
      <c r="H1953" s="56">
        <v>15117875141.16</v>
      </c>
      <c r="I1953" s="56">
        <v>21221497724.23</v>
      </c>
      <c r="J1953" s="56">
        <v>15590533154.93</v>
      </c>
      <c r="K1953" s="56">
        <v>21212993070.459999</v>
      </c>
      <c r="L1953" s="56">
        <v>13866040302.629999</v>
      </c>
      <c r="M1953" s="56">
        <v>13076369927.780001</v>
      </c>
      <c r="N1953" s="56">
        <v>13587360180.49</v>
      </c>
      <c r="O1953" s="56">
        <v>13739575465.23</v>
      </c>
      <c r="P1953" s="56">
        <v>13901584580.530001</v>
      </c>
      <c r="Q1953" s="56">
        <v>20964514893.27</v>
      </c>
      <c r="R1953" s="56">
        <v>20251710201.419998</v>
      </c>
    </row>
    <row r="1954" spans="1:18" x14ac:dyDescent="0.25">
      <c r="A1954" s="2" t="s">
        <v>295</v>
      </c>
      <c r="B1954" s="2">
        <v>2017</v>
      </c>
      <c r="C1954" s="75" t="s">
        <v>281</v>
      </c>
      <c r="D1954" s="27">
        <v>31300000000</v>
      </c>
      <c r="E1954" s="56">
        <v>31300000000</v>
      </c>
      <c r="F1954" s="56">
        <v>31300000000</v>
      </c>
      <c r="G1954" s="56">
        <v>3635780826.6199999</v>
      </c>
      <c r="H1954" s="56">
        <v>2182720832.48</v>
      </c>
      <c r="I1954" s="56">
        <v>1789009715.6800001</v>
      </c>
      <c r="J1954" s="56">
        <v>3268218579</v>
      </c>
      <c r="K1954" s="56">
        <v>2812391201.4400001</v>
      </c>
      <c r="L1954" s="56">
        <v>2701869557.3699999</v>
      </c>
      <c r="M1954" s="56">
        <v>2337168954.3800001</v>
      </c>
      <c r="N1954" s="56">
        <v>2682793344.5</v>
      </c>
      <c r="O1954" s="56">
        <v>2879322269.0700002</v>
      </c>
      <c r="P1954" s="56">
        <v>2541994231.48</v>
      </c>
      <c r="Q1954" s="56">
        <v>2475262321.54</v>
      </c>
      <c r="R1954" s="56">
        <v>3352323728.8299999</v>
      </c>
    </row>
    <row r="1955" spans="1:18" x14ac:dyDescent="0.25">
      <c r="A1955" s="2" t="s">
        <v>294</v>
      </c>
      <c r="B1955" s="2">
        <v>2017</v>
      </c>
      <c r="C1955" s="75" t="s">
        <v>287</v>
      </c>
      <c r="D1955" s="27">
        <v>12000000000</v>
      </c>
      <c r="E1955" s="56">
        <v>12000000000</v>
      </c>
      <c r="F1955" s="56">
        <v>12000000000</v>
      </c>
      <c r="G1955" s="56">
        <v>683147540.88</v>
      </c>
      <c r="H1955" s="56">
        <v>783044314.86000001</v>
      </c>
      <c r="I1955" s="56">
        <v>965775491.86000001</v>
      </c>
      <c r="J1955" s="56">
        <v>852838671.77999997</v>
      </c>
      <c r="K1955" s="56">
        <v>727644785.34000003</v>
      </c>
      <c r="L1955" s="56">
        <v>629597445.27999997</v>
      </c>
      <c r="M1955" s="56">
        <v>662469411.40999997</v>
      </c>
      <c r="N1955" s="56">
        <v>839734211.71000004</v>
      </c>
      <c r="O1955" s="56">
        <v>727007971.44000006</v>
      </c>
      <c r="P1955" s="56">
        <v>1249308632.8699999</v>
      </c>
      <c r="Q1955" s="56">
        <v>1377633334.04</v>
      </c>
      <c r="R1955" s="56">
        <v>1019374208.28</v>
      </c>
    </row>
    <row r="1956" spans="1:18" x14ac:dyDescent="0.25">
      <c r="A1956" s="2" t="s">
        <v>292</v>
      </c>
      <c r="B1956" s="2">
        <v>2017</v>
      </c>
      <c r="C1956" s="75" t="s">
        <v>281</v>
      </c>
      <c r="D1956" s="27">
        <v>40000000000</v>
      </c>
      <c r="E1956" s="56">
        <v>40000000000</v>
      </c>
      <c r="F1956" s="56">
        <v>40000000000</v>
      </c>
      <c r="G1956" s="56">
        <v>3401080298.6399999</v>
      </c>
      <c r="H1956" s="56">
        <v>2616566734.6700001</v>
      </c>
      <c r="I1956" s="56">
        <v>2721784824.6199999</v>
      </c>
      <c r="J1956" s="56">
        <v>3308875161.4200001</v>
      </c>
      <c r="K1956" s="56">
        <v>3123560287.48</v>
      </c>
      <c r="L1956" s="56">
        <v>3068643611.4699998</v>
      </c>
      <c r="M1956" s="56">
        <v>2906807209.79</v>
      </c>
      <c r="N1956" s="56">
        <v>2895460211.98</v>
      </c>
      <c r="O1956" s="56">
        <v>2979152163.98</v>
      </c>
      <c r="P1956" s="56">
        <v>2891207660.1100001</v>
      </c>
      <c r="Q1956" s="56">
        <v>3053589981.3699999</v>
      </c>
      <c r="R1956" s="56">
        <v>3092708967.52</v>
      </c>
    </row>
    <row r="1957" spans="1:18" x14ac:dyDescent="0.25">
      <c r="A1957" s="2" t="s">
        <v>291</v>
      </c>
      <c r="B1957" s="2">
        <v>2017</v>
      </c>
      <c r="C1957" s="75" t="s">
        <v>287</v>
      </c>
      <c r="D1957" s="27">
        <v>4000000000</v>
      </c>
      <c r="E1957" s="56">
        <v>4000000000</v>
      </c>
      <c r="F1957" s="56">
        <v>4000000000</v>
      </c>
      <c r="G1957" s="56">
        <v>273343524.12</v>
      </c>
      <c r="H1957" s="56">
        <v>253089694.78999999</v>
      </c>
      <c r="I1957" s="56">
        <v>310115091.74000001</v>
      </c>
      <c r="J1957" s="56">
        <v>208058455.61000001</v>
      </c>
      <c r="K1957" s="56">
        <v>274392208.66000003</v>
      </c>
      <c r="L1957" s="56">
        <v>310917372.22000003</v>
      </c>
      <c r="M1957" s="56">
        <v>364652219.49000001</v>
      </c>
      <c r="N1957" s="56">
        <v>366373115.5</v>
      </c>
      <c r="O1957" s="56">
        <v>294089713.66000003</v>
      </c>
      <c r="P1957" s="56">
        <v>374306809.70999998</v>
      </c>
      <c r="Q1957" s="56">
        <v>380865688.26999998</v>
      </c>
      <c r="R1957" s="56">
        <v>310907133.30000001</v>
      </c>
    </row>
    <row r="1958" spans="1:18" x14ac:dyDescent="0.25">
      <c r="A1958" s="2" t="s">
        <v>289</v>
      </c>
      <c r="B1958" s="2">
        <v>2017</v>
      </c>
      <c r="C1958" s="75" t="s">
        <v>287</v>
      </c>
      <c r="D1958" s="27">
        <v>3260000000</v>
      </c>
      <c r="E1958" s="56">
        <v>3260000000</v>
      </c>
      <c r="F1958" s="56">
        <v>3260000000</v>
      </c>
      <c r="G1958" s="56">
        <v>219735682.81</v>
      </c>
      <c r="H1958" s="56">
        <v>213358803.63</v>
      </c>
      <c r="I1958" s="56">
        <v>230249812.31999999</v>
      </c>
      <c r="J1958" s="56">
        <v>166734981.58000001</v>
      </c>
      <c r="K1958" s="56">
        <v>227870298.28</v>
      </c>
      <c r="L1958" s="56">
        <v>235401088.72999999</v>
      </c>
      <c r="M1958" s="56">
        <v>149988507.56</v>
      </c>
      <c r="N1958" s="56">
        <v>202868614.11000001</v>
      </c>
      <c r="O1958" s="56">
        <v>166032069.38</v>
      </c>
      <c r="P1958" s="56">
        <v>222865977.25999999</v>
      </c>
      <c r="Q1958" s="56">
        <v>143977227.41999999</v>
      </c>
      <c r="R1958" s="56">
        <v>152951134.87</v>
      </c>
    </row>
    <row r="1959" spans="1:18" x14ac:dyDescent="0.25">
      <c r="A1959" s="2" t="s">
        <v>286</v>
      </c>
      <c r="B1959" s="2">
        <v>2017</v>
      </c>
      <c r="C1959" s="75" t="s">
        <v>285</v>
      </c>
      <c r="D1959" s="27">
        <v>265000000</v>
      </c>
      <c r="E1959" s="56">
        <v>265000000</v>
      </c>
      <c r="F1959" s="56">
        <v>265000000</v>
      </c>
      <c r="G1959" s="56">
        <v>39335209.409999996</v>
      </c>
      <c r="H1959" s="56">
        <v>21977600.039999999</v>
      </c>
      <c r="I1959" s="56">
        <v>24929231.550000001</v>
      </c>
      <c r="J1959" s="56">
        <v>0</v>
      </c>
      <c r="K1959" s="56">
        <v>49965893.530000001</v>
      </c>
      <c r="L1959" s="56">
        <v>0</v>
      </c>
      <c r="M1959" s="56">
        <v>26889135.68</v>
      </c>
      <c r="N1959" s="56">
        <v>51357398.259999998</v>
      </c>
      <c r="O1959" s="56">
        <v>0</v>
      </c>
      <c r="P1959" s="56">
        <v>49222338.030000001</v>
      </c>
      <c r="Q1959" s="56">
        <v>22675782.010000002</v>
      </c>
      <c r="R1959" s="56">
        <v>24934531.600000001</v>
      </c>
    </row>
    <row r="1960" spans="1:18" x14ac:dyDescent="0.25">
      <c r="A1960" s="2" t="s">
        <v>283</v>
      </c>
      <c r="B1960" s="2">
        <v>2017</v>
      </c>
      <c r="C1960" s="75" t="s">
        <v>282</v>
      </c>
      <c r="D1960" s="27">
        <v>20000000000</v>
      </c>
      <c r="E1960" s="56">
        <v>20000000000</v>
      </c>
      <c r="F1960" s="56">
        <v>20000000000</v>
      </c>
      <c r="G1960" s="56">
        <v>2851703427.3000002</v>
      </c>
      <c r="H1960" s="56">
        <v>366496320</v>
      </c>
      <c r="I1960" s="56">
        <v>1201792559.5599999</v>
      </c>
      <c r="J1960" s="56">
        <v>5917840239.5</v>
      </c>
      <c r="K1960" s="56">
        <v>357477120</v>
      </c>
      <c r="L1960" s="56">
        <v>525181185</v>
      </c>
      <c r="M1960" s="56">
        <v>1359621120</v>
      </c>
      <c r="N1960" s="56">
        <v>4474042144</v>
      </c>
      <c r="O1960" s="56">
        <v>168374731.80000001</v>
      </c>
      <c r="P1960" s="56">
        <v>150704611.19999999</v>
      </c>
      <c r="Q1960" s="56">
        <v>362373440</v>
      </c>
      <c r="R1960" s="56">
        <v>523448640</v>
      </c>
    </row>
    <row r="1961" spans="1:18" x14ac:dyDescent="0.25">
      <c r="A1961" s="2" t="s">
        <v>280</v>
      </c>
      <c r="B1961" s="2">
        <v>2017</v>
      </c>
      <c r="C1961" s="75" t="s">
        <v>279</v>
      </c>
      <c r="D1961" s="27">
        <v>16400000000</v>
      </c>
      <c r="E1961" s="56">
        <v>16400000000</v>
      </c>
      <c r="F1961" s="56">
        <v>16400000000</v>
      </c>
      <c r="G1961" s="56">
        <v>1378255897.74</v>
      </c>
      <c r="H1961" s="56">
        <v>861993603.85000002</v>
      </c>
      <c r="I1961" s="56">
        <v>2010432000</v>
      </c>
      <c r="J1961" s="56">
        <v>1162586037.74</v>
      </c>
      <c r="K1961" s="56">
        <v>601058064</v>
      </c>
      <c r="L1961" s="56">
        <v>675269142.90999997</v>
      </c>
      <c r="M1961" s="56">
        <v>527354364</v>
      </c>
      <c r="N1961" s="56">
        <v>1021539165</v>
      </c>
      <c r="O1961" s="56">
        <v>1239583399</v>
      </c>
      <c r="P1961" s="56">
        <v>873700192</v>
      </c>
      <c r="Q1961" s="56">
        <v>1117244064</v>
      </c>
      <c r="R1961" s="56">
        <v>862310027.59000003</v>
      </c>
    </row>
    <row r="1962" spans="1:18" x14ac:dyDescent="0.25">
      <c r="A1962" s="2" t="s">
        <v>276</v>
      </c>
      <c r="B1962" s="2">
        <v>2017</v>
      </c>
      <c r="C1962" s="75" t="s">
        <v>275</v>
      </c>
      <c r="D1962" s="27">
        <v>1133000000</v>
      </c>
      <c r="E1962" s="56">
        <v>1133000000</v>
      </c>
      <c r="F1962" s="56">
        <v>1133000000</v>
      </c>
      <c r="G1962" s="56">
        <v>132710385.33</v>
      </c>
      <c r="H1962" s="56">
        <v>82852173.439999998</v>
      </c>
      <c r="I1962" s="56">
        <v>87468932.900000006</v>
      </c>
      <c r="J1962" s="56">
        <v>76835299.189999998</v>
      </c>
      <c r="K1962" s="56">
        <v>29306855.079999998</v>
      </c>
      <c r="L1962" s="56">
        <v>59475017.460000001</v>
      </c>
      <c r="M1962" s="56">
        <v>49262692.420000002</v>
      </c>
      <c r="N1962" s="56">
        <v>61333225.469999999</v>
      </c>
      <c r="O1962" s="56">
        <v>60342657.890000001</v>
      </c>
      <c r="P1962" s="56">
        <v>45295541.149999999</v>
      </c>
      <c r="Q1962" s="56">
        <v>75900794.180000007</v>
      </c>
      <c r="R1962" s="56">
        <v>64321286.399999999</v>
      </c>
    </row>
    <row r="1963" spans="1:18" x14ac:dyDescent="0.25">
      <c r="A1963" s="2" t="s">
        <v>274</v>
      </c>
      <c r="B1963" s="2">
        <v>2017</v>
      </c>
      <c r="C1963" s="75" t="s">
        <v>273</v>
      </c>
      <c r="D1963" s="27">
        <v>52000000</v>
      </c>
      <c r="E1963" s="56">
        <v>52000000</v>
      </c>
      <c r="F1963" s="56">
        <v>52000000</v>
      </c>
      <c r="G1963" s="56">
        <v>0</v>
      </c>
      <c r="H1963" s="56">
        <v>0</v>
      </c>
      <c r="I1963" s="56">
        <v>16846350</v>
      </c>
      <c r="J1963" s="56">
        <v>0</v>
      </c>
      <c r="K1963" s="56">
        <v>0</v>
      </c>
      <c r="L1963" s="56">
        <v>18220050</v>
      </c>
      <c r="M1963" s="56">
        <v>0</v>
      </c>
      <c r="N1963" s="56">
        <v>0</v>
      </c>
      <c r="O1963" s="56">
        <v>18220050</v>
      </c>
      <c r="P1963" s="56">
        <v>0</v>
      </c>
      <c r="Q1963" s="56">
        <v>0</v>
      </c>
      <c r="R1963" s="56">
        <v>12146700</v>
      </c>
    </row>
    <row r="1964" spans="1:18" x14ac:dyDescent="0.25">
      <c r="A1964" s="2" t="s">
        <v>268</v>
      </c>
      <c r="B1964" s="2">
        <v>2017</v>
      </c>
      <c r="C1964" s="75" t="s">
        <v>267</v>
      </c>
      <c r="D1964" s="27">
        <v>179000000000</v>
      </c>
      <c r="E1964" s="56">
        <v>179000000000</v>
      </c>
      <c r="F1964" s="56">
        <v>179000000000</v>
      </c>
      <c r="G1964" s="56">
        <v>12629754127.950001</v>
      </c>
      <c r="H1964" s="56">
        <v>11139139653.58</v>
      </c>
      <c r="I1964" s="56">
        <v>12350384258.98</v>
      </c>
      <c r="J1964" s="56">
        <v>9572608198.6599998</v>
      </c>
      <c r="K1964" s="56">
        <v>12871984232.01</v>
      </c>
      <c r="L1964" s="56">
        <v>12569363630.85</v>
      </c>
      <c r="M1964" s="56">
        <v>11754339433.91</v>
      </c>
      <c r="N1964" s="56">
        <v>12783264492.35</v>
      </c>
      <c r="O1964" s="56">
        <v>12391433587.91</v>
      </c>
      <c r="P1964" s="56">
        <v>15237091881.870001</v>
      </c>
      <c r="Q1964" s="56">
        <v>16075766187.24</v>
      </c>
      <c r="R1964" s="56">
        <v>13380377891.809999</v>
      </c>
    </row>
    <row r="1965" spans="1:18" x14ac:dyDescent="0.25">
      <c r="A1965" s="2" t="s">
        <v>264</v>
      </c>
      <c r="B1965" s="2">
        <v>2017</v>
      </c>
      <c r="C1965" s="75" t="s">
        <v>263</v>
      </c>
      <c r="D1965" s="27">
        <v>29000000000</v>
      </c>
      <c r="E1965" s="56">
        <v>29000000000</v>
      </c>
      <c r="F1965" s="56">
        <v>29000000000</v>
      </c>
      <c r="G1965" s="56">
        <v>2056564528.3800001</v>
      </c>
      <c r="H1965" s="56">
        <v>1924847099.53</v>
      </c>
      <c r="I1965" s="56">
        <v>2388352899.02</v>
      </c>
      <c r="J1965" s="56">
        <v>1941970453.9100001</v>
      </c>
      <c r="K1965" s="56">
        <v>2362566847.2399998</v>
      </c>
      <c r="L1965" s="56">
        <v>2333690828.9099998</v>
      </c>
      <c r="M1965" s="56">
        <v>2095552514.0599999</v>
      </c>
      <c r="N1965" s="56">
        <v>2213869132.4000001</v>
      </c>
      <c r="O1965" s="56">
        <v>2099455416.5999999</v>
      </c>
      <c r="P1965" s="56">
        <v>2356562187.5500002</v>
      </c>
      <c r="Q1965" s="56">
        <v>2574642916.6399999</v>
      </c>
      <c r="R1965" s="56">
        <v>2084329957.28</v>
      </c>
    </row>
    <row r="1966" spans="1:18" x14ac:dyDescent="0.25">
      <c r="A1966" s="2" t="s">
        <v>260</v>
      </c>
      <c r="B1966" s="2">
        <v>2017</v>
      </c>
      <c r="C1966" s="75" t="s">
        <v>259</v>
      </c>
      <c r="D1966" s="27">
        <v>3100000000</v>
      </c>
      <c r="E1966" s="56">
        <v>3100000000</v>
      </c>
      <c r="F1966" s="56">
        <v>3100000000</v>
      </c>
      <c r="G1966" s="56">
        <v>315746680.82999998</v>
      </c>
      <c r="H1966" s="56">
        <v>294268204.30000001</v>
      </c>
      <c r="I1966" s="56">
        <v>302493497.61000001</v>
      </c>
      <c r="J1966" s="56">
        <v>247860999.65000001</v>
      </c>
      <c r="K1966" s="56">
        <v>364322880.81999999</v>
      </c>
      <c r="L1966" s="56">
        <v>324982632.75999999</v>
      </c>
      <c r="M1966" s="56">
        <v>282261764.94999999</v>
      </c>
      <c r="N1966" s="56">
        <v>286877798.73000002</v>
      </c>
      <c r="O1966" s="56">
        <v>303586749.36000001</v>
      </c>
      <c r="P1966" s="56">
        <v>338903808.20999998</v>
      </c>
      <c r="Q1966" s="56">
        <v>342806033.56999999</v>
      </c>
      <c r="R1966" s="56">
        <v>269235521.02999997</v>
      </c>
    </row>
    <row r="1967" spans="1:18" x14ac:dyDescent="0.25">
      <c r="A1967" s="2" t="s">
        <v>258</v>
      </c>
      <c r="B1967" s="2">
        <v>2017</v>
      </c>
      <c r="C1967" s="75" t="s">
        <v>257</v>
      </c>
      <c r="D1967" s="27">
        <v>165000000</v>
      </c>
      <c r="E1967" s="56">
        <v>165000000</v>
      </c>
      <c r="F1967" s="56">
        <v>165000000</v>
      </c>
      <c r="G1967" s="56">
        <v>17492410.5</v>
      </c>
      <c r="H1967" s="56">
        <v>16179823.5</v>
      </c>
      <c r="I1967" s="56">
        <v>16686159</v>
      </c>
      <c r="J1967" s="56">
        <v>13590220.5</v>
      </c>
      <c r="K1967" s="56">
        <v>19769119.5</v>
      </c>
      <c r="L1967" s="56">
        <v>17548476</v>
      </c>
      <c r="M1967" s="56">
        <v>15290679</v>
      </c>
      <c r="N1967" s="56">
        <v>15089970.66</v>
      </c>
      <c r="O1967" s="56">
        <v>16259175</v>
      </c>
      <c r="P1967" s="56">
        <v>18641412.84</v>
      </c>
      <c r="Q1967" s="56">
        <v>18397321.5</v>
      </c>
      <c r="R1967" s="56">
        <v>14011543.5</v>
      </c>
    </row>
    <row r="1968" spans="1:18" x14ac:dyDescent="0.25">
      <c r="A1968" s="2" t="s">
        <v>256</v>
      </c>
      <c r="B1968" s="2">
        <v>2017</v>
      </c>
      <c r="C1968" s="75" t="s">
        <v>255</v>
      </c>
      <c r="D1968" s="27">
        <v>1732000000</v>
      </c>
      <c r="E1968" s="56">
        <v>1732000000</v>
      </c>
      <c r="F1968" s="56">
        <v>1732000000</v>
      </c>
      <c r="G1968" s="56">
        <v>136423318.75</v>
      </c>
      <c r="H1968" s="56">
        <v>136930659.75</v>
      </c>
      <c r="I1968" s="56">
        <v>159051554</v>
      </c>
      <c r="J1968" s="56">
        <v>131022624</v>
      </c>
      <c r="K1968" s="56">
        <v>159617035.75</v>
      </c>
      <c r="L1968" s="56">
        <v>160121407.75</v>
      </c>
      <c r="M1968" s="56">
        <v>144135199.75</v>
      </c>
      <c r="N1968" s="56">
        <v>154750689.5</v>
      </c>
      <c r="O1968" s="56">
        <v>149458602</v>
      </c>
      <c r="P1968" s="56">
        <v>148678358.25</v>
      </c>
      <c r="Q1968" s="56">
        <v>155973885.5</v>
      </c>
      <c r="R1968" s="56">
        <v>130043302.5</v>
      </c>
    </row>
    <row r="1969" spans="1:18" x14ac:dyDescent="0.25">
      <c r="A1969" s="2" t="s">
        <v>253</v>
      </c>
      <c r="B1969" s="2">
        <v>2017</v>
      </c>
      <c r="C1969" s="75" t="s">
        <v>252</v>
      </c>
      <c r="D1969" s="27">
        <v>47500000000</v>
      </c>
      <c r="E1969" s="56">
        <v>47500000000</v>
      </c>
      <c r="F1969" s="56">
        <v>47500000000</v>
      </c>
      <c r="G1969" s="56">
        <v>5017678057.1199999</v>
      </c>
      <c r="H1969" s="56">
        <v>3796287428.79</v>
      </c>
      <c r="I1969" s="56">
        <v>4741837041.4799995</v>
      </c>
      <c r="J1969" s="56">
        <v>4169005808.52</v>
      </c>
      <c r="K1969" s="56">
        <v>3629192794.9400001</v>
      </c>
      <c r="L1969" s="56">
        <v>3443062406.3800001</v>
      </c>
      <c r="M1969" s="56">
        <v>3749160872.6599998</v>
      </c>
      <c r="N1969" s="56">
        <v>3921588205.0900002</v>
      </c>
      <c r="O1969" s="56">
        <v>2774806340.1100001</v>
      </c>
      <c r="P1969" s="56">
        <v>2873042564.5500002</v>
      </c>
      <c r="Q1969" s="56">
        <v>3180180437.8200002</v>
      </c>
      <c r="R1969" s="56">
        <v>3696076916.5799999</v>
      </c>
    </row>
    <row r="1970" spans="1:18" x14ac:dyDescent="0.25">
      <c r="A1970" s="2" t="s">
        <v>251</v>
      </c>
      <c r="B1970" s="2">
        <v>2017</v>
      </c>
      <c r="C1970" s="75" t="s">
        <v>250</v>
      </c>
      <c r="D1970" s="27">
        <v>2600000000</v>
      </c>
      <c r="E1970" s="56">
        <v>2600000000</v>
      </c>
      <c r="F1970" s="56">
        <v>2600000000</v>
      </c>
      <c r="G1970" s="56">
        <v>275652853.19999999</v>
      </c>
      <c r="H1970" s="56">
        <v>167916881.19999999</v>
      </c>
      <c r="I1970" s="56">
        <v>177235077.49000001</v>
      </c>
      <c r="J1970" s="56">
        <v>247651982.19999999</v>
      </c>
      <c r="K1970" s="56">
        <v>175716500.75</v>
      </c>
      <c r="L1970" s="56">
        <v>143411511.25</v>
      </c>
      <c r="M1970" s="56">
        <v>202145572.44999999</v>
      </c>
      <c r="N1970" s="56">
        <v>171724471</v>
      </c>
      <c r="O1970" s="56">
        <v>155796855.80000001</v>
      </c>
      <c r="P1970" s="56">
        <v>150428203.25</v>
      </c>
      <c r="Q1970" s="56">
        <v>161967375.55000001</v>
      </c>
      <c r="R1970" s="56">
        <v>377681451.04000002</v>
      </c>
    </row>
    <row r="1971" spans="1:18" x14ac:dyDescent="0.25">
      <c r="A1971" s="2" t="s">
        <v>249</v>
      </c>
      <c r="B1971" s="2">
        <v>2017</v>
      </c>
      <c r="C1971" s="75" t="s">
        <v>248</v>
      </c>
      <c r="D1971" s="27">
        <v>4342800000</v>
      </c>
      <c r="E1971" s="56">
        <v>4342800000</v>
      </c>
      <c r="F1971" s="56">
        <v>4342800000</v>
      </c>
      <c r="G1971" s="56">
        <v>387168005.19999999</v>
      </c>
      <c r="H1971" s="56">
        <v>97557152.430000007</v>
      </c>
      <c r="I1971" s="56">
        <v>432097512.23000002</v>
      </c>
      <c r="J1971" s="56">
        <v>42673975.590000004</v>
      </c>
      <c r="K1971" s="56">
        <v>463940910.72000003</v>
      </c>
      <c r="L1971" s="56">
        <v>247887263.12</v>
      </c>
      <c r="M1971" s="56">
        <v>0</v>
      </c>
      <c r="N1971" s="56">
        <v>541240971.03999996</v>
      </c>
      <c r="O1971" s="56">
        <v>256409398.37</v>
      </c>
      <c r="P1971" s="56">
        <v>258589011.47</v>
      </c>
      <c r="Q1971" s="56">
        <v>59420410.280000001</v>
      </c>
      <c r="R1971" s="56">
        <v>417401472.55000001</v>
      </c>
    </row>
    <row r="1972" spans="1:18" x14ac:dyDescent="0.25">
      <c r="A1972" s="2" t="s">
        <v>246</v>
      </c>
      <c r="B1972" s="2">
        <v>2017</v>
      </c>
      <c r="C1972" s="75" t="s">
        <v>245</v>
      </c>
      <c r="D1972" s="27">
        <v>1064000000</v>
      </c>
      <c r="E1972" s="56">
        <v>1064000000</v>
      </c>
      <c r="F1972" s="56">
        <v>1064000000</v>
      </c>
      <c r="G1972" s="56">
        <v>70781664.099999994</v>
      </c>
      <c r="H1972" s="56">
        <v>78093159.260000005</v>
      </c>
      <c r="I1972" s="56">
        <v>118522446.18000001</v>
      </c>
      <c r="J1972" s="56">
        <v>103569384.73999999</v>
      </c>
      <c r="K1972" s="56">
        <v>61890737.149999999</v>
      </c>
      <c r="L1972" s="56">
        <v>102661286.72</v>
      </c>
      <c r="M1972" s="56">
        <v>96866511.780000001</v>
      </c>
      <c r="N1972" s="56">
        <v>74686308.140000001</v>
      </c>
      <c r="O1972" s="56">
        <v>60819562.899999999</v>
      </c>
      <c r="P1972" s="56">
        <v>109288069.42</v>
      </c>
      <c r="Q1972" s="56">
        <v>114350170.59999999</v>
      </c>
      <c r="R1972" s="56">
        <v>120262414.62</v>
      </c>
    </row>
    <row r="1973" spans="1:18" x14ac:dyDescent="0.25">
      <c r="A1973" s="2" t="s">
        <v>244</v>
      </c>
      <c r="B1973" s="2">
        <v>2017</v>
      </c>
      <c r="C1973" s="75" t="s">
        <v>243</v>
      </c>
      <c r="D1973" s="27">
        <v>5168000000</v>
      </c>
      <c r="E1973" s="56">
        <v>5168000000</v>
      </c>
      <c r="F1973" s="56">
        <v>5168000000</v>
      </c>
      <c r="G1973" s="56">
        <v>453156177.77999997</v>
      </c>
      <c r="H1973" s="56">
        <v>547004435.14999998</v>
      </c>
      <c r="I1973" s="56">
        <v>513806602.42000002</v>
      </c>
      <c r="J1973" s="56">
        <v>554131973.12</v>
      </c>
      <c r="K1973" s="56">
        <v>350308952.85000002</v>
      </c>
      <c r="L1973" s="56">
        <v>436462365.30000001</v>
      </c>
      <c r="M1973" s="56">
        <v>462749441.83999997</v>
      </c>
      <c r="N1973" s="56">
        <v>432276692.05000001</v>
      </c>
      <c r="O1973" s="56">
        <v>359325826.58999997</v>
      </c>
      <c r="P1973" s="56">
        <v>520953380.57999998</v>
      </c>
      <c r="Q1973" s="56">
        <v>578144291.37</v>
      </c>
      <c r="R1973" s="56">
        <v>687658411.79999995</v>
      </c>
    </row>
    <row r="1974" spans="1:18" x14ac:dyDescent="0.25">
      <c r="A1974" s="2" t="s">
        <v>242</v>
      </c>
      <c r="B1974" s="2">
        <v>2017</v>
      </c>
      <c r="C1974" s="75" t="s">
        <v>241</v>
      </c>
      <c r="D1974" s="27">
        <v>8968000000</v>
      </c>
      <c r="E1974" s="56">
        <v>8968000000</v>
      </c>
      <c r="F1974" s="56">
        <v>8968000000</v>
      </c>
      <c r="G1974" s="56">
        <v>803533385.65999997</v>
      </c>
      <c r="H1974" s="56">
        <v>1025333093.52</v>
      </c>
      <c r="I1974" s="56">
        <v>878037730.83000004</v>
      </c>
      <c r="J1974" s="56">
        <v>1059097790.64</v>
      </c>
      <c r="K1974" s="56">
        <v>717261273.88</v>
      </c>
      <c r="L1974" s="56">
        <v>973990879.44000006</v>
      </c>
      <c r="M1974" s="56">
        <v>832215166.5</v>
      </c>
      <c r="N1974" s="56">
        <v>885660397.57000005</v>
      </c>
      <c r="O1974" s="56">
        <v>1049702296.15</v>
      </c>
      <c r="P1974" s="56">
        <v>785871227.75</v>
      </c>
      <c r="Q1974" s="56">
        <v>870222106.32000005</v>
      </c>
      <c r="R1974" s="56">
        <v>994644515.11000001</v>
      </c>
    </row>
    <row r="1975" spans="1:18" x14ac:dyDescent="0.25">
      <c r="A1975" s="2" t="s">
        <v>240</v>
      </c>
      <c r="B1975" s="2">
        <v>2017</v>
      </c>
      <c r="C1975" s="75" t="s">
        <v>239</v>
      </c>
      <c r="D1975" s="27">
        <v>1350000000</v>
      </c>
      <c r="E1975" s="56">
        <v>1350000000</v>
      </c>
      <c r="F1975" s="56">
        <v>1350000000</v>
      </c>
      <c r="G1975" s="56">
        <v>144576891.41</v>
      </c>
      <c r="H1975" s="56">
        <v>110745357.84</v>
      </c>
      <c r="I1975" s="56">
        <v>143016206.99000001</v>
      </c>
      <c r="J1975" s="56">
        <v>95705678.540000007</v>
      </c>
      <c r="K1975" s="56">
        <v>144771956.62</v>
      </c>
      <c r="L1975" s="56">
        <v>128396545.81</v>
      </c>
      <c r="M1975" s="56">
        <v>93965156.269999996</v>
      </c>
      <c r="N1975" s="56">
        <v>129964963.18000001</v>
      </c>
      <c r="O1975" s="56">
        <v>103065948.34999999</v>
      </c>
      <c r="P1975" s="56">
        <v>95807718.560000002</v>
      </c>
      <c r="Q1975" s="56">
        <v>103005909.73</v>
      </c>
      <c r="R1975" s="56">
        <v>96229853.069999993</v>
      </c>
    </row>
    <row r="1976" spans="1:18" x14ac:dyDescent="0.25">
      <c r="A1976" s="2" t="s">
        <v>236</v>
      </c>
      <c r="B1976" s="2">
        <v>2017</v>
      </c>
      <c r="C1976" s="75" t="s">
        <v>235</v>
      </c>
      <c r="D1976" s="27">
        <v>5150000000</v>
      </c>
      <c r="E1976" s="56">
        <v>5150000000</v>
      </c>
      <c r="F1976" s="56">
        <v>5150000000</v>
      </c>
      <c r="G1976" s="56">
        <v>328684288.43000001</v>
      </c>
      <c r="H1976" s="56">
        <v>386921767.98000002</v>
      </c>
      <c r="I1976" s="56">
        <v>354799121.73000002</v>
      </c>
      <c r="J1976" s="56">
        <v>334396939.56</v>
      </c>
      <c r="K1976" s="56">
        <v>262534145.38999999</v>
      </c>
      <c r="L1976" s="56">
        <v>340457923.88999999</v>
      </c>
      <c r="M1976" s="56">
        <v>935710619.04999995</v>
      </c>
      <c r="N1976" s="56">
        <v>541159629.99000001</v>
      </c>
      <c r="O1976" s="56">
        <v>264156960.11000001</v>
      </c>
      <c r="P1976" s="56">
        <v>530329182.08999997</v>
      </c>
      <c r="Q1976" s="56">
        <v>460745128.81</v>
      </c>
      <c r="R1976" s="56">
        <v>508959906.25999999</v>
      </c>
    </row>
    <row r="1977" spans="1:18" x14ac:dyDescent="0.25">
      <c r="A1977" s="2" t="s">
        <v>234</v>
      </c>
      <c r="B1977" s="2">
        <v>2017</v>
      </c>
      <c r="C1977" s="75" t="s">
        <v>233</v>
      </c>
      <c r="D1977" s="27">
        <v>1000000</v>
      </c>
      <c r="E1977" s="56">
        <v>1000000</v>
      </c>
      <c r="F1977" s="56">
        <v>1000000</v>
      </c>
      <c r="G1977" s="56">
        <v>27395.05</v>
      </c>
      <c r="H1977" s="56">
        <v>39143.25</v>
      </c>
      <c r="I1977" s="56">
        <v>44668</v>
      </c>
      <c r="J1977" s="56">
        <v>37214.769999999997</v>
      </c>
      <c r="K1977" s="56">
        <v>46573.120000000003</v>
      </c>
      <c r="L1977" s="56">
        <v>231212.96</v>
      </c>
      <c r="M1977" s="56">
        <v>73961.649999999994</v>
      </c>
      <c r="N1977" s="56">
        <v>86755.15</v>
      </c>
      <c r="O1977" s="56">
        <v>193570.94</v>
      </c>
      <c r="P1977" s="56">
        <v>95949.47</v>
      </c>
      <c r="Q1977" s="56">
        <v>463699.5</v>
      </c>
      <c r="R1977" s="56">
        <v>109413.97</v>
      </c>
    </row>
    <row r="1978" spans="1:18" x14ac:dyDescent="0.25">
      <c r="A1978" s="2" t="s">
        <v>230</v>
      </c>
      <c r="B1978" s="2">
        <v>2017</v>
      </c>
      <c r="C1978" s="75" t="s">
        <v>229</v>
      </c>
      <c r="D1978" s="27">
        <v>25621250000</v>
      </c>
      <c r="E1978" s="56">
        <v>25621250000</v>
      </c>
      <c r="F1978" s="56">
        <v>25621250000</v>
      </c>
      <c r="G1978" s="56">
        <v>3374205506.8099999</v>
      </c>
      <c r="H1978" s="56">
        <v>1505458202.2</v>
      </c>
      <c r="I1978" s="56">
        <v>1695153466.6400001</v>
      </c>
      <c r="J1978" s="56">
        <v>1973064271.02</v>
      </c>
      <c r="K1978" s="56">
        <v>1032159766.27</v>
      </c>
      <c r="L1978" s="56">
        <v>1585081152.6600001</v>
      </c>
      <c r="M1978" s="56">
        <v>1521495411.9000001</v>
      </c>
      <c r="N1978" s="56">
        <v>1469174875.8299999</v>
      </c>
      <c r="O1978" s="56">
        <v>1573701548.53</v>
      </c>
      <c r="P1978" s="56">
        <v>1722738991.25</v>
      </c>
      <c r="Q1978" s="56">
        <v>1243574694.21</v>
      </c>
      <c r="R1978" s="56">
        <v>1194703336</v>
      </c>
    </row>
    <row r="1979" spans="1:18" x14ac:dyDescent="0.25">
      <c r="A1979" s="2" t="s">
        <v>377</v>
      </c>
      <c r="B1979" s="2">
        <v>2017</v>
      </c>
      <c r="C1979" s="75" t="s">
        <v>410</v>
      </c>
      <c r="D1979" s="27">
        <v>24140630000</v>
      </c>
      <c r="E1979" s="56">
        <v>0</v>
      </c>
      <c r="F1979" s="56">
        <v>0</v>
      </c>
      <c r="G1979" s="56">
        <v>52372266.289999999</v>
      </c>
      <c r="H1979" s="56">
        <v>346146717.36000001</v>
      </c>
      <c r="I1979" s="56">
        <v>491045413.63</v>
      </c>
      <c r="J1979" s="56">
        <v>259978810.00999999</v>
      </c>
      <c r="K1979" s="56">
        <v>666899661.52999997</v>
      </c>
      <c r="L1979" s="56">
        <v>850325517.54999995</v>
      </c>
      <c r="M1979" s="56">
        <v>605495499.02999997</v>
      </c>
      <c r="N1979" s="56">
        <v>374307611.79000002</v>
      </c>
      <c r="O1979" s="56">
        <v>355341133.06999999</v>
      </c>
      <c r="P1979" s="56">
        <v>484806111.07999998</v>
      </c>
      <c r="Q1979" s="56">
        <v>292335562.67000002</v>
      </c>
      <c r="R1979" s="56">
        <v>755418534.55999994</v>
      </c>
    </row>
    <row r="1980" spans="1:18" x14ac:dyDescent="0.25">
      <c r="A1980" s="2" t="s">
        <v>228</v>
      </c>
      <c r="B1980" s="2">
        <v>2017</v>
      </c>
      <c r="C1980" s="75" t="s">
        <v>227</v>
      </c>
      <c r="D1980" s="27">
        <v>0</v>
      </c>
      <c r="E1980" s="56">
        <v>24140630000</v>
      </c>
      <c r="F1980" s="56">
        <v>24140630000</v>
      </c>
      <c r="G1980" s="56">
        <v>2241314509.8099999</v>
      </c>
      <c r="H1980" s="56">
        <v>2296390550.0500002</v>
      </c>
      <c r="I1980" s="56">
        <v>2432753059.9400001</v>
      </c>
      <c r="J1980" s="56">
        <v>2369322412.5999999</v>
      </c>
      <c r="K1980" s="56">
        <v>2344150013.46</v>
      </c>
      <c r="L1980" s="56">
        <v>2379003294.0999999</v>
      </c>
      <c r="M1980" s="56">
        <v>2405596669.1500001</v>
      </c>
      <c r="N1980" s="56">
        <v>2439611463.1799998</v>
      </c>
      <c r="O1980" s="56">
        <v>2444486568.8800001</v>
      </c>
      <c r="P1980" s="56">
        <v>2440017510.5100002</v>
      </c>
      <c r="Q1980" s="56">
        <v>2609251117.0300002</v>
      </c>
      <c r="R1980" s="56">
        <v>2473661238.6700001</v>
      </c>
    </row>
    <row r="1981" spans="1:18" x14ac:dyDescent="0.25">
      <c r="A1981" s="2" t="s">
        <v>226</v>
      </c>
      <c r="B1981" s="2">
        <v>2017</v>
      </c>
      <c r="C1981" s="75" t="s">
        <v>225</v>
      </c>
      <c r="D1981" s="27">
        <v>17613125000</v>
      </c>
      <c r="E1981" s="56">
        <v>17613125000</v>
      </c>
      <c r="F1981" s="56">
        <v>17613125000</v>
      </c>
      <c r="G1981" s="56">
        <v>411354273.58999997</v>
      </c>
      <c r="H1981" s="56">
        <v>378171029.35000002</v>
      </c>
      <c r="I1981" s="56">
        <v>318237590.29000002</v>
      </c>
      <c r="J1981" s="56">
        <v>302490655.12</v>
      </c>
      <c r="K1981" s="56">
        <v>325524252.56</v>
      </c>
      <c r="L1981" s="56">
        <v>292051389.85000002</v>
      </c>
      <c r="M1981" s="56">
        <v>355242194.97000003</v>
      </c>
      <c r="N1981" s="56">
        <v>243810430.12</v>
      </c>
      <c r="O1981" s="56">
        <v>354429367.41000003</v>
      </c>
      <c r="P1981" s="56">
        <v>242206825.94</v>
      </c>
      <c r="Q1981" s="56">
        <v>304531754.35000002</v>
      </c>
      <c r="R1981" s="56">
        <v>9019198776.6399994</v>
      </c>
    </row>
    <row r="1982" spans="1:18" x14ac:dyDescent="0.25">
      <c r="A1982" s="2" t="s">
        <v>224</v>
      </c>
      <c r="B1982" s="2">
        <v>2017</v>
      </c>
      <c r="C1982" s="75" t="s">
        <v>223</v>
      </c>
      <c r="D1982" s="27">
        <v>0</v>
      </c>
      <c r="E1982" s="56">
        <v>0</v>
      </c>
      <c r="F1982" s="56">
        <v>0</v>
      </c>
      <c r="G1982" s="56">
        <v>0</v>
      </c>
      <c r="H1982" s="56">
        <v>0</v>
      </c>
      <c r="I1982" s="56">
        <v>0</v>
      </c>
      <c r="J1982" s="56">
        <v>3305273843.8000002</v>
      </c>
      <c r="K1982" s="56">
        <v>1133527774.3</v>
      </c>
      <c r="L1982" s="56">
        <v>1109904661.9200001</v>
      </c>
      <c r="M1982" s="56">
        <v>1095017476.3800001</v>
      </c>
      <c r="N1982" s="56">
        <v>1092165202.95</v>
      </c>
      <c r="O1982" s="56">
        <v>1135312354.6300001</v>
      </c>
      <c r="P1982" s="56">
        <v>1093122594.9100001</v>
      </c>
      <c r="Q1982" s="56">
        <v>1131854831.74</v>
      </c>
      <c r="R1982" s="56">
        <v>-6796481688.5</v>
      </c>
    </row>
    <row r="1983" spans="1:18" x14ac:dyDescent="0.25">
      <c r="A1983" s="2" t="s">
        <v>376</v>
      </c>
      <c r="B1983" s="2">
        <v>2017</v>
      </c>
      <c r="C1983" s="75" t="s">
        <v>223</v>
      </c>
      <c r="D1983" s="27">
        <v>0</v>
      </c>
      <c r="E1983" s="56">
        <v>0</v>
      </c>
      <c r="F1983" s="56">
        <v>0</v>
      </c>
      <c r="G1983" s="56">
        <v>0</v>
      </c>
      <c r="H1983" s="56">
        <v>1100582035.4000001</v>
      </c>
      <c r="I1983" s="56">
        <v>1108921359.9000001</v>
      </c>
      <c r="J1983" s="56">
        <v>-2210481446.5500002</v>
      </c>
      <c r="K1983" s="56">
        <v>0</v>
      </c>
      <c r="L1983" s="56">
        <v>0</v>
      </c>
      <c r="M1983" s="56">
        <v>978051.25</v>
      </c>
      <c r="N1983" s="56">
        <v>0</v>
      </c>
      <c r="O1983" s="56">
        <v>0</v>
      </c>
      <c r="P1983" s="56">
        <v>0</v>
      </c>
      <c r="Q1983" s="56">
        <v>0</v>
      </c>
      <c r="R1983" s="56">
        <v>0</v>
      </c>
    </row>
    <row r="1984" spans="1:18" x14ac:dyDescent="0.25">
      <c r="A1984" s="2" t="s">
        <v>222</v>
      </c>
      <c r="B1984" s="2">
        <v>2017</v>
      </c>
      <c r="C1984" s="75" t="s">
        <v>221</v>
      </c>
      <c r="D1984" s="27">
        <v>3100000</v>
      </c>
      <c r="E1984" s="56">
        <v>3100000</v>
      </c>
      <c r="F1984" s="56">
        <v>3100000</v>
      </c>
      <c r="G1984" s="56">
        <v>213835.8</v>
      </c>
      <c r="H1984" s="56">
        <v>141711.19</v>
      </c>
      <c r="I1984" s="56">
        <v>181252.65</v>
      </c>
      <c r="J1984" s="56">
        <v>190620.48</v>
      </c>
      <c r="K1984" s="56">
        <v>294513.38</v>
      </c>
      <c r="L1984" s="56">
        <v>185853.53</v>
      </c>
      <c r="M1984" s="56">
        <v>0</v>
      </c>
      <c r="N1984" s="56">
        <v>474890.82</v>
      </c>
      <c r="O1984" s="56">
        <v>196376.9</v>
      </c>
      <c r="P1984" s="56">
        <v>199095.87</v>
      </c>
      <c r="Q1984" s="56">
        <v>156922.56</v>
      </c>
      <c r="R1984" s="56">
        <v>216932.16</v>
      </c>
    </row>
    <row r="1985" spans="1:18" x14ac:dyDescent="0.25">
      <c r="A1985" s="2" t="s">
        <v>219</v>
      </c>
      <c r="B1985" s="2">
        <v>2017</v>
      </c>
      <c r="C1985" s="74" t="s">
        <v>408</v>
      </c>
      <c r="D1985" s="27">
        <v>46400000</v>
      </c>
      <c r="E1985" s="56">
        <v>46400000</v>
      </c>
      <c r="F1985" s="56">
        <v>46400000</v>
      </c>
      <c r="G1985" s="56">
        <v>2936493.87</v>
      </c>
      <c r="H1985" s="56">
        <v>8243221.8200000003</v>
      </c>
      <c r="I1985" s="56">
        <v>5053573.08</v>
      </c>
      <c r="J1985" s="56">
        <v>-2473424.5099999998</v>
      </c>
      <c r="K1985" s="56">
        <v>2989004.97</v>
      </c>
      <c r="L1985" s="56">
        <v>2789023.39</v>
      </c>
      <c r="M1985" s="56">
        <v>2462975.1800000002</v>
      </c>
      <c r="N1985" s="56">
        <v>4201826.6500000004</v>
      </c>
      <c r="O1985" s="56">
        <v>2904441.69</v>
      </c>
      <c r="P1985" s="56">
        <v>3909960.64</v>
      </c>
      <c r="Q1985" s="56">
        <v>4103251.56</v>
      </c>
      <c r="R1985" s="56">
        <v>4298450.8499999996</v>
      </c>
    </row>
    <row r="1986" spans="1:18" x14ac:dyDescent="0.25">
      <c r="A1986" s="2" t="s">
        <v>217</v>
      </c>
      <c r="B1986" s="2">
        <v>2017</v>
      </c>
      <c r="C1986" s="75" t="s">
        <v>216</v>
      </c>
      <c r="D1986" s="27">
        <v>23700000</v>
      </c>
      <c r="E1986" s="56">
        <v>23700000</v>
      </c>
      <c r="F1986" s="56">
        <v>23700000</v>
      </c>
      <c r="G1986" s="56">
        <v>1451350.19</v>
      </c>
      <c r="H1986" s="56">
        <v>1184628.97</v>
      </c>
      <c r="I1986" s="56">
        <v>1408292.07</v>
      </c>
      <c r="J1986" s="56">
        <v>1310993.32</v>
      </c>
      <c r="K1986" s="56">
        <v>1534507.87</v>
      </c>
      <c r="L1986" s="56">
        <v>1234226.22</v>
      </c>
      <c r="M1986" s="56">
        <v>1523849.66</v>
      </c>
      <c r="N1986" s="56">
        <v>1362304.71</v>
      </c>
      <c r="O1986" s="56">
        <v>1050128.56</v>
      </c>
      <c r="P1986" s="56">
        <v>1490718.32</v>
      </c>
      <c r="Q1986" s="56">
        <v>1220257.24</v>
      </c>
      <c r="R1986" s="56">
        <v>1506564.57</v>
      </c>
    </row>
    <row r="1987" spans="1:18" x14ac:dyDescent="0.25">
      <c r="A1987" s="2" t="s">
        <v>215</v>
      </c>
      <c r="B1987" s="2">
        <v>2017</v>
      </c>
      <c r="C1987" s="75" t="s">
        <v>214</v>
      </c>
      <c r="D1987" s="27">
        <v>13400000</v>
      </c>
      <c r="E1987" s="56">
        <v>13400000</v>
      </c>
      <c r="F1987" s="56">
        <v>13400000</v>
      </c>
      <c r="G1987" s="56">
        <v>1260000</v>
      </c>
      <c r="H1987" s="56">
        <v>1752500</v>
      </c>
      <c r="I1987" s="56">
        <v>720000</v>
      </c>
      <c r="J1987" s="56">
        <v>720000</v>
      </c>
      <c r="K1987" s="56">
        <v>2144900</v>
      </c>
      <c r="L1987" s="56">
        <v>720000</v>
      </c>
      <c r="M1987" s="56">
        <v>720000</v>
      </c>
      <c r="N1987" s="56">
        <v>5265.82</v>
      </c>
      <c r="O1987" s="56">
        <v>720000</v>
      </c>
      <c r="P1987" s="56">
        <v>720700</v>
      </c>
      <c r="Q1987" s="56">
        <v>720000</v>
      </c>
      <c r="R1987" s="56">
        <v>720000</v>
      </c>
    </row>
    <row r="1988" spans="1:18" x14ac:dyDescent="0.25">
      <c r="A1988" s="2" t="s">
        <v>375</v>
      </c>
      <c r="B1988" s="2">
        <v>2017</v>
      </c>
      <c r="C1988" s="75" t="s">
        <v>672</v>
      </c>
      <c r="D1988" s="27">
        <v>0</v>
      </c>
      <c r="E1988" s="56">
        <v>0</v>
      </c>
      <c r="F1988" s="56">
        <v>0</v>
      </c>
      <c r="G1988" s="56">
        <v>0</v>
      </c>
      <c r="H1988" s="56">
        <v>0</v>
      </c>
      <c r="I1988" s="56">
        <v>0</v>
      </c>
      <c r="J1988" s="56">
        <v>0</v>
      </c>
      <c r="K1988" s="56">
        <v>0</v>
      </c>
      <c r="L1988" s="56">
        <v>0</v>
      </c>
      <c r="M1988" s="56">
        <v>0</v>
      </c>
      <c r="N1988" s="56">
        <v>0</v>
      </c>
      <c r="O1988" s="56">
        <v>0</v>
      </c>
      <c r="P1988" s="56">
        <v>0</v>
      </c>
      <c r="Q1988" s="56">
        <v>7240733.2599999998</v>
      </c>
      <c r="R1988" s="56">
        <v>0</v>
      </c>
    </row>
    <row r="1989" spans="1:18" x14ac:dyDescent="0.25">
      <c r="A1989" s="2" t="s">
        <v>213</v>
      </c>
      <c r="B1989" s="2">
        <v>2017</v>
      </c>
      <c r="C1989" s="75" t="s">
        <v>212</v>
      </c>
      <c r="D1989" s="27">
        <v>41000000</v>
      </c>
      <c r="E1989" s="56">
        <v>41000000</v>
      </c>
      <c r="F1989" s="56">
        <v>41000000</v>
      </c>
      <c r="G1989" s="56">
        <v>3290707.06</v>
      </c>
      <c r="H1989" s="56">
        <v>6470232.1799999997</v>
      </c>
      <c r="I1989" s="56">
        <v>1104642.5</v>
      </c>
      <c r="J1989" s="56">
        <v>10670596.279999999</v>
      </c>
      <c r="K1989" s="56">
        <v>3573779.77</v>
      </c>
      <c r="L1989" s="56">
        <v>8258038.8099999996</v>
      </c>
      <c r="M1989" s="56">
        <v>3216254.01</v>
      </c>
      <c r="N1989" s="56">
        <v>7350949.9100000001</v>
      </c>
      <c r="O1989" s="56">
        <v>6693630.0999999996</v>
      </c>
      <c r="P1989" s="56">
        <v>10162156.449999999</v>
      </c>
      <c r="Q1989" s="56">
        <v>8146485.2400000002</v>
      </c>
      <c r="R1989" s="56">
        <v>8253187.5499999998</v>
      </c>
    </row>
    <row r="1990" spans="1:18" x14ac:dyDescent="0.25">
      <c r="A1990" s="2" t="s">
        <v>211</v>
      </c>
      <c r="B1990" s="2">
        <v>2017</v>
      </c>
      <c r="C1990" s="75" t="s">
        <v>210</v>
      </c>
      <c r="D1990" s="27">
        <v>139000000</v>
      </c>
      <c r="E1990" s="56">
        <v>139000000</v>
      </c>
      <c r="F1990" s="56">
        <v>139000000</v>
      </c>
      <c r="G1990" s="56">
        <v>314395.2</v>
      </c>
      <c r="H1990" s="56">
        <v>243939.20000000001</v>
      </c>
      <c r="I1990" s="56">
        <v>788816.6</v>
      </c>
      <c r="J1990" s="56">
        <v>473119.1</v>
      </c>
      <c r="K1990" s="56">
        <v>-39263.199999999997</v>
      </c>
      <c r="L1990" s="56">
        <v>13733596.800000001</v>
      </c>
      <c r="M1990" s="56">
        <v>4660567.5</v>
      </c>
      <c r="N1990" s="56">
        <v>154639805.21000001</v>
      </c>
      <c r="O1990" s="56">
        <v>-5019.3</v>
      </c>
      <c r="P1990" s="56">
        <v>68877.600000000006</v>
      </c>
      <c r="Q1990" s="56">
        <v>23553790.09</v>
      </c>
      <c r="R1990" s="56">
        <v>33179420.199999999</v>
      </c>
    </row>
    <row r="1991" spans="1:18" x14ac:dyDescent="0.25">
      <c r="A1991" s="2" t="s">
        <v>209</v>
      </c>
      <c r="B1991" s="2">
        <v>2017</v>
      </c>
      <c r="C1991" s="75" t="s">
        <v>208</v>
      </c>
      <c r="D1991" s="27">
        <v>14000000</v>
      </c>
      <c r="E1991" s="56">
        <v>14000000</v>
      </c>
      <c r="F1991" s="56">
        <v>14000000</v>
      </c>
      <c r="G1991" s="56">
        <v>377299.87</v>
      </c>
      <c r="H1991" s="56">
        <v>942576.74</v>
      </c>
      <c r="I1991" s="56">
        <v>3190725.01</v>
      </c>
      <c r="J1991" s="56">
        <v>411827.84</v>
      </c>
      <c r="K1991" s="56">
        <v>357187.81</v>
      </c>
      <c r="L1991" s="56">
        <v>9631406.1799999997</v>
      </c>
      <c r="M1991" s="56">
        <v>1200926.2</v>
      </c>
      <c r="N1991" s="56">
        <v>8320137.0099999998</v>
      </c>
      <c r="O1991" s="56">
        <v>707962.23</v>
      </c>
      <c r="P1991" s="56">
        <v>481211.69</v>
      </c>
      <c r="Q1991" s="56">
        <v>13677038.6</v>
      </c>
      <c r="R1991" s="56">
        <v>2924003.28</v>
      </c>
    </row>
    <row r="1992" spans="1:18" x14ac:dyDescent="0.25">
      <c r="A1992" s="2" t="s">
        <v>207</v>
      </c>
      <c r="B1992" s="2">
        <v>2017</v>
      </c>
      <c r="C1992" s="75" t="s">
        <v>206</v>
      </c>
      <c r="D1992" s="27">
        <v>281549067</v>
      </c>
      <c r="E1992" s="56">
        <v>422630220</v>
      </c>
      <c r="F1992" s="56">
        <v>422630220</v>
      </c>
      <c r="G1992" s="56">
        <v>281549066.91000003</v>
      </c>
      <c r="H1992" s="56">
        <v>0</v>
      </c>
      <c r="I1992" s="56">
        <v>0</v>
      </c>
      <c r="J1992" s="56">
        <v>0</v>
      </c>
      <c r="K1992" s="56">
        <v>0</v>
      </c>
      <c r="L1992" s="56">
        <v>0</v>
      </c>
      <c r="M1992" s="56">
        <v>0</v>
      </c>
      <c r="N1992" s="56">
        <v>0</v>
      </c>
      <c r="O1992" s="56">
        <v>0</v>
      </c>
      <c r="P1992" s="56">
        <v>141081153</v>
      </c>
      <c r="Q1992" s="56">
        <v>0</v>
      </c>
      <c r="R1992" s="56">
        <v>0</v>
      </c>
    </row>
    <row r="1993" spans="1:18" x14ac:dyDescent="0.25">
      <c r="A1993" s="2" t="s">
        <v>205</v>
      </c>
      <c r="B1993" s="2">
        <v>2017</v>
      </c>
      <c r="C1993" s="75" t="s">
        <v>204</v>
      </c>
      <c r="D1993" s="27">
        <v>517200000</v>
      </c>
      <c r="E1993" s="56">
        <v>517200000</v>
      </c>
      <c r="F1993" s="56">
        <v>517200000</v>
      </c>
      <c r="G1993" s="56">
        <v>68369000</v>
      </c>
      <c r="H1993" s="56">
        <v>74214800</v>
      </c>
      <c r="I1993" s="56">
        <v>69464800</v>
      </c>
      <c r="J1993" s="56">
        <v>82105000</v>
      </c>
      <c r="K1993" s="56">
        <v>62944200</v>
      </c>
      <c r="L1993" s="56">
        <v>60279680</v>
      </c>
      <c r="M1993" s="56">
        <v>154383800</v>
      </c>
      <c r="N1993" s="56">
        <v>156086400</v>
      </c>
      <c r="O1993" s="56">
        <v>-27482200</v>
      </c>
      <c r="P1993" s="56">
        <v>88603400</v>
      </c>
      <c r="Q1993" s="56">
        <v>192340200</v>
      </c>
      <c r="R1993" s="56">
        <v>109947600</v>
      </c>
    </row>
    <row r="1994" spans="1:18" x14ac:dyDescent="0.25">
      <c r="A1994" s="2" t="s">
        <v>374</v>
      </c>
      <c r="B1994" s="2">
        <v>2017</v>
      </c>
      <c r="C1994" s="75" t="s">
        <v>405</v>
      </c>
      <c r="D1994" s="27">
        <v>0</v>
      </c>
      <c r="E1994" s="56">
        <v>0</v>
      </c>
      <c r="F1994" s="56">
        <v>0</v>
      </c>
      <c r="G1994" s="56">
        <v>4350</v>
      </c>
      <c r="H1994" s="56">
        <v>6450</v>
      </c>
      <c r="I1994" s="56">
        <v>0</v>
      </c>
      <c r="J1994" s="56">
        <v>0</v>
      </c>
      <c r="K1994" s="56">
        <v>300</v>
      </c>
      <c r="L1994" s="56">
        <v>0</v>
      </c>
      <c r="M1994" s="56">
        <v>200</v>
      </c>
      <c r="N1994" s="56">
        <v>200</v>
      </c>
      <c r="O1994" s="56">
        <v>0</v>
      </c>
      <c r="P1994" s="56">
        <v>800</v>
      </c>
      <c r="Q1994" s="56">
        <v>0</v>
      </c>
      <c r="R1994" s="56">
        <v>0</v>
      </c>
    </row>
    <row r="1995" spans="1:18" x14ac:dyDescent="0.25">
      <c r="A1995" s="2" t="s">
        <v>203</v>
      </c>
      <c r="B1995" s="2">
        <v>2017</v>
      </c>
      <c r="C1995" s="75" t="s">
        <v>202</v>
      </c>
      <c r="D1995" s="27">
        <v>4852800000</v>
      </c>
      <c r="E1995" s="56">
        <v>4852800000</v>
      </c>
      <c r="F1995" s="56">
        <v>4852800000</v>
      </c>
      <c r="G1995" s="56">
        <v>343692094.94999999</v>
      </c>
      <c r="H1995" s="56">
        <v>146483267.44999999</v>
      </c>
      <c r="I1995" s="56">
        <v>70901822.349999994</v>
      </c>
      <c r="J1995" s="56">
        <v>36422148.780000001</v>
      </c>
      <c r="K1995" s="56">
        <v>36607937.979999997</v>
      </c>
      <c r="L1995" s="56">
        <v>28213638.98</v>
      </c>
      <c r="M1995" s="56">
        <v>626517464.51999998</v>
      </c>
      <c r="N1995" s="56">
        <v>18347826</v>
      </c>
      <c r="O1995" s="56">
        <v>11648425.710000001</v>
      </c>
      <c r="P1995" s="56">
        <v>9637676.1999999993</v>
      </c>
      <c r="Q1995" s="56">
        <v>373759183</v>
      </c>
      <c r="R1995" s="56">
        <v>4096898080.2600002</v>
      </c>
    </row>
    <row r="1996" spans="1:18" x14ac:dyDescent="0.25">
      <c r="A1996" s="2" t="s">
        <v>200</v>
      </c>
      <c r="B1996" s="2">
        <v>2017</v>
      </c>
      <c r="C1996" s="75" t="s">
        <v>199</v>
      </c>
      <c r="D1996" s="27">
        <v>34000000</v>
      </c>
      <c r="E1996" s="56">
        <v>34000000</v>
      </c>
      <c r="F1996" s="56">
        <v>34000000</v>
      </c>
      <c r="G1996" s="56">
        <v>3835559.43</v>
      </c>
      <c r="H1996" s="56">
        <v>3297320.54</v>
      </c>
      <c r="I1996" s="56">
        <v>3797971.4</v>
      </c>
      <c r="J1996" s="56">
        <v>1968119.12</v>
      </c>
      <c r="K1996" s="56">
        <v>5704017.9400000004</v>
      </c>
      <c r="L1996" s="56">
        <v>3014223.86</v>
      </c>
      <c r="M1996" s="56">
        <v>2652250</v>
      </c>
      <c r="N1996" s="56">
        <v>3436311.62</v>
      </c>
      <c r="O1996" s="56">
        <v>3432292.12</v>
      </c>
      <c r="P1996" s="56">
        <v>2998405.72</v>
      </c>
      <c r="Q1996" s="56">
        <v>4038482.52</v>
      </c>
      <c r="R1996" s="56">
        <v>1769276.64</v>
      </c>
    </row>
    <row r="1997" spans="1:18" x14ac:dyDescent="0.25">
      <c r="A1997" s="2" t="s">
        <v>198</v>
      </c>
      <c r="B1997" s="2">
        <v>2017</v>
      </c>
      <c r="C1997" s="75" t="s">
        <v>197</v>
      </c>
      <c r="D1997" s="27">
        <v>3100000</v>
      </c>
      <c r="E1997" s="56">
        <v>3100000</v>
      </c>
      <c r="F1997" s="56">
        <v>3100000</v>
      </c>
      <c r="G1997" s="56">
        <v>419416</v>
      </c>
      <c r="H1997" s="56">
        <v>167768</v>
      </c>
      <c r="I1997" s="56">
        <v>222725</v>
      </c>
      <c r="J1997" s="56">
        <v>130616</v>
      </c>
      <c r="K1997" s="56">
        <v>415603</v>
      </c>
      <c r="L1997" s="56">
        <v>217480</v>
      </c>
      <c r="M1997" s="56">
        <v>461108</v>
      </c>
      <c r="N1997" s="56">
        <v>235670</v>
      </c>
      <c r="O1997" s="56">
        <v>190470</v>
      </c>
      <c r="P1997" s="56">
        <v>161956</v>
      </c>
      <c r="Q1997" s="56">
        <v>174160</v>
      </c>
      <c r="R1997" s="56">
        <v>82620</v>
      </c>
    </row>
    <row r="1998" spans="1:18" x14ac:dyDescent="0.25">
      <c r="A1998" s="2" t="s">
        <v>196</v>
      </c>
      <c r="B1998" s="2">
        <v>2017</v>
      </c>
      <c r="C1998" s="75" t="s">
        <v>195</v>
      </c>
      <c r="D1998" s="27">
        <v>104000000</v>
      </c>
      <c r="E1998" s="56">
        <v>104000000</v>
      </c>
      <c r="F1998" s="56">
        <v>104000000</v>
      </c>
      <c r="G1998" s="56">
        <v>9254783.1099999994</v>
      </c>
      <c r="H1998" s="56">
        <v>12247753.359999999</v>
      </c>
      <c r="I1998" s="56">
        <v>10910878.609999999</v>
      </c>
      <c r="J1998" s="56">
        <v>8343806.5599999996</v>
      </c>
      <c r="K1998" s="56">
        <v>8604011.5500000007</v>
      </c>
      <c r="L1998" s="56">
        <v>7639780</v>
      </c>
      <c r="M1998" s="56">
        <v>5941012.3499999996</v>
      </c>
      <c r="N1998" s="56">
        <v>8025483.5999999996</v>
      </c>
      <c r="O1998" s="56">
        <v>7255799.0499999998</v>
      </c>
      <c r="P1998" s="56">
        <v>8065793.5</v>
      </c>
      <c r="Q1998" s="56">
        <v>8403110</v>
      </c>
      <c r="R1998" s="56">
        <v>8150041.5</v>
      </c>
    </row>
    <row r="1999" spans="1:18" x14ac:dyDescent="0.25">
      <c r="A1999" s="2" t="s">
        <v>194</v>
      </c>
      <c r="B1999" s="2">
        <v>2017</v>
      </c>
      <c r="C1999" s="75" t="s">
        <v>193</v>
      </c>
      <c r="D1999" s="27">
        <v>53000000</v>
      </c>
      <c r="E1999" s="56">
        <v>53000000</v>
      </c>
      <c r="F1999" s="56">
        <v>53000000</v>
      </c>
      <c r="G1999" s="56">
        <v>2551731</v>
      </c>
      <c r="H1999" s="56">
        <v>3734753.96</v>
      </c>
      <c r="I1999" s="56">
        <v>5732541.5</v>
      </c>
      <c r="J1999" s="56">
        <v>3226084</v>
      </c>
      <c r="K1999" s="56">
        <v>3845692</v>
      </c>
      <c r="L1999" s="56">
        <v>5604162</v>
      </c>
      <c r="M1999" s="56">
        <v>6274130</v>
      </c>
      <c r="N1999" s="56">
        <v>4375431.6900000004</v>
      </c>
      <c r="O1999" s="56">
        <v>4650258</v>
      </c>
      <c r="P1999" s="56">
        <v>4157782</v>
      </c>
      <c r="Q1999" s="56">
        <v>7791723</v>
      </c>
      <c r="R1999" s="56">
        <v>5649775</v>
      </c>
    </row>
    <row r="2000" spans="1:18" x14ac:dyDescent="0.25">
      <c r="A2000" s="2" t="s">
        <v>191</v>
      </c>
      <c r="B2000" s="2">
        <v>2017</v>
      </c>
      <c r="C2000" s="75" t="s">
        <v>190</v>
      </c>
      <c r="D2000" s="27">
        <v>4581900000</v>
      </c>
      <c r="E2000" s="56">
        <v>4581900000</v>
      </c>
      <c r="F2000" s="56">
        <v>4581900000</v>
      </c>
      <c r="G2000" s="56">
        <v>0</v>
      </c>
      <c r="H2000" s="56">
        <v>0</v>
      </c>
      <c r="I2000" s="56">
        <v>623316185.72000003</v>
      </c>
      <c r="J2000" s="56">
        <v>0</v>
      </c>
      <c r="K2000" s="56">
        <v>947264283.80999994</v>
      </c>
      <c r="L2000" s="56">
        <v>0</v>
      </c>
      <c r="M2000" s="56">
        <v>1739794430.46</v>
      </c>
      <c r="N2000" s="56">
        <v>76448447.819999993</v>
      </c>
      <c r="O2000" s="56">
        <v>0</v>
      </c>
      <c r="P2000" s="56">
        <v>1051312365.91</v>
      </c>
      <c r="Q2000" s="56">
        <v>0</v>
      </c>
      <c r="R2000" s="56">
        <v>123075685.36</v>
      </c>
    </row>
    <row r="2001" spans="1:18" x14ac:dyDescent="0.25">
      <c r="A2001" s="2" t="s">
        <v>189</v>
      </c>
      <c r="B2001" s="2">
        <v>2017</v>
      </c>
      <c r="C2001" s="75" t="s">
        <v>188</v>
      </c>
      <c r="D2001" s="27">
        <v>249973182</v>
      </c>
      <c r="E2001" s="56">
        <v>249973182</v>
      </c>
      <c r="F2001" s="56">
        <v>249973182</v>
      </c>
      <c r="G2001" s="56">
        <v>0</v>
      </c>
      <c r="H2001" s="56">
        <v>0</v>
      </c>
      <c r="I2001" s="56">
        <v>60351486.189999998</v>
      </c>
      <c r="J2001" s="56">
        <v>0</v>
      </c>
      <c r="K2001" s="56">
        <v>63534601.140000001</v>
      </c>
      <c r="L2001" s="56">
        <v>0</v>
      </c>
      <c r="M2001" s="56">
        <v>67909254.230000004</v>
      </c>
      <c r="N2001" s="56">
        <v>1195983.8400000001</v>
      </c>
      <c r="O2001" s="56">
        <v>0</v>
      </c>
      <c r="P2001" s="56">
        <v>59206354.119999997</v>
      </c>
      <c r="Q2001" s="56">
        <v>0</v>
      </c>
      <c r="R2001" s="56">
        <v>3056384.02</v>
      </c>
    </row>
    <row r="2002" spans="1:18" x14ac:dyDescent="0.25">
      <c r="A2002" s="2" t="s">
        <v>187</v>
      </c>
      <c r="B2002" s="2">
        <v>2017</v>
      </c>
      <c r="C2002" s="75" t="s">
        <v>186</v>
      </c>
      <c r="D2002" s="27">
        <v>23000000</v>
      </c>
      <c r="E2002" s="56">
        <v>23000000</v>
      </c>
      <c r="F2002" s="56">
        <v>23000000</v>
      </c>
      <c r="G2002" s="56">
        <v>1635500</v>
      </c>
      <c r="H2002" s="56">
        <v>1538500</v>
      </c>
      <c r="I2002" s="56">
        <v>3469000</v>
      </c>
      <c r="J2002" s="56">
        <v>1123000</v>
      </c>
      <c r="K2002" s="56">
        <v>1905884</v>
      </c>
      <c r="L2002" s="56">
        <v>1246741.8799999999</v>
      </c>
      <c r="M2002" s="56">
        <v>2246059.0299999998</v>
      </c>
      <c r="N2002" s="56">
        <v>2159023.25</v>
      </c>
      <c r="O2002" s="56">
        <v>1429000</v>
      </c>
      <c r="P2002" s="56">
        <v>1792000</v>
      </c>
      <c r="Q2002" s="56">
        <v>1785000</v>
      </c>
      <c r="R2002" s="56">
        <v>867000</v>
      </c>
    </row>
    <row r="2003" spans="1:18" x14ac:dyDescent="0.25">
      <c r="A2003" s="2" t="s">
        <v>185</v>
      </c>
      <c r="B2003" s="2">
        <v>2017</v>
      </c>
      <c r="C2003" s="75" t="s">
        <v>184</v>
      </c>
      <c r="D2003" s="27">
        <v>37000000</v>
      </c>
      <c r="E2003" s="56">
        <v>37000000</v>
      </c>
      <c r="F2003" s="56">
        <v>37000000</v>
      </c>
      <c r="G2003" s="56">
        <v>5270000</v>
      </c>
      <c r="H2003" s="56">
        <v>11213000</v>
      </c>
      <c r="I2003" s="56">
        <v>4102478.78</v>
      </c>
      <c r="J2003" s="56">
        <v>39000</v>
      </c>
      <c r="K2003" s="56">
        <v>5889440</v>
      </c>
      <c r="L2003" s="56">
        <v>659815.75</v>
      </c>
      <c r="M2003" s="56">
        <v>0</v>
      </c>
      <c r="N2003" s="56">
        <v>740000</v>
      </c>
      <c r="O2003" s="56">
        <v>500000</v>
      </c>
      <c r="P2003" s="56">
        <v>1872000</v>
      </c>
      <c r="Q2003" s="56">
        <v>45000</v>
      </c>
      <c r="R2003" s="56">
        <v>0</v>
      </c>
    </row>
    <row r="2004" spans="1:18" x14ac:dyDescent="0.25">
      <c r="A2004" s="2" t="s">
        <v>183</v>
      </c>
      <c r="B2004" s="2">
        <v>2017</v>
      </c>
      <c r="C2004" s="75" t="s">
        <v>182</v>
      </c>
      <c r="D2004" s="27">
        <v>646200000</v>
      </c>
      <c r="E2004" s="56">
        <v>646200000</v>
      </c>
      <c r="F2004" s="56">
        <v>646200000</v>
      </c>
      <c r="G2004" s="56">
        <v>0</v>
      </c>
      <c r="H2004" s="56">
        <v>0</v>
      </c>
      <c r="I2004" s="56">
        <v>0</v>
      </c>
      <c r="J2004" s="56">
        <v>0</v>
      </c>
      <c r="K2004" s="56">
        <v>0</v>
      </c>
      <c r="L2004" s="56">
        <v>529978990.14999998</v>
      </c>
      <c r="M2004" s="56">
        <v>80906211.349999994</v>
      </c>
      <c r="N2004" s="56">
        <v>769851.45</v>
      </c>
      <c r="O2004" s="56">
        <v>0</v>
      </c>
      <c r="P2004" s="56">
        <v>0</v>
      </c>
      <c r="Q2004" s="56">
        <v>0</v>
      </c>
      <c r="R2004" s="56">
        <v>6393000</v>
      </c>
    </row>
    <row r="2005" spans="1:18" x14ac:dyDescent="0.25">
      <c r="A2005" s="2" t="s">
        <v>181</v>
      </c>
      <c r="B2005" s="2">
        <v>2017</v>
      </c>
      <c r="C2005" s="75" t="s">
        <v>179</v>
      </c>
      <c r="D2005" s="27">
        <v>3300000</v>
      </c>
      <c r="E2005" s="56">
        <v>3300000</v>
      </c>
      <c r="F2005" s="56">
        <v>3300000</v>
      </c>
      <c r="G2005" s="56">
        <v>0</v>
      </c>
      <c r="H2005" s="56">
        <v>0</v>
      </c>
      <c r="I2005" s="56">
        <v>0</v>
      </c>
      <c r="J2005" s="56">
        <v>0</v>
      </c>
      <c r="K2005" s="56">
        <v>0</v>
      </c>
      <c r="L2005" s="56">
        <v>0</v>
      </c>
      <c r="M2005" s="56">
        <v>0</v>
      </c>
      <c r="N2005" s="56">
        <v>0</v>
      </c>
      <c r="O2005" s="56">
        <v>0</v>
      </c>
      <c r="P2005" s="56">
        <v>0</v>
      </c>
      <c r="Q2005" s="56">
        <v>0</v>
      </c>
      <c r="R2005" s="56">
        <v>3076454.5</v>
      </c>
    </row>
    <row r="2006" spans="1:18" x14ac:dyDescent="0.25">
      <c r="A2006" s="2" t="s">
        <v>178</v>
      </c>
      <c r="B2006" s="2">
        <v>2017</v>
      </c>
      <c r="C2006" s="75" t="s">
        <v>177</v>
      </c>
      <c r="D2006" s="27">
        <v>9750000000</v>
      </c>
      <c r="E2006" s="56">
        <v>9750000000</v>
      </c>
      <c r="F2006" s="56">
        <v>9750000000</v>
      </c>
      <c r="G2006" s="56">
        <v>0</v>
      </c>
      <c r="H2006" s="56">
        <v>0</v>
      </c>
      <c r="I2006" s="56">
        <v>17800972155.759998</v>
      </c>
      <c r="J2006" s="56">
        <v>0</v>
      </c>
      <c r="K2006" s="56">
        <v>0</v>
      </c>
      <c r="L2006" s="56">
        <v>0</v>
      </c>
      <c r="M2006" s="56">
        <v>0</v>
      </c>
      <c r="N2006" s="56">
        <v>0</v>
      </c>
      <c r="O2006" s="56">
        <v>0</v>
      </c>
      <c r="P2006" s="56">
        <v>0</v>
      </c>
      <c r="Q2006" s="56">
        <v>0</v>
      </c>
      <c r="R2006" s="56">
        <v>0</v>
      </c>
    </row>
    <row r="2007" spans="1:18" x14ac:dyDescent="0.25">
      <c r="A2007" s="2" t="s">
        <v>373</v>
      </c>
      <c r="B2007" s="2">
        <v>2017</v>
      </c>
      <c r="C2007" s="75" t="s">
        <v>404</v>
      </c>
      <c r="D2007" s="27">
        <v>0</v>
      </c>
      <c r="E2007" s="56">
        <v>0</v>
      </c>
      <c r="F2007" s="56">
        <v>0</v>
      </c>
      <c r="G2007" s="56">
        <v>0</v>
      </c>
      <c r="H2007" s="56">
        <v>849748.33</v>
      </c>
      <c r="I2007" s="56">
        <v>-849748.33</v>
      </c>
      <c r="J2007" s="56">
        <v>0</v>
      </c>
      <c r="K2007" s="56">
        <v>0</v>
      </c>
      <c r="L2007" s="56">
        <v>0</v>
      </c>
      <c r="M2007" s="56">
        <v>0</v>
      </c>
      <c r="N2007" s="56">
        <v>0</v>
      </c>
      <c r="O2007" s="56">
        <v>0</v>
      </c>
      <c r="P2007" s="56">
        <v>0</v>
      </c>
      <c r="Q2007" s="56">
        <v>0</v>
      </c>
      <c r="R2007" s="56">
        <v>0</v>
      </c>
    </row>
    <row r="2008" spans="1:18" x14ac:dyDescent="0.25">
      <c r="A2008" s="2" t="s">
        <v>176</v>
      </c>
      <c r="B2008" s="2">
        <v>2017</v>
      </c>
      <c r="C2008" s="75" t="s">
        <v>175</v>
      </c>
      <c r="D2008" s="27">
        <v>123600000</v>
      </c>
      <c r="E2008" s="56">
        <v>123600000</v>
      </c>
      <c r="F2008" s="56">
        <v>123600000</v>
      </c>
      <c r="G2008" s="56">
        <v>35454954.340000004</v>
      </c>
      <c r="H2008" s="56">
        <v>63521147.170000002</v>
      </c>
      <c r="I2008" s="56">
        <v>98137115.900000006</v>
      </c>
      <c r="J2008" s="56">
        <v>78799675.590000004</v>
      </c>
      <c r="K2008" s="56">
        <v>96830066.290000007</v>
      </c>
      <c r="L2008" s="56">
        <v>61721728.240000002</v>
      </c>
      <c r="M2008" s="56">
        <v>32250203.949999999</v>
      </c>
      <c r="N2008" s="56">
        <v>77885255.810000002</v>
      </c>
      <c r="O2008" s="56">
        <v>25188079.25</v>
      </c>
      <c r="P2008" s="56">
        <v>41088392.520000003</v>
      </c>
      <c r="Q2008" s="56">
        <v>1871773868.3099999</v>
      </c>
      <c r="R2008" s="56">
        <v>280533811.97000003</v>
      </c>
    </row>
    <row r="2009" spans="1:18" x14ac:dyDescent="0.25">
      <c r="A2009" s="2" t="s">
        <v>174</v>
      </c>
      <c r="B2009" s="2">
        <v>2017</v>
      </c>
      <c r="C2009" s="75" t="s">
        <v>173</v>
      </c>
      <c r="D2009" s="27">
        <v>283000000</v>
      </c>
      <c r="E2009" s="56">
        <v>283000000</v>
      </c>
      <c r="F2009" s="56">
        <v>283000000</v>
      </c>
      <c r="G2009" s="56">
        <v>28252574.710000001</v>
      </c>
      <c r="H2009" s="56">
        <v>0</v>
      </c>
      <c r="I2009" s="56">
        <v>0</v>
      </c>
      <c r="J2009" s="56">
        <v>0</v>
      </c>
      <c r="K2009" s="56">
        <v>53690</v>
      </c>
      <c r="L2009" s="56">
        <v>0</v>
      </c>
      <c r="M2009" s="56">
        <v>129726314.58</v>
      </c>
      <c r="N2009" s="56">
        <v>0</v>
      </c>
      <c r="O2009" s="56">
        <v>0</v>
      </c>
      <c r="P2009" s="56">
        <v>0</v>
      </c>
      <c r="Q2009" s="56">
        <v>0</v>
      </c>
      <c r="R2009" s="56">
        <v>110391144.18000001</v>
      </c>
    </row>
    <row r="2010" spans="1:18" x14ac:dyDescent="0.25">
      <c r="A2010" s="2" t="s">
        <v>172</v>
      </c>
      <c r="B2010" s="2">
        <v>2017</v>
      </c>
      <c r="C2010" s="75" t="s">
        <v>171</v>
      </c>
      <c r="D2010" s="27">
        <v>3017600000</v>
      </c>
      <c r="E2010" s="56">
        <v>3017600000</v>
      </c>
      <c r="F2010" s="56">
        <v>3017600000</v>
      </c>
      <c r="G2010" s="56">
        <v>371965549.25999999</v>
      </c>
      <c r="H2010" s="56">
        <v>681915557.61000001</v>
      </c>
      <c r="I2010" s="56">
        <v>302521132</v>
      </c>
      <c r="J2010" s="56">
        <v>197551900</v>
      </c>
      <c r="K2010" s="56">
        <v>1847812091</v>
      </c>
      <c r="L2010" s="56">
        <v>537434129</v>
      </c>
      <c r="M2010" s="56">
        <v>421783237.22000003</v>
      </c>
      <c r="N2010" s="56">
        <v>225673046</v>
      </c>
      <c r="O2010" s="56">
        <v>458966617</v>
      </c>
      <c r="P2010" s="56">
        <v>174914934</v>
      </c>
      <c r="Q2010" s="56">
        <v>354544495.99000001</v>
      </c>
      <c r="R2010" s="56">
        <v>525908686</v>
      </c>
    </row>
    <row r="2011" spans="1:18" x14ac:dyDescent="0.25">
      <c r="A2011" s="2" t="s">
        <v>170</v>
      </c>
      <c r="B2011" s="2">
        <v>2017</v>
      </c>
      <c r="C2011" s="75" t="s">
        <v>168</v>
      </c>
      <c r="D2011" s="27">
        <v>1102400000</v>
      </c>
      <c r="E2011" s="56">
        <v>1102400000</v>
      </c>
      <c r="F2011" s="56">
        <v>1102400000</v>
      </c>
      <c r="G2011" s="56">
        <v>62926363.32</v>
      </c>
      <c r="H2011" s="56">
        <v>22464591.800000001</v>
      </c>
      <c r="I2011" s="56">
        <v>73155754.780000001</v>
      </c>
      <c r="J2011" s="56">
        <v>96813991.829999998</v>
      </c>
      <c r="K2011" s="56">
        <v>45291801.43</v>
      </c>
      <c r="L2011" s="56">
        <v>54196647.149999999</v>
      </c>
      <c r="M2011" s="56">
        <v>76983368.510000005</v>
      </c>
      <c r="N2011" s="56">
        <v>65451063.729999997</v>
      </c>
      <c r="O2011" s="56">
        <v>38480429.130000003</v>
      </c>
      <c r="P2011" s="56">
        <v>383697642.10000002</v>
      </c>
      <c r="Q2011" s="56">
        <v>79432961.700000003</v>
      </c>
      <c r="R2011" s="56">
        <v>-115673124.81</v>
      </c>
    </row>
    <row r="2012" spans="1:18" x14ac:dyDescent="0.25">
      <c r="A2012" s="2" t="s">
        <v>167</v>
      </c>
      <c r="B2012" s="2">
        <v>2017</v>
      </c>
      <c r="C2012" s="75" t="s">
        <v>166</v>
      </c>
      <c r="D2012" s="27">
        <v>6190000000</v>
      </c>
      <c r="E2012" s="56">
        <v>6190000000</v>
      </c>
      <c r="F2012" s="56">
        <v>6190000000</v>
      </c>
      <c r="G2012" s="56">
        <v>344507988</v>
      </c>
      <c r="H2012" s="56">
        <v>852222267</v>
      </c>
      <c r="I2012" s="56">
        <v>1034365792</v>
      </c>
      <c r="J2012" s="56">
        <v>299815631</v>
      </c>
      <c r="K2012" s="56">
        <v>511710553</v>
      </c>
      <c r="L2012" s="56">
        <v>574478016</v>
      </c>
      <c r="M2012" s="56">
        <v>311091776.97000003</v>
      </c>
      <c r="N2012" s="56">
        <v>328205267.97000003</v>
      </c>
      <c r="O2012" s="56">
        <v>378285004.30000001</v>
      </c>
      <c r="P2012" s="56">
        <v>587895140</v>
      </c>
      <c r="Q2012" s="56">
        <v>365909702.00999999</v>
      </c>
      <c r="R2012" s="56">
        <v>580872778.73000002</v>
      </c>
    </row>
    <row r="2013" spans="1:18" x14ac:dyDescent="0.25">
      <c r="A2013" s="2" t="s">
        <v>165</v>
      </c>
      <c r="B2013" s="2">
        <v>2017</v>
      </c>
      <c r="C2013" s="75" t="s">
        <v>164</v>
      </c>
      <c r="D2013" s="27">
        <v>110000000</v>
      </c>
      <c r="E2013" s="56">
        <v>110000000</v>
      </c>
      <c r="F2013" s="56">
        <v>110000000</v>
      </c>
      <c r="G2013" s="56">
        <v>5238346.28</v>
      </c>
      <c r="H2013" s="56">
        <v>6603596.1299999999</v>
      </c>
      <c r="I2013" s="56">
        <v>9903797.0500000007</v>
      </c>
      <c r="J2013" s="56">
        <v>5971689.4299999997</v>
      </c>
      <c r="K2013" s="56">
        <v>49010440.380000003</v>
      </c>
      <c r="L2013" s="56">
        <v>29866528.579999998</v>
      </c>
      <c r="M2013" s="56">
        <v>15574100</v>
      </c>
      <c r="N2013" s="56">
        <v>13993975.550000001</v>
      </c>
      <c r="O2013" s="56">
        <v>7220594</v>
      </c>
      <c r="P2013" s="56">
        <v>978250</v>
      </c>
      <c r="Q2013" s="56">
        <v>87788481.879999995</v>
      </c>
      <c r="R2013" s="56">
        <v>19790063.059999999</v>
      </c>
    </row>
    <row r="2014" spans="1:18" x14ac:dyDescent="0.25">
      <c r="A2014" s="2" t="s">
        <v>163</v>
      </c>
      <c r="B2014" s="2">
        <v>2017</v>
      </c>
      <c r="C2014" s="75" t="s">
        <v>162</v>
      </c>
      <c r="D2014" s="27">
        <v>494400000</v>
      </c>
      <c r="E2014" s="56">
        <v>494400000</v>
      </c>
      <c r="F2014" s="56">
        <v>494400000</v>
      </c>
      <c r="G2014" s="56">
        <v>20533500</v>
      </c>
      <c r="H2014" s="56">
        <v>17681000</v>
      </c>
      <c r="I2014" s="56">
        <v>30768000</v>
      </c>
      <c r="J2014" s="56">
        <v>75431750</v>
      </c>
      <c r="K2014" s="56">
        <v>50165000</v>
      </c>
      <c r="L2014" s="56">
        <v>25640250</v>
      </c>
      <c r="M2014" s="56">
        <v>42337000</v>
      </c>
      <c r="N2014" s="56">
        <v>68673500</v>
      </c>
      <c r="O2014" s="56">
        <v>27643000</v>
      </c>
      <c r="P2014" s="56">
        <v>40324500</v>
      </c>
      <c r="Q2014" s="56">
        <v>40696500</v>
      </c>
      <c r="R2014" s="56">
        <v>40115500</v>
      </c>
    </row>
    <row r="2015" spans="1:18" x14ac:dyDescent="0.25">
      <c r="A2015" s="2" t="s">
        <v>161</v>
      </c>
      <c r="B2015" s="2">
        <v>2017</v>
      </c>
      <c r="C2015" s="75" t="s">
        <v>160</v>
      </c>
      <c r="D2015" s="27">
        <v>482000000</v>
      </c>
      <c r="E2015" s="56">
        <v>513168314</v>
      </c>
      <c r="F2015" s="56">
        <v>513168314</v>
      </c>
      <c r="G2015" s="56">
        <v>3750078.57</v>
      </c>
      <c r="H2015" s="56">
        <v>3724133.14</v>
      </c>
      <c r="I2015" s="56">
        <v>10577374.08</v>
      </c>
      <c r="J2015" s="56">
        <v>7783215.1100000003</v>
      </c>
      <c r="K2015" s="56">
        <v>4681338.29</v>
      </c>
      <c r="L2015" s="56">
        <v>5401290.8700000001</v>
      </c>
      <c r="M2015" s="56">
        <v>11560179.49</v>
      </c>
      <c r="N2015" s="56">
        <v>45349043.329999998</v>
      </c>
      <c r="O2015" s="56">
        <v>63128028.539999999</v>
      </c>
      <c r="P2015" s="56">
        <v>34205578.469999999</v>
      </c>
      <c r="Q2015" s="56">
        <v>20767014.870000001</v>
      </c>
      <c r="R2015" s="56">
        <v>28529247.07</v>
      </c>
    </row>
    <row r="2016" spans="1:18" x14ac:dyDescent="0.25">
      <c r="A2016" s="2" t="s">
        <v>159</v>
      </c>
      <c r="B2016" s="2">
        <v>2017</v>
      </c>
      <c r="C2016" s="75" t="s">
        <v>158</v>
      </c>
      <c r="D2016" s="27">
        <v>0</v>
      </c>
      <c r="E2016" s="56">
        <v>176312813.15000001</v>
      </c>
      <c r="F2016" s="56">
        <v>176312813.15000001</v>
      </c>
      <c r="G2016" s="56">
        <v>0</v>
      </c>
      <c r="H2016" s="56">
        <v>176312813.15000001</v>
      </c>
      <c r="I2016" s="56">
        <v>0</v>
      </c>
      <c r="J2016" s="56">
        <v>0</v>
      </c>
      <c r="K2016" s="56">
        <v>0</v>
      </c>
      <c r="L2016" s="56">
        <v>0</v>
      </c>
      <c r="M2016" s="56">
        <v>0</v>
      </c>
      <c r="N2016" s="56">
        <v>0</v>
      </c>
      <c r="O2016" s="56">
        <v>0</v>
      </c>
      <c r="P2016" s="56">
        <v>0</v>
      </c>
      <c r="Q2016" s="56">
        <v>0</v>
      </c>
      <c r="R2016" s="56">
        <v>0</v>
      </c>
    </row>
    <row r="2017" spans="1:18" x14ac:dyDescent="0.25">
      <c r="A2017" s="2" t="s">
        <v>157</v>
      </c>
      <c r="B2017" s="2">
        <v>2017</v>
      </c>
      <c r="C2017" s="75" t="s">
        <v>156</v>
      </c>
      <c r="D2017" s="27">
        <v>30300000</v>
      </c>
      <c r="E2017" s="56">
        <v>30300000</v>
      </c>
      <c r="F2017" s="56">
        <v>30300000</v>
      </c>
      <c r="G2017" s="56">
        <v>0</v>
      </c>
      <c r="H2017" s="56">
        <v>0</v>
      </c>
      <c r="I2017" s="56">
        <v>0</v>
      </c>
      <c r="J2017" s="56">
        <v>0</v>
      </c>
      <c r="K2017" s="56">
        <v>0</v>
      </c>
      <c r="L2017" s="56">
        <v>6363000</v>
      </c>
      <c r="M2017" s="56">
        <v>2017000</v>
      </c>
      <c r="N2017" s="56">
        <v>2121100</v>
      </c>
      <c r="O2017" s="56">
        <v>0</v>
      </c>
      <c r="P2017" s="56">
        <v>0</v>
      </c>
      <c r="Q2017" s="56">
        <v>0</v>
      </c>
      <c r="R2017" s="56">
        <v>0</v>
      </c>
    </row>
    <row r="2018" spans="1:18" x14ac:dyDescent="0.25">
      <c r="A2018" s="2" t="s">
        <v>155</v>
      </c>
      <c r="B2018" s="2">
        <v>2017</v>
      </c>
      <c r="C2018" s="75" t="s">
        <v>154</v>
      </c>
      <c r="D2018" s="27">
        <v>239800000</v>
      </c>
      <c r="E2018" s="56">
        <v>239800000</v>
      </c>
      <c r="F2018" s="56">
        <v>239800000</v>
      </c>
      <c r="G2018" s="56">
        <v>0</v>
      </c>
      <c r="H2018" s="56">
        <v>0</v>
      </c>
      <c r="I2018" s="56">
        <v>0</v>
      </c>
      <c r="J2018" s="56">
        <v>0</v>
      </c>
      <c r="K2018" s="56">
        <v>0</v>
      </c>
      <c r="L2018" s="56">
        <v>0</v>
      </c>
      <c r="M2018" s="56">
        <v>0</v>
      </c>
      <c r="N2018" s="56">
        <v>0</v>
      </c>
      <c r="O2018" s="56">
        <v>0</v>
      </c>
      <c r="P2018" s="56">
        <v>0</v>
      </c>
      <c r="Q2018" s="56">
        <v>0</v>
      </c>
      <c r="R2018" s="56">
        <v>0</v>
      </c>
    </row>
    <row r="2019" spans="1:18" x14ac:dyDescent="0.25">
      <c r="A2019" s="2" t="s">
        <v>153</v>
      </c>
      <c r="B2019" s="2">
        <v>2017</v>
      </c>
      <c r="C2019" s="75" t="s">
        <v>151</v>
      </c>
      <c r="D2019" s="27">
        <v>136000000</v>
      </c>
      <c r="E2019" s="56">
        <v>136000000</v>
      </c>
      <c r="F2019" s="56">
        <v>136000000</v>
      </c>
      <c r="G2019" s="56">
        <v>2401225</v>
      </c>
      <c r="H2019" s="56">
        <v>608090.5</v>
      </c>
      <c r="I2019" s="56">
        <v>57550842.799999997</v>
      </c>
      <c r="J2019" s="56">
        <v>778593.35</v>
      </c>
      <c r="K2019" s="56">
        <v>743201.1</v>
      </c>
      <c r="L2019" s="56">
        <v>41153830.509999998</v>
      </c>
      <c r="M2019" s="56">
        <v>2248698</v>
      </c>
      <c r="N2019" s="56">
        <v>2242646.6</v>
      </c>
      <c r="O2019" s="56">
        <v>266600554.00999999</v>
      </c>
      <c r="P2019" s="56">
        <v>255249.57</v>
      </c>
      <c r="Q2019" s="56">
        <v>2684633.02</v>
      </c>
      <c r="R2019" s="56">
        <v>102603105.51000001</v>
      </c>
    </row>
    <row r="2020" spans="1:18" x14ac:dyDescent="0.25">
      <c r="A2020" s="2" t="s">
        <v>150</v>
      </c>
      <c r="B2020" s="2">
        <v>2017</v>
      </c>
      <c r="C2020" s="75" t="s">
        <v>149</v>
      </c>
      <c r="D2020" s="27">
        <v>57000000</v>
      </c>
      <c r="E2020" s="56">
        <v>57000000</v>
      </c>
      <c r="F2020" s="56">
        <v>57000000</v>
      </c>
      <c r="G2020" s="56">
        <v>4247134.5</v>
      </c>
      <c r="H2020" s="56">
        <v>0</v>
      </c>
      <c r="I2020" s="56">
        <v>4535206.0199999996</v>
      </c>
      <c r="J2020" s="56">
        <v>2607000</v>
      </c>
      <c r="K2020" s="56">
        <v>0</v>
      </c>
      <c r="L2020" s="56">
        <v>504941.53</v>
      </c>
      <c r="M2020" s="56">
        <v>3859139.07</v>
      </c>
      <c r="N2020" s="56">
        <v>6191803</v>
      </c>
      <c r="O2020" s="56">
        <v>10041227.609999999</v>
      </c>
      <c r="P2020" s="56">
        <v>27280530.460000001</v>
      </c>
      <c r="Q2020" s="56">
        <v>0</v>
      </c>
      <c r="R2020" s="56">
        <v>53038745.130000003</v>
      </c>
    </row>
    <row r="2021" spans="1:18" x14ac:dyDescent="0.25">
      <c r="A2021" s="2" t="s">
        <v>147</v>
      </c>
      <c r="B2021" s="2">
        <v>2017</v>
      </c>
      <c r="C2021" s="75" t="s">
        <v>146</v>
      </c>
      <c r="D2021" s="27">
        <v>3605000000</v>
      </c>
      <c r="E2021" s="56">
        <v>3605000000</v>
      </c>
      <c r="F2021" s="56">
        <v>3605000000</v>
      </c>
      <c r="G2021" s="56">
        <v>40299533.079999998</v>
      </c>
      <c r="H2021" s="56">
        <v>42610552.299999997</v>
      </c>
      <c r="I2021" s="56">
        <v>41263564.829999998</v>
      </c>
      <c r="J2021" s="56">
        <v>33410119.550000001</v>
      </c>
      <c r="K2021" s="56">
        <v>37215344.509999998</v>
      </c>
      <c r="L2021" s="56">
        <v>37652721.380000003</v>
      </c>
      <c r="M2021" s="56">
        <v>4991411.6500000004</v>
      </c>
      <c r="N2021" s="56">
        <v>34598324.409999996</v>
      </c>
      <c r="O2021" s="56">
        <v>33703944.270000003</v>
      </c>
      <c r="P2021" s="56">
        <v>27157992.84</v>
      </c>
      <c r="Q2021" s="56">
        <v>47326980.960000001</v>
      </c>
      <c r="R2021" s="56">
        <v>65954407.200000003</v>
      </c>
    </row>
    <row r="2022" spans="1:18" x14ac:dyDescent="0.25">
      <c r="A2022" s="2" t="s">
        <v>144</v>
      </c>
      <c r="B2022" s="2">
        <v>2017</v>
      </c>
      <c r="C2022" s="75" t="s">
        <v>143</v>
      </c>
      <c r="D2022" s="27">
        <v>17365195357</v>
      </c>
      <c r="E2022" s="56">
        <v>17365195357</v>
      </c>
      <c r="F2022" s="56">
        <v>17365195357</v>
      </c>
      <c r="G2022" s="56">
        <v>14547718478.6</v>
      </c>
      <c r="H2022" s="56">
        <v>1133112285.3199999</v>
      </c>
      <c r="I2022" s="56">
        <v>621131673.86000001</v>
      </c>
      <c r="J2022" s="56">
        <v>420675779.75</v>
      </c>
      <c r="K2022" s="56">
        <v>379030194.54000002</v>
      </c>
      <c r="L2022" s="56">
        <v>605983457.17999995</v>
      </c>
      <c r="M2022" s="56">
        <v>262231622.30000001</v>
      </c>
      <c r="N2022" s="56">
        <v>292435393.60000002</v>
      </c>
      <c r="O2022" s="56">
        <v>320320324.08999997</v>
      </c>
      <c r="P2022" s="56">
        <v>361018078.88999999</v>
      </c>
      <c r="Q2022" s="56">
        <v>2458275660.7399998</v>
      </c>
      <c r="R2022" s="56">
        <v>229694664.15000001</v>
      </c>
    </row>
    <row r="2023" spans="1:18" x14ac:dyDescent="0.25">
      <c r="A2023" s="2" t="s">
        <v>142</v>
      </c>
      <c r="B2023" s="2">
        <v>2017</v>
      </c>
      <c r="C2023" s="75" t="s">
        <v>141</v>
      </c>
      <c r="D2023" s="27">
        <v>2781000000</v>
      </c>
      <c r="E2023" s="56">
        <v>2781000000</v>
      </c>
      <c r="F2023" s="56">
        <v>2781000000</v>
      </c>
      <c r="G2023" s="56">
        <v>104807419.22</v>
      </c>
      <c r="H2023" s="56">
        <v>949677882.19000006</v>
      </c>
      <c r="I2023" s="56">
        <v>228689459.31</v>
      </c>
      <c r="J2023" s="56">
        <v>158143938.34</v>
      </c>
      <c r="K2023" s="56">
        <v>221379031.34999999</v>
      </c>
      <c r="L2023" s="56">
        <v>250161728.56999999</v>
      </c>
      <c r="M2023" s="56">
        <v>228474998.40000001</v>
      </c>
      <c r="N2023" s="56">
        <v>412086020.24000001</v>
      </c>
      <c r="O2023" s="56">
        <v>232687155.94999999</v>
      </c>
      <c r="P2023" s="56">
        <v>118708256.73999999</v>
      </c>
      <c r="Q2023" s="56">
        <v>505767948.68000001</v>
      </c>
      <c r="R2023" s="56">
        <v>284422906.39999998</v>
      </c>
    </row>
    <row r="2024" spans="1:18" x14ac:dyDescent="0.25">
      <c r="A2024" s="2" t="s">
        <v>140</v>
      </c>
      <c r="B2024" s="2">
        <v>2017</v>
      </c>
      <c r="C2024" s="75" t="s">
        <v>139</v>
      </c>
      <c r="D2024" s="27">
        <v>30383125794</v>
      </c>
      <c r="E2024" s="56">
        <v>31043575472.849998</v>
      </c>
      <c r="F2024" s="56">
        <v>31043575472.849998</v>
      </c>
      <c r="G2024" s="56">
        <v>0</v>
      </c>
      <c r="H2024" s="56">
        <v>0</v>
      </c>
      <c r="I2024" s="56">
        <v>529922250</v>
      </c>
      <c r="J2024" s="56">
        <v>0</v>
      </c>
      <c r="K2024" s="56">
        <v>1798650889.3199999</v>
      </c>
      <c r="L2024" s="56">
        <v>3615623845.9400001</v>
      </c>
      <c r="M2024" s="56">
        <v>7884757207.6800003</v>
      </c>
      <c r="N2024" s="56">
        <v>0</v>
      </c>
      <c r="O2024" s="56">
        <v>12343114487.6</v>
      </c>
      <c r="P2024" s="56">
        <v>0</v>
      </c>
      <c r="Q2024" s="56">
        <v>4867585521.8000002</v>
      </c>
      <c r="R2024" s="56">
        <v>0</v>
      </c>
    </row>
    <row r="2025" spans="1:18" x14ac:dyDescent="0.25">
      <c r="A2025" s="2" t="s">
        <v>372</v>
      </c>
      <c r="B2025" s="2">
        <v>2017</v>
      </c>
      <c r="C2025" s="75" t="s">
        <v>398</v>
      </c>
      <c r="D2025" s="27">
        <v>409000000</v>
      </c>
      <c r="E2025" s="56">
        <v>409000000</v>
      </c>
      <c r="F2025" s="56">
        <v>409000000</v>
      </c>
      <c r="G2025" s="56">
        <v>0</v>
      </c>
      <c r="H2025" s="56">
        <v>0</v>
      </c>
      <c r="I2025" s="56">
        <v>0</v>
      </c>
      <c r="J2025" s="56">
        <v>0</v>
      </c>
      <c r="K2025" s="56">
        <v>0</v>
      </c>
      <c r="L2025" s="56">
        <v>0</v>
      </c>
      <c r="M2025" s="56">
        <v>0</v>
      </c>
      <c r="N2025" s="56">
        <v>0</v>
      </c>
      <c r="O2025" s="56">
        <v>0</v>
      </c>
      <c r="P2025" s="56">
        <v>0</v>
      </c>
      <c r="Q2025" s="56">
        <v>0</v>
      </c>
      <c r="R2025" s="56">
        <v>0</v>
      </c>
    </row>
    <row r="2026" spans="1:18" x14ac:dyDescent="0.25">
      <c r="A2026" s="2" t="s">
        <v>138</v>
      </c>
      <c r="B2026" s="2">
        <v>2017</v>
      </c>
      <c r="C2026" s="75" t="s">
        <v>137</v>
      </c>
      <c r="D2026" s="27">
        <v>12349057709</v>
      </c>
      <c r="E2026" s="56">
        <v>12349057709</v>
      </c>
      <c r="F2026" s="56">
        <v>12349057709</v>
      </c>
      <c r="G2026" s="56">
        <v>0</v>
      </c>
      <c r="H2026" s="56">
        <v>0</v>
      </c>
      <c r="I2026" s="56">
        <v>11235000</v>
      </c>
      <c r="J2026" s="56">
        <v>2172190000</v>
      </c>
      <c r="K2026" s="56">
        <v>1471072500</v>
      </c>
      <c r="L2026" s="56">
        <v>843885000</v>
      </c>
      <c r="M2026" s="56">
        <v>924155000</v>
      </c>
      <c r="N2026" s="56">
        <v>956221250</v>
      </c>
      <c r="O2026" s="56">
        <v>962068750</v>
      </c>
      <c r="P2026" s="56">
        <v>955561250</v>
      </c>
      <c r="Q2026" s="56">
        <v>856642500</v>
      </c>
      <c r="R2026" s="56">
        <v>905575000</v>
      </c>
    </row>
    <row r="2027" spans="1:18" x14ac:dyDescent="0.25">
      <c r="A2027" s="2" t="s">
        <v>136</v>
      </c>
      <c r="B2027" s="2">
        <v>2017</v>
      </c>
      <c r="C2027" s="75" t="s">
        <v>135</v>
      </c>
      <c r="D2027" s="27">
        <v>1800000000</v>
      </c>
      <c r="E2027" s="56">
        <v>1800000000</v>
      </c>
      <c r="F2027" s="56">
        <v>1800000000</v>
      </c>
      <c r="G2027" s="56">
        <v>0</v>
      </c>
      <c r="H2027" s="56">
        <v>150000000</v>
      </c>
      <c r="I2027" s="56">
        <v>150000000</v>
      </c>
      <c r="J2027" s="56">
        <v>0</v>
      </c>
      <c r="K2027" s="56">
        <v>300000000</v>
      </c>
      <c r="L2027" s="56">
        <v>150000000</v>
      </c>
      <c r="M2027" s="56">
        <v>150000000</v>
      </c>
      <c r="N2027" s="56">
        <v>0</v>
      </c>
      <c r="O2027" s="56">
        <v>150000000</v>
      </c>
      <c r="P2027" s="56">
        <v>0</v>
      </c>
      <c r="Q2027" s="56">
        <v>300000000</v>
      </c>
      <c r="R2027" s="56">
        <v>0</v>
      </c>
    </row>
    <row r="2028" spans="1:18" x14ac:dyDescent="0.25">
      <c r="A2028" s="2" t="s">
        <v>134</v>
      </c>
      <c r="B2028" s="2">
        <v>2017</v>
      </c>
      <c r="C2028" s="75" t="s">
        <v>133</v>
      </c>
      <c r="D2028" s="27">
        <v>73338395087</v>
      </c>
      <c r="E2028" s="56">
        <v>73338395087</v>
      </c>
      <c r="F2028" s="56">
        <v>73338395087</v>
      </c>
      <c r="G2028" s="56">
        <v>0</v>
      </c>
      <c r="H2028" s="56">
        <v>6111532923.9200001</v>
      </c>
      <c r="I2028" s="56">
        <v>6111532923.9200001</v>
      </c>
      <c r="J2028" s="56">
        <v>1822054221.2</v>
      </c>
      <c r="K2028" s="56">
        <v>12223065847.799999</v>
      </c>
      <c r="L2028" s="56">
        <v>6111532923.8999996</v>
      </c>
      <c r="M2028" s="56">
        <v>6111532923.8999996</v>
      </c>
      <c r="N2028" s="56">
        <v>6111532913.8999996</v>
      </c>
      <c r="O2028" s="56">
        <v>0</v>
      </c>
      <c r="P2028" s="56">
        <v>6111532923.8999996</v>
      </c>
      <c r="Q2028" s="56">
        <v>12223065847</v>
      </c>
      <c r="R2028" s="56">
        <v>6111532923.8999996</v>
      </c>
    </row>
    <row r="2029" spans="1:18" x14ac:dyDescent="0.25">
      <c r="A2029" s="2" t="s">
        <v>132</v>
      </c>
      <c r="B2029" s="2">
        <v>2017</v>
      </c>
      <c r="C2029" s="75" t="s">
        <v>131</v>
      </c>
      <c r="D2029" s="27">
        <v>17738274829</v>
      </c>
      <c r="E2029" s="56">
        <v>17738274829</v>
      </c>
      <c r="F2029" s="56">
        <v>17738274829</v>
      </c>
      <c r="G2029" s="56">
        <v>0</v>
      </c>
      <c r="H2029" s="56">
        <v>0</v>
      </c>
      <c r="I2029" s="56">
        <v>3804222149.8899999</v>
      </c>
      <c r="J2029" s="56">
        <v>0</v>
      </c>
      <c r="K2029" s="56">
        <v>10030631113.629999</v>
      </c>
      <c r="L2029" s="56">
        <v>3903421565.46</v>
      </c>
      <c r="M2029" s="56">
        <v>0</v>
      </c>
      <c r="N2029" s="56">
        <v>0</v>
      </c>
      <c r="O2029" s="56">
        <v>0</v>
      </c>
      <c r="P2029" s="56">
        <v>0</v>
      </c>
      <c r="Q2029" s="56">
        <v>0</v>
      </c>
      <c r="R2029" s="56">
        <v>0</v>
      </c>
    </row>
    <row r="2030" spans="1:18" x14ac:dyDescent="0.25">
      <c r="A2030" s="2" t="s">
        <v>130</v>
      </c>
      <c r="B2030" s="2">
        <v>2017</v>
      </c>
      <c r="C2030" s="75" t="s">
        <v>129</v>
      </c>
      <c r="D2030" s="27">
        <v>50000000000</v>
      </c>
      <c r="E2030" s="56">
        <v>50000000000</v>
      </c>
      <c r="F2030" s="56">
        <v>50000000000</v>
      </c>
      <c r="G2030" s="56">
        <v>3594172693.8499999</v>
      </c>
      <c r="H2030" s="56">
        <v>4445000000</v>
      </c>
      <c r="I2030" s="56">
        <v>3545000000</v>
      </c>
      <c r="J2030" s="56">
        <v>0</v>
      </c>
      <c r="K2030" s="56">
        <v>7001169901.3999996</v>
      </c>
      <c r="L2030" s="56">
        <v>4742321999.8999996</v>
      </c>
      <c r="M2030" s="56">
        <v>3487982000</v>
      </c>
      <c r="N2030" s="56">
        <v>0</v>
      </c>
      <c r="O2030" s="56">
        <v>7307606000</v>
      </c>
      <c r="P2030" s="56">
        <v>0</v>
      </c>
      <c r="Q2030" s="56">
        <v>7904337500</v>
      </c>
      <c r="R2030" s="56">
        <v>5502916517.3999996</v>
      </c>
    </row>
    <row r="2031" spans="1:18" x14ac:dyDescent="0.25">
      <c r="A2031" s="2" t="s">
        <v>128</v>
      </c>
      <c r="B2031" s="2">
        <v>2017</v>
      </c>
      <c r="C2031" s="75" t="s">
        <v>127</v>
      </c>
      <c r="D2031" s="27">
        <v>7177242240</v>
      </c>
      <c r="E2031" s="56">
        <v>7177242240</v>
      </c>
      <c r="F2031" s="56">
        <v>7177242240</v>
      </c>
      <c r="G2031" s="56">
        <v>0</v>
      </c>
      <c r="H2031" s="56">
        <v>598100000</v>
      </c>
      <c r="I2031" s="56">
        <v>598100000</v>
      </c>
      <c r="J2031" s="56">
        <v>0</v>
      </c>
      <c r="K2031" s="56">
        <v>1162582259</v>
      </c>
      <c r="L2031" s="56">
        <v>631735341.20000005</v>
      </c>
      <c r="M2031" s="56">
        <v>0</v>
      </c>
      <c r="N2031" s="56">
        <v>1159869671</v>
      </c>
      <c r="O2031" s="56">
        <v>625050006</v>
      </c>
      <c r="P2031" s="56">
        <v>607437982</v>
      </c>
      <c r="Q2031" s="56">
        <v>598103520</v>
      </c>
      <c r="R2031" s="56">
        <v>598159941</v>
      </c>
    </row>
    <row r="2032" spans="1:18" x14ac:dyDescent="0.25">
      <c r="A2032" s="2" t="s">
        <v>126</v>
      </c>
      <c r="B2032" s="2">
        <v>2017</v>
      </c>
      <c r="C2032" s="75" t="s">
        <v>125</v>
      </c>
      <c r="D2032" s="27">
        <v>2932734150</v>
      </c>
      <c r="E2032" s="56">
        <v>2932734150</v>
      </c>
      <c r="F2032" s="56">
        <v>2932734150</v>
      </c>
      <c r="G2032" s="56">
        <v>0</v>
      </c>
      <c r="H2032" s="56">
        <v>147235070</v>
      </c>
      <c r="I2032" s="56">
        <v>0</v>
      </c>
      <c r="J2032" s="56">
        <v>520650297.88</v>
      </c>
      <c r="K2032" s="56">
        <v>94893563.280000001</v>
      </c>
      <c r="L2032" s="56">
        <v>0</v>
      </c>
      <c r="M2032" s="56">
        <v>0</v>
      </c>
      <c r="N2032" s="56">
        <v>172551491.40000001</v>
      </c>
      <c r="O2032" s="56">
        <v>0</v>
      </c>
      <c r="P2032" s="56">
        <v>95674948.109999999</v>
      </c>
      <c r="Q2032" s="56">
        <v>301639173.55000001</v>
      </c>
      <c r="R2032" s="56">
        <v>246418158.55000001</v>
      </c>
    </row>
    <row r="2033" spans="1:18" x14ac:dyDescent="0.25">
      <c r="A2033" s="2" t="s">
        <v>124</v>
      </c>
      <c r="B2033" s="2">
        <v>2017</v>
      </c>
      <c r="C2033" s="75" t="s">
        <v>123</v>
      </c>
      <c r="D2033" s="27">
        <v>1000000000</v>
      </c>
      <c r="E2033" s="56">
        <v>1000000000</v>
      </c>
      <c r="F2033" s="56">
        <v>1000000000</v>
      </c>
      <c r="G2033" s="56">
        <v>0</v>
      </c>
      <c r="H2033" s="56">
        <v>0</v>
      </c>
      <c r="I2033" s="56">
        <v>0</v>
      </c>
      <c r="J2033" s="56">
        <v>0</v>
      </c>
      <c r="K2033" s="56">
        <v>0</v>
      </c>
      <c r="L2033" s="56">
        <v>0</v>
      </c>
      <c r="M2033" s="56">
        <v>0</v>
      </c>
      <c r="N2033" s="56">
        <v>0</v>
      </c>
      <c r="O2033" s="56">
        <v>0</v>
      </c>
      <c r="P2033" s="56">
        <v>0</v>
      </c>
      <c r="Q2033" s="56">
        <v>0</v>
      </c>
      <c r="R2033" s="56">
        <v>0</v>
      </c>
    </row>
    <row r="2034" spans="1:18" x14ac:dyDescent="0.25">
      <c r="A2034" s="2" t="s">
        <v>122</v>
      </c>
      <c r="B2034" s="2">
        <v>2017</v>
      </c>
      <c r="C2034" s="75" t="s">
        <v>121</v>
      </c>
      <c r="D2034" s="27">
        <v>3429363146</v>
      </c>
      <c r="E2034" s="56">
        <v>3429363146</v>
      </c>
      <c r="F2034" s="56">
        <v>3429363146</v>
      </c>
      <c r="G2034" s="56">
        <v>0</v>
      </c>
      <c r="H2034" s="56">
        <v>428595458.55000001</v>
      </c>
      <c r="I2034" s="56">
        <v>216406601.12</v>
      </c>
      <c r="J2034" s="56">
        <v>222983582.75999999</v>
      </c>
      <c r="K2034" s="56">
        <v>222783386.13</v>
      </c>
      <c r="L2034" s="56">
        <v>224151656.47</v>
      </c>
      <c r="M2034" s="56">
        <v>231144944.65000001</v>
      </c>
      <c r="N2034" s="56">
        <v>224440363.31</v>
      </c>
      <c r="O2034" s="56">
        <v>228884126.75999999</v>
      </c>
      <c r="P2034" s="56">
        <v>231158528.19999999</v>
      </c>
      <c r="Q2034" s="56">
        <v>228202322.43000001</v>
      </c>
      <c r="R2034" s="56">
        <v>657509748</v>
      </c>
    </row>
    <row r="2035" spans="1:18" x14ac:dyDescent="0.25">
      <c r="A2035" s="2" t="s">
        <v>120</v>
      </c>
      <c r="B2035" s="2">
        <v>2017</v>
      </c>
      <c r="C2035" s="75" t="s">
        <v>119</v>
      </c>
      <c r="D2035" s="27">
        <v>649367131</v>
      </c>
      <c r="E2035" s="56">
        <v>649367131</v>
      </c>
      <c r="F2035" s="56">
        <v>649367131</v>
      </c>
      <c r="G2035" s="56">
        <v>0</v>
      </c>
      <c r="H2035" s="56">
        <v>0</v>
      </c>
      <c r="I2035" s="56">
        <v>0</v>
      </c>
      <c r="J2035" s="56">
        <v>0</v>
      </c>
      <c r="K2035" s="56">
        <v>0</v>
      </c>
      <c r="L2035" s="56">
        <v>0</v>
      </c>
      <c r="M2035" s="56">
        <v>529612000</v>
      </c>
      <c r="N2035" s="56">
        <v>0</v>
      </c>
      <c r="O2035" s="56">
        <v>0</v>
      </c>
      <c r="P2035" s="56">
        <v>0</v>
      </c>
      <c r="Q2035" s="56">
        <v>0</v>
      </c>
      <c r="R2035" s="56">
        <v>0</v>
      </c>
    </row>
    <row r="2036" spans="1:18" x14ac:dyDescent="0.25">
      <c r="A2036" s="2" t="s">
        <v>118</v>
      </c>
      <c r="B2036" s="2">
        <v>2017</v>
      </c>
      <c r="C2036" s="75" t="s">
        <v>117</v>
      </c>
      <c r="D2036" s="27">
        <v>555240461</v>
      </c>
      <c r="E2036" s="56">
        <v>555240461</v>
      </c>
      <c r="F2036" s="56">
        <v>555240461</v>
      </c>
      <c r="G2036" s="56">
        <v>0</v>
      </c>
      <c r="H2036" s="56">
        <v>0</v>
      </c>
      <c r="I2036" s="56">
        <v>0</v>
      </c>
      <c r="J2036" s="56">
        <v>0</v>
      </c>
      <c r="K2036" s="56">
        <v>174743431.16999999</v>
      </c>
      <c r="L2036" s="56">
        <v>43876135.75</v>
      </c>
      <c r="M2036" s="56">
        <v>44217735.75</v>
      </c>
      <c r="N2036" s="56">
        <v>0</v>
      </c>
      <c r="O2036" s="56">
        <v>0</v>
      </c>
      <c r="P2036" s="56">
        <v>101939945.47</v>
      </c>
      <c r="Q2036" s="56">
        <v>29623669.079999998</v>
      </c>
      <c r="R2036" s="56">
        <v>19740227.329999998</v>
      </c>
    </row>
    <row r="2037" spans="1:18" x14ac:dyDescent="0.25">
      <c r="A2037" s="2" t="s">
        <v>371</v>
      </c>
      <c r="B2037" s="2">
        <v>2017</v>
      </c>
      <c r="C2037" s="75" t="s">
        <v>619</v>
      </c>
      <c r="D2037" s="27">
        <v>0</v>
      </c>
      <c r="E2037" s="56">
        <v>0</v>
      </c>
      <c r="F2037" s="56">
        <v>0</v>
      </c>
      <c r="G2037" s="56">
        <v>0</v>
      </c>
      <c r="H2037" s="56">
        <v>0</v>
      </c>
      <c r="I2037" s="56">
        <v>0</v>
      </c>
      <c r="J2037" s="56">
        <v>0</v>
      </c>
      <c r="K2037" s="56">
        <v>0</v>
      </c>
      <c r="L2037" s="56">
        <v>0</v>
      </c>
      <c r="M2037" s="56">
        <v>0</v>
      </c>
      <c r="N2037" s="56">
        <v>0</v>
      </c>
      <c r="O2037" s="56">
        <v>0</v>
      </c>
      <c r="P2037" s="56">
        <v>0</v>
      </c>
      <c r="Q2037" s="56">
        <v>0</v>
      </c>
      <c r="R2037" s="56">
        <v>385925120.58999997</v>
      </c>
    </row>
    <row r="2038" spans="1:18" x14ac:dyDescent="0.25">
      <c r="A2038" s="2" t="s">
        <v>115</v>
      </c>
      <c r="B2038" s="2">
        <v>2017</v>
      </c>
      <c r="C2038" s="75" t="s">
        <v>114</v>
      </c>
      <c r="D2038" s="27">
        <v>3700000</v>
      </c>
      <c r="E2038" s="56">
        <v>3700000</v>
      </c>
      <c r="F2038" s="56">
        <v>3700000</v>
      </c>
      <c r="G2038" s="56">
        <v>0</v>
      </c>
      <c r="H2038" s="56">
        <v>3700000</v>
      </c>
      <c r="I2038" s="56">
        <v>0</v>
      </c>
      <c r="J2038" s="56">
        <v>0</v>
      </c>
      <c r="K2038" s="56">
        <v>0</v>
      </c>
      <c r="L2038" s="56">
        <v>0</v>
      </c>
      <c r="M2038" s="56">
        <v>0</v>
      </c>
      <c r="N2038" s="56">
        <v>0</v>
      </c>
      <c r="O2038" s="56">
        <v>0</v>
      </c>
      <c r="P2038" s="56">
        <v>0</v>
      </c>
      <c r="Q2038" s="56">
        <v>0</v>
      </c>
      <c r="R2038" s="56">
        <v>0</v>
      </c>
    </row>
    <row r="2039" spans="1:18" x14ac:dyDescent="0.25">
      <c r="A2039" s="2" t="s">
        <v>113</v>
      </c>
      <c r="B2039" s="2">
        <v>2017</v>
      </c>
      <c r="C2039" s="75" t="s">
        <v>112</v>
      </c>
      <c r="D2039" s="27">
        <v>300000</v>
      </c>
      <c r="E2039" s="56">
        <v>300000</v>
      </c>
      <c r="F2039" s="56">
        <v>300000</v>
      </c>
      <c r="G2039" s="56">
        <v>0</v>
      </c>
      <c r="H2039" s="56">
        <v>0</v>
      </c>
      <c r="I2039" s="56">
        <v>0</v>
      </c>
      <c r="J2039" s="56">
        <v>0</v>
      </c>
      <c r="K2039" s="56">
        <v>0</v>
      </c>
      <c r="L2039" s="56">
        <v>0</v>
      </c>
      <c r="M2039" s="56">
        <v>0</v>
      </c>
      <c r="N2039" s="56">
        <v>0</v>
      </c>
      <c r="O2039" s="56">
        <v>0</v>
      </c>
      <c r="P2039" s="56">
        <v>0</v>
      </c>
      <c r="Q2039" s="56">
        <v>0</v>
      </c>
      <c r="R2039" s="56">
        <v>0</v>
      </c>
    </row>
    <row r="2040" spans="1:18" x14ac:dyDescent="0.25">
      <c r="A2040" s="2" t="s">
        <v>111</v>
      </c>
      <c r="B2040" s="2">
        <v>2017</v>
      </c>
      <c r="C2040" s="75" t="s">
        <v>110</v>
      </c>
      <c r="D2040" s="27">
        <v>38800000</v>
      </c>
      <c r="E2040" s="56">
        <v>38800000</v>
      </c>
      <c r="F2040" s="56">
        <v>38800000</v>
      </c>
      <c r="G2040" s="56">
        <v>0</v>
      </c>
      <c r="H2040" s="56">
        <v>0</v>
      </c>
      <c r="I2040" s="56">
        <v>38800000</v>
      </c>
      <c r="J2040" s="56">
        <v>0</v>
      </c>
      <c r="K2040" s="56">
        <v>0</v>
      </c>
      <c r="L2040" s="56">
        <v>0</v>
      </c>
      <c r="M2040" s="56">
        <v>0</v>
      </c>
      <c r="N2040" s="56">
        <v>0</v>
      </c>
      <c r="O2040" s="56">
        <v>0</v>
      </c>
      <c r="P2040" s="56">
        <v>0</v>
      </c>
      <c r="Q2040" s="56">
        <v>0</v>
      </c>
      <c r="R2040" s="56">
        <v>0</v>
      </c>
    </row>
    <row r="2041" spans="1:18" x14ac:dyDescent="0.25">
      <c r="A2041" s="2" t="s">
        <v>109</v>
      </c>
      <c r="B2041" s="2">
        <v>2017</v>
      </c>
      <c r="C2041" s="75" t="s">
        <v>108</v>
      </c>
      <c r="D2041" s="27">
        <v>7100000</v>
      </c>
      <c r="E2041" s="56">
        <v>7100000</v>
      </c>
      <c r="F2041" s="56">
        <v>7100000</v>
      </c>
      <c r="G2041" s="56">
        <v>0</v>
      </c>
      <c r="H2041" s="56">
        <v>0</v>
      </c>
      <c r="I2041" s="56">
        <v>0</v>
      </c>
      <c r="J2041" s="56">
        <v>0</v>
      </c>
      <c r="K2041" s="56">
        <v>0</v>
      </c>
      <c r="L2041" s="56">
        <v>0</v>
      </c>
      <c r="M2041" s="56">
        <v>0</v>
      </c>
      <c r="N2041" s="56">
        <v>0</v>
      </c>
      <c r="O2041" s="56">
        <v>7100000</v>
      </c>
      <c r="P2041" s="56">
        <v>0</v>
      </c>
      <c r="Q2041" s="56">
        <v>0</v>
      </c>
      <c r="R2041" s="56">
        <v>0</v>
      </c>
    </row>
    <row r="2042" spans="1:18" x14ac:dyDescent="0.25">
      <c r="A2042" s="2" t="s">
        <v>107</v>
      </c>
      <c r="B2042" s="2">
        <v>2017</v>
      </c>
      <c r="C2042" s="75" t="s">
        <v>106</v>
      </c>
      <c r="D2042" s="27">
        <v>53300000</v>
      </c>
      <c r="E2042" s="56">
        <v>53300000</v>
      </c>
      <c r="F2042" s="56">
        <v>53300000</v>
      </c>
      <c r="G2042" s="56">
        <v>0</v>
      </c>
      <c r="H2042" s="56">
        <v>53300000</v>
      </c>
      <c r="I2042" s="56">
        <v>0</v>
      </c>
      <c r="J2042" s="56">
        <v>0</v>
      </c>
      <c r="K2042" s="56">
        <v>0</v>
      </c>
      <c r="L2042" s="56">
        <v>0</v>
      </c>
      <c r="M2042" s="56">
        <v>0</v>
      </c>
      <c r="N2042" s="56">
        <v>0</v>
      </c>
      <c r="O2042" s="56">
        <v>0</v>
      </c>
      <c r="P2042" s="56">
        <v>0</v>
      </c>
      <c r="Q2042" s="56">
        <v>0</v>
      </c>
      <c r="R2042" s="56">
        <v>0</v>
      </c>
    </row>
    <row r="2043" spans="1:18" x14ac:dyDescent="0.25">
      <c r="A2043" s="2" t="s">
        <v>105</v>
      </c>
      <c r="B2043" s="2">
        <v>2017</v>
      </c>
      <c r="C2043" s="75" t="s">
        <v>104</v>
      </c>
      <c r="D2043" s="27">
        <v>41700000</v>
      </c>
      <c r="E2043" s="56">
        <v>41700000</v>
      </c>
      <c r="F2043" s="56">
        <v>41700000</v>
      </c>
      <c r="G2043" s="56">
        <v>0</v>
      </c>
      <c r="H2043" s="56">
        <v>0</v>
      </c>
      <c r="I2043" s="56">
        <v>0</v>
      </c>
      <c r="J2043" s="56">
        <v>0</v>
      </c>
      <c r="K2043" s="56">
        <v>0</v>
      </c>
      <c r="L2043" s="56">
        <v>0</v>
      </c>
      <c r="M2043" s="56">
        <v>41700000</v>
      </c>
      <c r="N2043" s="56">
        <v>0</v>
      </c>
      <c r="O2043" s="56">
        <v>0</v>
      </c>
      <c r="P2043" s="56">
        <v>0</v>
      </c>
      <c r="Q2043" s="56">
        <v>0</v>
      </c>
      <c r="R2043" s="56">
        <v>0</v>
      </c>
    </row>
    <row r="2044" spans="1:18" x14ac:dyDescent="0.25">
      <c r="A2044" s="2" t="s">
        <v>103</v>
      </c>
      <c r="B2044" s="2">
        <v>2017</v>
      </c>
      <c r="C2044" s="75" t="s">
        <v>102</v>
      </c>
      <c r="D2044" s="27">
        <v>57200000</v>
      </c>
      <c r="E2044" s="56">
        <v>57200000</v>
      </c>
      <c r="F2044" s="56">
        <v>57200000</v>
      </c>
      <c r="G2044" s="56">
        <v>0</v>
      </c>
      <c r="H2044" s="56">
        <v>50000000</v>
      </c>
      <c r="I2044" s="56">
        <v>0</v>
      </c>
      <c r="J2044" s="56">
        <v>0</v>
      </c>
      <c r="K2044" s="56">
        <v>6000000</v>
      </c>
      <c r="L2044" s="56">
        <v>0</v>
      </c>
      <c r="M2044" s="56">
        <v>0</v>
      </c>
      <c r="N2044" s="56">
        <v>30093359.829999998</v>
      </c>
      <c r="O2044" s="56">
        <v>0</v>
      </c>
      <c r="P2044" s="56">
        <v>-280505.58</v>
      </c>
      <c r="Q2044" s="56">
        <v>0</v>
      </c>
      <c r="R2044" s="56">
        <v>0</v>
      </c>
    </row>
    <row r="2045" spans="1:18" x14ac:dyDescent="0.25">
      <c r="A2045" s="2" t="s">
        <v>101</v>
      </c>
      <c r="B2045" s="2">
        <v>2017</v>
      </c>
      <c r="C2045" s="75" t="s">
        <v>100</v>
      </c>
      <c r="D2045" s="27">
        <v>10000000</v>
      </c>
      <c r="E2045" s="56">
        <v>10000000</v>
      </c>
      <c r="F2045" s="56">
        <v>10000000</v>
      </c>
      <c r="G2045" s="56">
        <v>0</v>
      </c>
      <c r="H2045" s="56">
        <v>0</v>
      </c>
      <c r="I2045" s="56">
        <v>0</v>
      </c>
      <c r="J2045" s="56">
        <v>0</v>
      </c>
      <c r="K2045" s="56">
        <v>0</v>
      </c>
      <c r="L2045" s="56">
        <v>0</v>
      </c>
      <c r="M2045" s="56">
        <v>0</v>
      </c>
      <c r="N2045" s="56">
        <v>0</v>
      </c>
      <c r="O2045" s="56">
        <v>10000000</v>
      </c>
      <c r="P2045" s="56">
        <v>0</v>
      </c>
      <c r="Q2045" s="56">
        <v>0</v>
      </c>
      <c r="R2045" s="56">
        <v>0</v>
      </c>
    </row>
    <row r="2046" spans="1:18" x14ac:dyDescent="0.25">
      <c r="A2046" s="2" t="s">
        <v>99</v>
      </c>
      <c r="B2046" s="2">
        <v>2017</v>
      </c>
      <c r="C2046" s="75" t="s">
        <v>98</v>
      </c>
      <c r="D2046" s="27">
        <v>60200000</v>
      </c>
      <c r="E2046" s="56">
        <v>60200000</v>
      </c>
      <c r="F2046" s="56">
        <v>60200000</v>
      </c>
      <c r="G2046" s="56">
        <v>0</v>
      </c>
      <c r="H2046" s="56">
        <v>0</v>
      </c>
      <c r="I2046" s="56">
        <v>0</v>
      </c>
      <c r="J2046" s="56">
        <v>60200000</v>
      </c>
      <c r="K2046" s="56">
        <v>0</v>
      </c>
      <c r="L2046" s="56">
        <v>0</v>
      </c>
      <c r="M2046" s="56">
        <v>0</v>
      </c>
      <c r="N2046" s="56">
        <v>0</v>
      </c>
      <c r="O2046" s="56">
        <v>0</v>
      </c>
      <c r="P2046" s="56">
        <v>0</v>
      </c>
      <c r="Q2046" s="56">
        <v>0</v>
      </c>
      <c r="R2046" s="56">
        <v>0</v>
      </c>
    </row>
    <row r="2047" spans="1:18" x14ac:dyDescent="0.25">
      <c r="A2047" s="2" t="s">
        <v>97</v>
      </c>
      <c r="B2047" s="2">
        <v>2017</v>
      </c>
      <c r="C2047" s="75" t="s">
        <v>96</v>
      </c>
      <c r="D2047" s="27">
        <v>8200000</v>
      </c>
      <c r="E2047" s="56">
        <v>8200000</v>
      </c>
      <c r="F2047" s="56">
        <v>8200000</v>
      </c>
      <c r="G2047" s="56">
        <v>0</v>
      </c>
      <c r="H2047" s="56">
        <v>0</v>
      </c>
      <c r="I2047" s="56">
        <v>0</v>
      </c>
      <c r="J2047" s="56">
        <v>8200000</v>
      </c>
      <c r="K2047" s="56">
        <v>0</v>
      </c>
      <c r="L2047" s="56">
        <v>0</v>
      </c>
      <c r="M2047" s="56">
        <v>0</v>
      </c>
      <c r="N2047" s="56">
        <v>0</v>
      </c>
      <c r="O2047" s="56">
        <v>0</v>
      </c>
      <c r="P2047" s="56">
        <v>0</v>
      </c>
      <c r="Q2047" s="56">
        <v>0</v>
      </c>
      <c r="R2047" s="56">
        <v>0</v>
      </c>
    </row>
    <row r="2048" spans="1:18" x14ac:dyDescent="0.25">
      <c r="A2048" s="2" t="s">
        <v>95</v>
      </c>
      <c r="B2048" s="2">
        <v>2017</v>
      </c>
      <c r="C2048" s="75" t="s">
        <v>94</v>
      </c>
      <c r="D2048" s="27">
        <v>146000000</v>
      </c>
      <c r="E2048" s="56">
        <v>146000000</v>
      </c>
      <c r="F2048" s="56">
        <v>146000000</v>
      </c>
      <c r="G2048" s="56">
        <v>0</v>
      </c>
      <c r="H2048" s="56">
        <v>0</v>
      </c>
      <c r="I2048" s="56">
        <v>0</v>
      </c>
      <c r="J2048" s="56">
        <v>0</v>
      </c>
      <c r="K2048" s="56">
        <v>0</v>
      </c>
      <c r="L2048" s="56">
        <v>0</v>
      </c>
      <c r="M2048" s="56">
        <v>146000000</v>
      </c>
      <c r="N2048" s="56">
        <v>0</v>
      </c>
      <c r="O2048" s="56">
        <v>0</v>
      </c>
      <c r="P2048" s="56">
        <v>0</v>
      </c>
      <c r="Q2048" s="56">
        <v>0</v>
      </c>
      <c r="R2048" s="56">
        <v>0</v>
      </c>
    </row>
    <row r="2049" spans="1:18" x14ac:dyDescent="0.25">
      <c r="A2049" s="2" t="s">
        <v>93</v>
      </c>
      <c r="B2049" s="2">
        <v>2017</v>
      </c>
      <c r="C2049" s="75" t="s">
        <v>92</v>
      </c>
      <c r="D2049" s="27">
        <v>31100000</v>
      </c>
      <c r="E2049" s="56">
        <v>31100000</v>
      </c>
      <c r="F2049" s="56">
        <v>31100000</v>
      </c>
      <c r="G2049" s="56">
        <v>0</v>
      </c>
      <c r="H2049" s="56">
        <v>9200000</v>
      </c>
      <c r="I2049" s="56">
        <v>0</v>
      </c>
      <c r="J2049" s="56">
        <v>0</v>
      </c>
      <c r="K2049" s="56">
        <v>0</v>
      </c>
      <c r="L2049" s="56">
        <v>7775000</v>
      </c>
      <c r="M2049" s="56">
        <v>7775000</v>
      </c>
      <c r="N2049" s="56">
        <v>0</v>
      </c>
      <c r="O2049" s="56">
        <v>0</v>
      </c>
      <c r="P2049" s="56">
        <v>0</v>
      </c>
      <c r="Q2049" s="56">
        <v>0</v>
      </c>
      <c r="R2049" s="56">
        <v>15550000</v>
      </c>
    </row>
    <row r="2050" spans="1:18" x14ac:dyDescent="0.25">
      <c r="A2050" s="2" t="s">
        <v>91</v>
      </c>
      <c r="B2050" s="2">
        <v>2017</v>
      </c>
      <c r="C2050" s="75" t="s">
        <v>90</v>
      </c>
      <c r="D2050" s="27">
        <v>5408688490</v>
      </c>
      <c r="E2050" s="56">
        <v>5408688490</v>
      </c>
      <c r="F2050" s="56">
        <v>5408688490</v>
      </c>
      <c r="G2050" s="56">
        <v>0</v>
      </c>
      <c r="H2050" s="56">
        <v>0</v>
      </c>
      <c r="I2050" s="56">
        <v>0</v>
      </c>
      <c r="J2050" s="56">
        <v>0</v>
      </c>
      <c r="K2050" s="56">
        <v>0</v>
      </c>
      <c r="L2050" s="56">
        <v>0</v>
      </c>
      <c r="M2050" s="56">
        <v>0</v>
      </c>
      <c r="N2050" s="56">
        <v>0</v>
      </c>
      <c r="O2050" s="56">
        <v>5408688491</v>
      </c>
      <c r="P2050" s="56">
        <v>0</v>
      </c>
      <c r="Q2050" s="56">
        <v>0</v>
      </c>
      <c r="R2050" s="56">
        <v>0</v>
      </c>
    </row>
    <row r="2051" spans="1:18" x14ac:dyDescent="0.25">
      <c r="A2051" s="2" t="s">
        <v>89</v>
      </c>
      <c r="B2051" s="2">
        <v>2017</v>
      </c>
      <c r="C2051" s="75" t="s">
        <v>88</v>
      </c>
      <c r="D2051" s="27">
        <v>532900000</v>
      </c>
      <c r="E2051" s="56">
        <v>532900000</v>
      </c>
      <c r="F2051" s="56">
        <v>532900000</v>
      </c>
      <c r="G2051" s="56">
        <v>70272610.159999996</v>
      </c>
      <c r="H2051" s="56">
        <v>0</v>
      </c>
      <c r="I2051" s="56">
        <v>0</v>
      </c>
      <c r="J2051" s="56">
        <v>0</v>
      </c>
      <c r="K2051" s="56">
        <v>0</v>
      </c>
      <c r="L2051" s="56">
        <v>0</v>
      </c>
      <c r="M2051" s="56">
        <v>0</v>
      </c>
      <c r="N2051" s="56">
        <v>0</v>
      </c>
      <c r="O2051" s="56">
        <v>88816666.659999996</v>
      </c>
      <c r="P2051" s="56">
        <v>0</v>
      </c>
      <c r="Q2051" s="56">
        <v>88816666.659999996</v>
      </c>
      <c r="R2051" s="56">
        <v>0</v>
      </c>
    </row>
    <row r="2052" spans="1:18" x14ac:dyDescent="0.25">
      <c r="A2052" s="2" t="s">
        <v>87</v>
      </c>
      <c r="B2052" s="2">
        <v>2017</v>
      </c>
      <c r="C2052" s="75" t="s">
        <v>86</v>
      </c>
      <c r="D2052" s="27">
        <v>446484798</v>
      </c>
      <c r="E2052" s="56">
        <v>446484798</v>
      </c>
      <c r="F2052" s="56">
        <v>446484798</v>
      </c>
      <c r="G2052" s="56">
        <v>0</v>
      </c>
      <c r="H2052" s="56">
        <v>0</v>
      </c>
      <c r="I2052" s="56">
        <v>0</v>
      </c>
      <c r="J2052" s="56">
        <v>0</v>
      </c>
      <c r="K2052" s="56">
        <v>403930176.5</v>
      </c>
      <c r="L2052" s="56">
        <v>0</v>
      </c>
      <c r="M2052" s="56">
        <v>0</v>
      </c>
      <c r="N2052" s="56">
        <v>0</v>
      </c>
      <c r="O2052" s="56">
        <v>0</v>
      </c>
      <c r="P2052" s="56">
        <v>0</v>
      </c>
      <c r="Q2052" s="56">
        <v>0</v>
      </c>
      <c r="R2052" s="56">
        <v>41144269.5</v>
      </c>
    </row>
    <row r="2053" spans="1:18" x14ac:dyDescent="0.25">
      <c r="A2053" s="2" t="s">
        <v>85</v>
      </c>
      <c r="B2053" s="2">
        <v>2017</v>
      </c>
      <c r="C2053" s="75" t="s">
        <v>84</v>
      </c>
      <c r="D2053" s="27">
        <v>31000000</v>
      </c>
      <c r="E2053" s="56">
        <v>31000000</v>
      </c>
      <c r="F2053" s="56">
        <v>31000000</v>
      </c>
      <c r="G2053" s="56">
        <v>0</v>
      </c>
      <c r="H2053" s="56">
        <v>0</v>
      </c>
      <c r="I2053" s="56">
        <v>0</v>
      </c>
      <c r="J2053" s="56">
        <v>0</v>
      </c>
      <c r="K2053" s="56">
        <v>1200000</v>
      </c>
      <c r="L2053" s="56">
        <v>0</v>
      </c>
      <c r="M2053" s="56">
        <v>0</v>
      </c>
      <c r="N2053" s="56">
        <v>0</v>
      </c>
      <c r="O2053" s="56">
        <v>0</v>
      </c>
      <c r="P2053" s="56">
        <v>0</v>
      </c>
      <c r="Q2053" s="56">
        <v>0</v>
      </c>
      <c r="R2053" s="56">
        <v>0</v>
      </c>
    </row>
    <row r="2054" spans="1:18" x14ac:dyDescent="0.25">
      <c r="A2054" s="2" t="s">
        <v>83</v>
      </c>
      <c r="B2054" s="2">
        <v>2017</v>
      </c>
      <c r="C2054" s="75" t="s">
        <v>82</v>
      </c>
      <c r="D2054" s="27">
        <v>500000000</v>
      </c>
      <c r="E2054" s="56">
        <v>500000000</v>
      </c>
      <c r="F2054" s="56">
        <v>500000000</v>
      </c>
      <c r="G2054" s="56">
        <v>122445663.58</v>
      </c>
      <c r="H2054" s="56">
        <v>14711359.01</v>
      </c>
      <c r="I2054" s="56">
        <v>27273611.350000001</v>
      </c>
      <c r="J2054" s="56">
        <v>105130309.98999999</v>
      </c>
      <c r="K2054" s="56">
        <v>128219321.62</v>
      </c>
      <c r="L2054" s="56">
        <v>114222918.14</v>
      </c>
      <c r="M2054" s="56">
        <v>112567657.22</v>
      </c>
      <c r="N2054" s="56">
        <v>45999516.740000002</v>
      </c>
      <c r="O2054" s="56">
        <v>41324091.939999998</v>
      </c>
      <c r="P2054" s="56">
        <v>96682589.180000007</v>
      </c>
      <c r="Q2054" s="56">
        <v>135629584.66999999</v>
      </c>
      <c r="R2054" s="56">
        <v>78623268.780000001</v>
      </c>
    </row>
    <row r="2055" spans="1:18" x14ac:dyDescent="0.25">
      <c r="A2055" s="2" t="s">
        <v>80</v>
      </c>
      <c r="B2055" s="2">
        <v>2017</v>
      </c>
      <c r="C2055" s="75" t="s">
        <v>79</v>
      </c>
      <c r="D2055" s="27">
        <v>145900000</v>
      </c>
      <c r="E2055" s="56">
        <v>145900000</v>
      </c>
      <c r="F2055" s="56">
        <v>145900000</v>
      </c>
      <c r="G2055" s="56">
        <v>0</v>
      </c>
      <c r="H2055" s="56">
        <v>0</v>
      </c>
      <c r="I2055" s="56">
        <v>120000000</v>
      </c>
      <c r="J2055" s="56">
        <v>0</v>
      </c>
      <c r="K2055" s="56">
        <v>0</v>
      </c>
      <c r="L2055" s="56">
        <v>0</v>
      </c>
      <c r="M2055" s="56">
        <v>0</v>
      </c>
      <c r="N2055" s="56">
        <v>0</v>
      </c>
      <c r="O2055" s="56">
        <v>0</v>
      </c>
      <c r="P2055" s="56">
        <v>0</v>
      </c>
      <c r="Q2055" s="56">
        <v>0</v>
      </c>
      <c r="R2055" s="56">
        <v>25900000</v>
      </c>
    </row>
    <row r="2056" spans="1:18" x14ac:dyDescent="0.25">
      <c r="A2056" s="2" t="s">
        <v>78</v>
      </c>
      <c r="B2056" s="2">
        <v>2017</v>
      </c>
      <c r="C2056" s="75" t="s">
        <v>77</v>
      </c>
      <c r="D2056" s="27">
        <v>303900000</v>
      </c>
      <c r="E2056" s="56">
        <v>303900000</v>
      </c>
      <c r="F2056" s="56">
        <v>303900000</v>
      </c>
      <c r="G2056" s="56">
        <v>0</v>
      </c>
      <c r="H2056" s="56">
        <v>0</v>
      </c>
      <c r="I2056" s="56">
        <v>0</v>
      </c>
      <c r="J2056" s="56">
        <v>0</v>
      </c>
      <c r="K2056" s="56">
        <v>0</v>
      </c>
      <c r="L2056" s="56">
        <v>0</v>
      </c>
      <c r="M2056" s="56">
        <v>0</v>
      </c>
      <c r="N2056" s="56">
        <v>0</v>
      </c>
      <c r="O2056" s="56">
        <v>0</v>
      </c>
      <c r="P2056" s="56">
        <v>0</v>
      </c>
      <c r="Q2056" s="56">
        <v>0</v>
      </c>
      <c r="R2056" s="56">
        <v>303900000</v>
      </c>
    </row>
    <row r="2057" spans="1:18" x14ac:dyDescent="0.25">
      <c r="A2057" s="2" t="s">
        <v>76</v>
      </c>
      <c r="B2057" s="2">
        <v>2017</v>
      </c>
      <c r="C2057" s="75" t="s">
        <v>75</v>
      </c>
      <c r="D2057" s="27">
        <v>19500000</v>
      </c>
      <c r="E2057" s="56">
        <v>19500000</v>
      </c>
      <c r="F2057" s="56">
        <v>19500000</v>
      </c>
      <c r="G2057" s="56">
        <v>0</v>
      </c>
      <c r="H2057" s="56">
        <v>0</v>
      </c>
      <c r="I2057" s="56">
        <v>0</v>
      </c>
      <c r="J2057" s="56">
        <v>19500000</v>
      </c>
      <c r="K2057" s="56">
        <v>8025906.8700000001</v>
      </c>
      <c r="L2057" s="56">
        <v>-8025906.8700000001</v>
      </c>
      <c r="M2057" s="56">
        <v>0</v>
      </c>
      <c r="N2057" s="56">
        <v>0</v>
      </c>
      <c r="O2057" s="56">
        <v>0</v>
      </c>
      <c r="P2057" s="56">
        <v>0</v>
      </c>
      <c r="Q2057" s="56">
        <v>0</v>
      </c>
      <c r="R2057" s="56">
        <v>0</v>
      </c>
    </row>
    <row r="2058" spans="1:18" x14ac:dyDescent="0.25">
      <c r="A2058" s="2" t="s">
        <v>74</v>
      </c>
      <c r="B2058" s="2">
        <v>2017</v>
      </c>
      <c r="C2058" s="75" t="s">
        <v>73</v>
      </c>
      <c r="D2058" s="27">
        <v>38000000</v>
      </c>
      <c r="E2058" s="56">
        <v>38000000</v>
      </c>
      <c r="F2058" s="56">
        <v>38000000</v>
      </c>
      <c r="G2058" s="56">
        <v>0</v>
      </c>
      <c r="H2058" s="56">
        <v>0</v>
      </c>
      <c r="I2058" s="56">
        <v>0</v>
      </c>
      <c r="J2058" s="56">
        <v>33000000</v>
      </c>
      <c r="K2058" s="56">
        <v>0</v>
      </c>
      <c r="L2058" s="56">
        <v>0</v>
      </c>
      <c r="M2058" s="56">
        <v>0</v>
      </c>
      <c r="N2058" s="56">
        <v>0</v>
      </c>
      <c r="O2058" s="56">
        <v>0</v>
      </c>
      <c r="P2058" s="56">
        <v>0</v>
      </c>
      <c r="Q2058" s="56">
        <v>5000000</v>
      </c>
      <c r="R2058" s="56">
        <v>0</v>
      </c>
    </row>
    <row r="2059" spans="1:18" x14ac:dyDescent="0.25">
      <c r="A2059" s="2" t="s">
        <v>72</v>
      </c>
      <c r="B2059" s="2">
        <v>2017</v>
      </c>
      <c r="C2059" s="75" t="s">
        <v>71</v>
      </c>
      <c r="D2059" s="27">
        <v>23800000</v>
      </c>
      <c r="E2059" s="56">
        <v>23800000</v>
      </c>
      <c r="F2059" s="56">
        <v>23800000</v>
      </c>
      <c r="G2059" s="56">
        <v>0</v>
      </c>
      <c r="H2059" s="56">
        <v>0</v>
      </c>
      <c r="I2059" s="56">
        <v>0</v>
      </c>
      <c r="J2059" s="56">
        <v>0</v>
      </c>
      <c r="K2059" s="56">
        <v>0</v>
      </c>
      <c r="L2059" s="56">
        <v>0</v>
      </c>
      <c r="M2059" s="56">
        <v>0</v>
      </c>
      <c r="N2059" s="56">
        <v>0</v>
      </c>
      <c r="O2059" s="56">
        <v>0</v>
      </c>
      <c r="P2059" s="56">
        <v>0</v>
      </c>
      <c r="Q2059" s="56">
        <v>0</v>
      </c>
      <c r="R2059" s="56">
        <v>0</v>
      </c>
    </row>
    <row r="2060" spans="1:18" x14ac:dyDescent="0.25">
      <c r="A2060" s="2" t="s">
        <v>70</v>
      </c>
      <c r="B2060" s="2">
        <v>2017</v>
      </c>
      <c r="C2060" s="75" t="s">
        <v>69</v>
      </c>
      <c r="D2060" s="27">
        <v>9500000</v>
      </c>
      <c r="E2060" s="56">
        <v>9500000</v>
      </c>
      <c r="F2060" s="56">
        <v>9500000</v>
      </c>
      <c r="G2060" s="56">
        <v>0</v>
      </c>
      <c r="H2060" s="56">
        <v>0</v>
      </c>
      <c r="I2060" s="56">
        <v>0</v>
      </c>
      <c r="J2060" s="56">
        <v>0</v>
      </c>
      <c r="K2060" s="56">
        <v>0</v>
      </c>
      <c r="L2060" s="56">
        <v>0</v>
      </c>
      <c r="M2060" s="56">
        <v>0</v>
      </c>
      <c r="N2060" s="56">
        <v>0</v>
      </c>
      <c r="O2060" s="56">
        <v>0</v>
      </c>
      <c r="P2060" s="56">
        <v>0</v>
      </c>
      <c r="Q2060" s="56">
        <v>0</v>
      </c>
      <c r="R2060" s="56">
        <v>0</v>
      </c>
    </row>
    <row r="2061" spans="1:18" x14ac:dyDescent="0.25">
      <c r="A2061" s="2" t="s">
        <v>68</v>
      </c>
      <c r="B2061" s="2">
        <v>2017</v>
      </c>
      <c r="C2061" s="75" t="s">
        <v>67</v>
      </c>
      <c r="D2061" s="27">
        <v>778600000</v>
      </c>
      <c r="E2061" s="56">
        <v>778600000</v>
      </c>
      <c r="F2061" s="56">
        <v>778600000</v>
      </c>
      <c r="G2061" s="56">
        <v>598700000</v>
      </c>
      <c r="H2061" s="56">
        <v>0</v>
      </c>
      <c r="I2061" s="56">
        <v>0</v>
      </c>
      <c r="J2061" s="56">
        <v>0</v>
      </c>
      <c r="K2061" s="56">
        <v>0</v>
      </c>
      <c r="L2061" s="56">
        <v>0</v>
      </c>
      <c r="M2061" s="56">
        <v>0</v>
      </c>
      <c r="N2061" s="56">
        <v>0</v>
      </c>
      <c r="O2061" s="56">
        <v>0</v>
      </c>
      <c r="P2061" s="56">
        <v>0</v>
      </c>
      <c r="Q2061" s="56">
        <v>778600000</v>
      </c>
      <c r="R2061" s="56">
        <v>0</v>
      </c>
    </row>
    <row r="2062" spans="1:18" x14ac:dyDescent="0.25">
      <c r="A2062" s="2" t="s">
        <v>66</v>
      </c>
      <c r="B2062" s="2">
        <v>2017</v>
      </c>
      <c r="C2062" s="75" t="s">
        <v>65</v>
      </c>
      <c r="D2062" s="27">
        <v>123300000</v>
      </c>
      <c r="E2062" s="56">
        <v>123300000</v>
      </c>
      <c r="F2062" s="56">
        <v>123300000</v>
      </c>
      <c r="G2062" s="56">
        <v>10275000</v>
      </c>
      <c r="H2062" s="56">
        <v>0</v>
      </c>
      <c r="I2062" s="56">
        <v>20550000</v>
      </c>
      <c r="J2062" s="56">
        <v>10275000</v>
      </c>
      <c r="K2062" s="56">
        <v>10275000</v>
      </c>
      <c r="L2062" s="56">
        <v>10275000</v>
      </c>
      <c r="M2062" s="56">
        <v>10275000</v>
      </c>
      <c r="N2062" s="56">
        <v>10275000</v>
      </c>
      <c r="O2062" s="56">
        <v>10275000</v>
      </c>
      <c r="P2062" s="56">
        <v>10275000</v>
      </c>
      <c r="Q2062" s="56">
        <v>10275000</v>
      </c>
      <c r="R2062" s="56">
        <v>0</v>
      </c>
    </row>
    <row r="2063" spans="1:18" x14ac:dyDescent="0.25">
      <c r="A2063" s="2" t="s">
        <v>64</v>
      </c>
      <c r="B2063" s="2">
        <v>2017</v>
      </c>
      <c r="C2063" s="75" t="s">
        <v>63</v>
      </c>
      <c r="D2063" s="27">
        <v>1027700000</v>
      </c>
      <c r="E2063" s="56">
        <v>1027700000</v>
      </c>
      <c r="F2063" s="56">
        <v>1027700000</v>
      </c>
      <c r="G2063" s="56">
        <v>0</v>
      </c>
      <c r="H2063" s="56">
        <v>0</v>
      </c>
      <c r="I2063" s="56">
        <v>0</v>
      </c>
      <c r="J2063" s="56">
        <v>0</v>
      </c>
      <c r="K2063" s="56">
        <v>0</v>
      </c>
      <c r="L2063" s="56">
        <v>0</v>
      </c>
      <c r="M2063" s="56">
        <v>0</v>
      </c>
      <c r="N2063" s="56">
        <v>0</v>
      </c>
      <c r="O2063" s="56">
        <v>0</v>
      </c>
      <c r="P2063" s="56">
        <v>0</v>
      </c>
      <c r="Q2063" s="56">
        <v>0</v>
      </c>
      <c r="R2063" s="56">
        <v>1027700000</v>
      </c>
    </row>
    <row r="2064" spans="1:18" x14ac:dyDescent="0.25">
      <c r="A2064" s="2" t="s">
        <v>62</v>
      </c>
      <c r="B2064" s="2">
        <v>2017</v>
      </c>
      <c r="C2064" s="75" t="s">
        <v>61</v>
      </c>
      <c r="D2064" s="27">
        <v>27900000</v>
      </c>
      <c r="E2064" s="56">
        <v>27900000</v>
      </c>
      <c r="F2064" s="56">
        <v>27900000</v>
      </c>
      <c r="G2064" s="56">
        <v>0</v>
      </c>
      <c r="H2064" s="56">
        <v>0</v>
      </c>
      <c r="I2064" s="56">
        <v>27900000</v>
      </c>
      <c r="J2064" s="56">
        <v>0</v>
      </c>
      <c r="K2064" s="56">
        <v>0</v>
      </c>
      <c r="L2064" s="56">
        <v>0</v>
      </c>
      <c r="M2064" s="56">
        <v>0</v>
      </c>
      <c r="N2064" s="56">
        <v>0</v>
      </c>
      <c r="O2064" s="56">
        <v>0</v>
      </c>
      <c r="P2064" s="56">
        <v>0</v>
      </c>
      <c r="Q2064" s="56">
        <v>0</v>
      </c>
      <c r="R2064" s="56">
        <v>0</v>
      </c>
    </row>
    <row r="2065" spans="1:18" x14ac:dyDescent="0.25">
      <c r="A2065" s="2" t="s">
        <v>60</v>
      </c>
      <c r="B2065" s="2">
        <v>2017</v>
      </c>
      <c r="C2065" s="75" t="s">
        <v>59</v>
      </c>
      <c r="D2065" s="27">
        <v>18300000</v>
      </c>
      <c r="E2065" s="56">
        <v>18300000</v>
      </c>
      <c r="F2065" s="56">
        <v>18300000</v>
      </c>
      <c r="G2065" s="56">
        <v>0</v>
      </c>
      <c r="H2065" s="56">
        <v>0</v>
      </c>
      <c r="I2065" s="56">
        <v>0</v>
      </c>
      <c r="J2065" s="56">
        <v>0</v>
      </c>
      <c r="K2065" s="56">
        <v>0</v>
      </c>
      <c r="L2065" s="56">
        <v>18300000</v>
      </c>
      <c r="M2065" s="56">
        <v>0</v>
      </c>
      <c r="N2065" s="56">
        <v>0</v>
      </c>
      <c r="O2065" s="56">
        <v>0</v>
      </c>
      <c r="P2065" s="56">
        <v>0</v>
      </c>
      <c r="Q2065" s="56">
        <v>0</v>
      </c>
      <c r="R2065" s="56">
        <v>0</v>
      </c>
    </row>
    <row r="2066" spans="1:18" x14ac:dyDescent="0.25">
      <c r="A2066" s="2" t="s">
        <v>370</v>
      </c>
      <c r="B2066" s="2">
        <v>2017</v>
      </c>
      <c r="C2066" s="75" t="s">
        <v>424</v>
      </c>
      <c r="D2066" s="27">
        <v>2172300000</v>
      </c>
      <c r="E2066" s="56">
        <v>1468542121</v>
      </c>
      <c r="F2066" s="56">
        <v>1468542121</v>
      </c>
      <c r="G2066" s="56">
        <v>0</v>
      </c>
      <c r="H2066" s="56">
        <v>0</v>
      </c>
      <c r="I2066" s="56">
        <v>0</v>
      </c>
      <c r="J2066" s="56">
        <v>0</v>
      </c>
      <c r="K2066" s="56">
        <v>0</v>
      </c>
      <c r="L2066" s="56">
        <v>0</v>
      </c>
      <c r="M2066" s="56">
        <v>0</v>
      </c>
      <c r="N2066" s="56">
        <v>0</v>
      </c>
      <c r="O2066" s="56">
        <v>0</v>
      </c>
      <c r="P2066" s="56">
        <v>0</v>
      </c>
      <c r="Q2066" s="56">
        <v>0</v>
      </c>
      <c r="R2066" s="56">
        <v>1468542194.48</v>
      </c>
    </row>
    <row r="2067" spans="1:18" x14ac:dyDescent="0.25">
      <c r="A2067" s="2" t="s">
        <v>57</v>
      </c>
      <c r="B2067" s="2">
        <v>2017</v>
      </c>
      <c r="C2067" s="75" t="s">
        <v>56</v>
      </c>
      <c r="D2067" s="27">
        <v>0</v>
      </c>
      <c r="E2067" s="56">
        <v>25291350</v>
      </c>
      <c r="F2067" s="56">
        <v>25291350</v>
      </c>
      <c r="G2067" s="56">
        <v>0</v>
      </c>
      <c r="H2067" s="56">
        <v>0</v>
      </c>
      <c r="I2067" s="56">
        <v>0</v>
      </c>
      <c r="J2067" s="56">
        <v>0</v>
      </c>
      <c r="K2067" s="56">
        <v>0</v>
      </c>
      <c r="L2067" s="56">
        <v>0</v>
      </c>
      <c r="M2067" s="56">
        <v>0</v>
      </c>
      <c r="N2067" s="56">
        <v>0</v>
      </c>
      <c r="O2067" s="56">
        <v>0</v>
      </c>
      <c r="P2067" s="56">
        <v>252710424.06999999</v>
      </c>
      <c r="Q2067" s="56">
        <v>0</v>
      </c>
      <c r="R2067" s="56">
        <v>-227419074.06999999</v>
      </c>
    </row>
    <row r="2068" spans="1:18" x14ac:dyDescent="0.25">
      <c r="A2068" s="2" t="s">
        <v>369</v>
      </c>
      <c r="B2068" s="2">
        <v>2017</v>
      </c>
      <c r="C2068" s="75" t="s">
        <v>604</v>
      </c>
      <c r="D2068" s="27">
        <v>0</v>
      </c>
      <c r="E2068" s="56">
        <v>227419074.06999999</v>
      </c>
      <c r="F2068" s="56">
        <v>227419074.06999999</v>
      </c>
      <c r="G2068" s="56">
        <v>0</v>
      </c>
      <c r="H2068" s="56">
        <v>0</v>
      </c>
      <c r="I2068" s="56">
        <v>0</v>
      </c>
      <c r="J2068" s="56">
        <v>0</v>
      </c>
      <c r="K2068" s="56">
        <v>0</v>
      </c>
      <c r="L2068" s="56">
        <v>0</v>
      </c>
      <c r="M2068" s="56">
        <v>0</v>
      </c>
      <c r="N2068" s="56">
        <v>0</v>
      </c>
      <c r="O2068" s="56">
        <v>0</v>
      </c>
      <c r="P2068" s="56">
        <v>0</v>
      </c>
      <c r="Q2068" s="56">
        <v>0</v>
      </c>
      <c r="R2068" s="56">
        <v>227419074.06999999</v>
      </c>
    </row>
    <row r="2069" spans="1:18" x14ac:dyDescent="0.25">
      <c r="A2069" s="2" t="s">
        <v>368</v>
      </c>
      <c r="B2069" s="2">
        <v>2017</v>
      </c>
      <c r="C2069" s="75" t="s">
        <v>437</v>
      </c>
      <c r="D2069" s="27">
        <v>0</v>
      </c>
      <c r="E2069" s="56">
        <v>0</v>
      </c>
      <c r="F2069" s="56">
        <v>0</v>
      </c>
      <c r="G2069" s="56">
        <v>0</v>
      </c>
      <c r="H2069" s="56">
        <v>0</v>
      </c>
      <c r="I2069" s="56">
        <v>0</v>
      </c>
      <c r="J2069" s="56">
        <v>0</v>
      </c>
      <c r="K2069" s="56">
        <v>0</v>
      </c>
      <c r="L2069" s="56">
        <v>0</v>
      </c>
      <c r="M2069" s="56">
        <v>0</v>
      </c>
      <c r="N2069" s="56">
        <v>0</v>
      </c>
      <c r="O2069" s="56">
        <v>0</v>
      </c>
      <c r="P2069" s="56">
        <v>0</v>
      </c>
      <c r="Q2069" s="56">
        <v>0</v>
      </c>
      <c r="R2069" s="56">
        <v>240339148.59999999</v>
      </c>
    </row>
    <row r="2070" spans="1:18" x14ac:dyDescent="0.25">
      <c r="A2070" s="2" t="s">
        <v>367</v>
      </c>
      <c r="B2070" s="2">
        <v>2017</v>
      </c>
      <c r="C2070" s="75" t="s">
        <v>385</v>
      </c>
      <c r="D2070" s="27">
        <v>1586909834</v>
      </c>
      <c r="E2070" s="56">
        <v>1586909834</v>
      </c>
      <c r="F2070" s="56">
        <v>1586909834</v>
      </c>
      <c r="G2070" s="56">
        <v>1586896833.8299999</v>
      </c>
      <c r="H2070" s="56">
        <v>0</v>
      </c>
      <c r="I2070" s="56">
        <v>0</v>
      </c>
      <c r="J2070" s="56">
        <v>0</v>
      </c>
      <c r="K2070" s="56">
        <v>0</v>
      </c>
      <c r="L2070" s="56">
        <v>0</v>
      </c>
      <c r="M2070" s="56">
        <v>0</v>
      </c>
      <c r="N2070" s="56">
        <v>0</v>
      </c>
      <c r="O2070" s="56">
        <v>0</v>
      </c>
      <c r="P2070" s="56">
        <v>0</v>
      </c>
      <c r="Q2070" s="56">
        <v>0</v>
      </c>
      <c r="R2070" s="56">
        <v>0</v>
      </c>
    </row>
    <row r="2071" spans="1:18" x14ac:dyDescent="0.25">
      <c r="A2071" s="2" t="s">
        <v>366</v>
      </c>
      <c r="B2071" s="2">
        <v>2017</v>
      </c>
      <c r="C2071" s="75" t="s">
        <v>384</v>
      </c>
      <c r="D2071" s="27">
        <v>0</v>
      </c>
      <c r="E2071" s="56">
        <v>1000000000</v>
      </c>
      <c r="F2071" s="56">
        <v>1000000000</v>
      </c>
      <c r="G2071" s="56">
        <v>0</v>
      </c>
      <c r="H2071" s="56">
        <v>0</v>
      </c>
      <c r="I2071" s="56">
        <v>0</v>
      </c>
      <c r="J2071" s="56">
        <v>0</v>
      </c>
      <c r="K2071" s="56">
        <v>0</v>
      </c>
      <c r="L2071" s="56">
        <v>0</v>
      </c>
      <c r="M2071" s="56">
        <v>0</v>
      </c>
      <c r="N2071" s="56">
        <v>0</v>
      </c>
      <c r="O2071" s="56">
        <v>0</v>
      </c>
      <c r="P2071" s="56">
        <v>0</v>
      </c>
      <c r="Q2071" s="56">
        <v>0</v>
      </c>
      <c r="R2071" s="56">
        <v>0</v>
      </c>
    </row>
    <row r="2072" spans="1:18" x14ac:dyDescent="0.25">
      <c r="A2072" s="2" t="s">
        <v>365</v>
      </c>
      <c r="B2072" s="2">
        <v>2017</v>
      </c>
      <c r="C2072" s="75" t="s">
        <v>119</v>
      </c>
      <c r="D2072" s="27">
        <v>450000000</v>
      </c>
      <c r="E2072" s="56">
        <v>450000000</v>
      </c>
      <c r="F2072" s="56">
        <v>450000000</v>
      </c>
      <c r="G2072" s="56">
        <v>0</v>
      </c>
      <c r="H2072" s="56">
        <v>0</v>
      </c>
      <c r="I2072" s="56">
        <v>0</v>
      </c>
      <c r="J2072" s="56">
        <v>0</v>
      </c>
      <c r="K2072" s="56">
        <v>0</v>
      </c>
      <c r="L2072" s="56">
        <v>0</v>
      </c>
      <c r="M2072" s="56">
        <v>450000000</v>
      </c>
      <c r="N2072" s="56">
        <v>0</v>
      </c>
      <c r="O2072" s="56">
        <v>0</v>
      </c>
      <c r="P2072" s="56">
        <v>0</v>
      </c>
      <c r="Q2072" s="56">
        <v>0</v>
      </c>
      <c r="R2072" s="56">
        <v>0</v>
      </c>
    </row>
    <row r="2073" spans="1:18" x14ac:dyDescent="0.25">
      <c r="A2073" s="2" t="s">
        <v>364</v>
      </c>
      <c r="B2073" s="2">
        <v>2017</v>
      </c>
      <c r="C2073" s="75" t="s">
        <v>595</v>
      </c>
      <c r="D2073" s="27">
        <v>430000000</v>
      </c>
      <c r="E2073" s="56">
        <v>430000000</v>
      </c>
      <c r="F2073" s="56">
        <v>430000000</v>
      </c>
      <c r="G2073" s="56">
        <v>430000000</v>
      </c>
      <c r="H2073" s="56">
        <v>0</v>
      </c>
      <c r="I2073" s="56">
        <v>0</v>
      </c>
      <c r="J2073" s="56">
        <v>0</v>
      </c>
      <c r="K2073" s="56">
        <v>0</v>
      </c>
      <c r="L2073" s="56">
        <v>0</v>
      </c>
      <c r="M2073" s="56">
        <v>0</v>
      </c>
      <c r="N2073" s="56">
        <v>0</v>
      </c>
      <c r="O2073" s="56">
        <v>0</v>
      </c>
      <c r="P2073" s="56">
        <v>0</v>
      </c>
      <c r="Q2073" s="56">
        <v>0</v>
      </c>
      <c r="R2073" s="56">
        <v>0</v>
      </c>
    </row>
    <row r="2074" spans="1:18" x14ac:dyDescent="0.25">
      <c r="A2074" s="2" t="s">
        <v>54</v>
      </c>
      <c r="B2074" s="2">
        <v>2017</v>
      </c>
      <c r="C2074" s="75" t="s">
        <v>53</v>
      </c>
      <c r="D2074" s="27">
        <v>2044644487</v>
      </c>
      <c r="E2074" s="56">
        <v>2523793796</v>
      </c>
      <c r="F2074" s="56">
        <v>2523793796</v>
      </c>
      <c r="G2074" s="56">
        <v>2044644487</v>
      </c>
      <c r="H2074" s="56">
        <v>0</v>
      </c>
      <c r="I2074" s="56">
        <v>0</v>
      </c>
      <c r="J2074" s="56">
        <v>0</v>
      </c>
      <c r="K2074" s="56">
        <v>0</v>
      </c>
      <c r="L2074" s="56">
        <v>0</v>
      </c>
      <c r="M2074" s="56">
        <v>0</v>
      </c>
      <c r="N2074" s="56">
        <v>0</v>
      </c>
      <c r="O2074" s="56">
        <v>0</v>
      </c>
      <c r="P2074" s="56">
        <v>479149309</v>
      </c>
      <c r="Q2074" s="56">
        <v>0</v>
      </c>
      <c r="R2074" s="56">
        <v>0</v>
      </c>
    </row>
    <row r="2075" spans="1:18" x14ac:dyDescent="0.25">
      <c r="A2075" s="2" t="s">
        <v>363</v>
      </c>
      <c r="B2075" s="2">
        <v>2017</v>
      </c>
      <c r="C2075" s="75" t="s">
        <v>594</v>
      </c>
      <c r="D2075" s="27">
        <v>61442827</v>
      </c>
      <c r="E2075" s="56">
        <v>61442827</v>
      </c>
      <c r="F2075" s="56">
        <v>61442827</v>
      </c>
      <c r="G2075" s="56">
        <v>61442827</v>
      </c>
      <c r="H2075" s="56">
        <v>0</v>
      </c>
      <c r="I2075" s="56">
        <v>0</v>
      </c>
      <c r="J2075" s="56">
        <v>0</v>
      </c>
      <c r="K2075" s="56">
        <v>0</v>
      </c>
      <c r="L2075" s="56">
        <v>0</v>
      </c>
      <c r="M2075" s="56">
        <v>0</v>
      </c>
      <c r="N2075" s="56">
        <v>0</v>
      </c>
      <c r="O2075" s="56">
        <v>0</v>
      </c>
      <c r="P2075" s="56">
        <v>0</v>
      </c>
      <c r="Q2075" s="56">
        <v>0</v>
      </c>
      <c r="R2075" s="56">
        <v>0</v>
      </c>
    </row>
    <row r="2076" spans="1:18" x14ac:dyDescent="0.25">
      <c r="A2076" s="2" t="s">
        <v>362</v>
      </c>
      <c r="B2076" s="2">
        <v>2017</v>
      </c>
      <c r="C2076" s="75" t="s">
        <v>593</v>
      </c>
      <c r="D2076" s="27">
        <v>1761796590</v>
      </c>
      <c r="E2076" s="56">
        <v>1761796590</v>
      </c>
      <c r="F2076" s="56">
        <v>1761796590</v>
      </c>
      <c r="G2076" s="56">
        <v>1761796590</v>
      </c>
      <c r="H2076" s="56">
        <v>0</v>
      </c>
      <c r="I2076" s="56">
        <v>0</v>
      </c>
      <c r="J2076" s="56">
        <v>0</v>
      </c>
      <c r="K2076" s="56">
        <v>0</v>
      </c>
      <c r="L2076" s="56">
        <v>0</v>
      </c>
      <c r="M2076" s="56">
        <v>0</v>
      </c>
      <c r="N2076" s="56">
        <v>0</v>
      </c>
      <c r="O2076" s="56">
        <v>0</v>
      </c>
      <c r="P2076" s="56">
        <v>0</v>
      </c>
      <c r="Q2076" s="56">
        <v>0</v>
      </c>
      <c r="R2076" s="56">
        <v>0</v>
      </c>
    </row>
    <row r="2077" spans="1:18" x14ac:dyDescent="0.25">
      <c r="A2077" s="2" t="s">
        <v>49</v>
      </c>
      <c r="B2077" s="2">
        <v>2017</v>
      </c>
      <c r="C2077" s="75" t="s">
        <v>48</v>
      </c>
      <c r="D2077" s="27">
        <v>1791509241452</v>
      </c>
      <c r="E2077" s="56">
        <v>976809241452</v>
      </c>
      <c r="F2077" s="56">
        <v>976809241452</v>
      </c>
      <c r="G2077" s="56">
        <v>19448129227.049999</v>
      </c>
      <c r="H2077" s="56">
        <v>1302796242.6700001</v>
      </c>
      <c r="I2077" s="56">
        <v>6974974841.7600002</v>
      </c>
      <c r="J2077" s="56">
        <v>7500076682.79</v>
      </c>
      <c r="K2077" s="56">
        <v>23361743027.82</v>
      </c>
      <c r="L2077" s="56">
        <v>20139513359</v>
      </c>
      <c r="M2077" s="56">
        <v>17581935243.060001</v>
      </c>
      <c r="N2077" s="56">
        <v>33250070014.790001</v>
      </c>
      <c r="O2077" s="56">
        <v>33737895659.259998</v>
      </c>
      <c r="P2077" s="56">
        <v>49822921506.830002</v>
      </c>
      <c r="Q2077" s="56">
        <v>102113558348.72</v>
      </c>
      <c r="R2077" s="56">
        <v>567280561384.21997</v>
      </c>
    </row>
    <row r="2078" spans="1:18" x14ac:dyDescent="0.25">
      <c r="A2078" s="2" t="s">
        <v>47</v>
      </c>
      <c r="B2078" s="2">
        <v>2017</v>
      </c>
      <c r="C2078" s="75" t="s">
        <v>46</v>
      </c>
      <c r="D2078" s="27">
        <v>3716722788</v>
      </c>
      <c r="E2078" s="56">
        <v>3754486044</v>
      </c>
      <c r="F2078" s="56">
        <v>3754486044</v>
      </c>
      <c r="G2078" s="56">
        <v>0</v>
      </c>
      <c r="H2078" s="56">
        <v>0</v>
      </c>
      <c r="I2078" s="56">
        <v>0</v>
      </c>
      <c r="J2078" s="56">
        <v>0</v>
      </c>
      <c r="K2078" s="56">
        <v>0</v>
      </c>
      <c r="L2078" s="56">
        <v>0</v>
      </c>
      <c r="M2078" s="56">
        <v>0</v>
      </c>
      <c r="N2078" s="56">
        <v>0</v>
      </c>
      <c r="O2078" s="56">
        <v>0</v>
      </c>
      <c r="P2078" s="56">
        <v>0</v>
      </c>
      <c r="Q2078" s="56">
        <v>0</v>
      </c>
      <c r="R2078" s="56">
        <v>0</v>
      </c>
    </row>
    <row r="2079" spans="1:18" x14ac:dyDescent="0.25">
      <c r="A2079" s="2" t="s">
        <v>45</v>
      </c>
      <c r="B2079" s="2">
        <v>2017</v>
      </c>
      <c r="C2079" s="75" t="s">
        <v>44</v>
      </c>
      <c r="D2079" s="27">
        <v>75000000000</v>
      </c>
      <c r="E2079" s="56">
        <v>75000000000</v>
      </c>
      <c r="F2079" s="56">
        <v>75000000000</v>
      </c>
      <c r="G2079" s="56">
        <v>0</v>
      </c>
      <c r="H2079" s="56">
        <v>0</v>
      </c>
      <c r="I2079" s="56">
        <v>0</v>
      </c>
      <c r="J2079" s="56">
        <v>0</v>
      </c>
      <c r="K2079" s="56">
        <v>0</v>
      </c>
      <c r="L2079" s="56">
        <v>0</v>
      </c>
      <c r="M2079" s="56">
        <v>0</v>
      </c>
      <c r="N2079" s="56">
        <v>0</v>
      </c>
      <c r="O2079" s="56">
        <v>0</v>
      </c>
      <c r="P2079" s="56">
        <v>0</v>
      </c>
      <c r="Q2079" s="56">
        <v>0</v>
      </c>
      <c r="R2079" s="56">
        <v>0</v>
      </c>
    </row>
    <row r="2080" spans="1:18" x14ac:dyDescent="0.25">
      <c r="A2080" s="2" t="s">
        <v>43</v>
      </c>
      <c r="B2080" s="2">
        <v>2017</v>
      </c>
      <c r="C2080" s="75" t="s">
        <v>42</v>
      </c>
      <c r="D2080" s="27">
        <v>2211990793928</v>
      </c>
      <c r="E2080" s="56">
        <v>3098178454245.1899</v>
      </c>
      <c r="F2080" s="56">
        <v>3098178454245.1899</v>
      </c>
      <c r="G2080" s="56">
        <v>204036459193.26999</v>
      </c>
      <c r="H2080" s="56">
        <v>194536633678.79999</v>
      </c>
      <c r="I2080" s="56">
        <v>255712124156.22</v>
      </c>
      <c r="J2080" s="56">
        <v>133738719363.12</v>
      </c>
      <c r="K2080" s="56">
        <v>237412208601.76001</v>
      </c>
      <c r="L2080" s="56">
        <v>230901893998.5</v>
      </c>
      <c r="M2080" s="56">
        <v>59613484821.800003</v>
      </c>
      <c r="N2080" s="56">
        <v>107641712601.8</v>
      </c>
      <c r="O2080" s="56">
        <v>313053796613.03003</v>
      </c>
      <c r="P2080" s="56">
        <v>139764654150.04999</v>
      </c>
      <c r="Q2080" s="56">
        <v>188140585682.32001</v>
      </c>
      <c r="R2080" s="56">
        <v>245612245651.63</v>
      </c>
    </row>
    <row r="2081" spans="1:18" x14ac:dyDescent="0.25">
      <c r="A2081" s="2" t="s">
        <v>41</v>
      </c>
      <c r="B2081" s="2">
        <v>2017</v>
      </c>
      <c r="C2081" s="75" t="s">
        <v>40</v>
      </c>
      <c r="D2081" s="27">
        <v>0</v>
      </c>
      <c r="E2081" s="57">
        <v>1795787361.1300001</v>
      </c>
      <c r="F2081" s="56">
        <v>0</v>
      </c>
      <c r="G2081" s="56">
        <v>0</v>
      </c>
      <c r="H2081" s="56">
        <v>0</v>
      </c>
      <c r="I2081" s="56">
        <v>0</v>
      </c>
      <c r="J2081" s="56">
        <v>0</v>
      </c>
      <c r="K2081" s="56">
        <v>0</v>
      </c>
      <c r="L2081" s="56">
        <v>0</v>
      </c>
      <c r="M2081" s="56">
        <v>0</v>
      </c>
      <c r="N2081" s="56">
        <v>0</v>
      </c>
      <c r="O2081" s="56">
        <v>0</v>
      </c>
      <c r="P2081" s="56">
        <v>0</v>
      </c>
      <c r="Q2081" s="56">
        <v>0</v>
      </c>
      <c r="R2081" s="56">
        <v>0</v>
      </c>
    </row>
    <row r="2082" spans="1:18" x14ac:dyDescent="0.25">
      <c r="A2082" s="2" t="s">
        <v>39</v>
      </c>
      <c r="B2082" s="2">
        <v>2017</v>
      </c>
      <c r="C2082" s="75" t="s">
        <v>38</v>
      </c>
      <c r="D2082" s="27">
        <v>0</v>
      </c>
      <c r="E2082" s="57">
        <v>25831035543.599998</v>
      </c>
      <c r="F2082" s="56">
        <v>3244734217.0599999</v>
      </c>
      <c r="G2082" s="56">
        <v>0</v>
      </c>
      <c r="H2082" s="56">
        <v>0</v>
      </c>
      <c r="I2082" s="56">
        <v>0</v>
      </c>
      <c r="J2082" s="56">
        <v>0</v>
      </c>
      <c r="K2082" s="56">
        <v>0</v>
      </c>
      <c r="L2082" s="56">
        <v>0</v>
      </c>
      <c r="M2082" s="56">
        <v>0</v>
      </c>
      <c r="N2082" s="56">
        <v>418201920.06</v>
      </c>
      <c r="O2082" s="56">
        <v>3389997</v>
      </c>
      <c r="P2082" s="56">
        <v>2823142300</v>
      </c>
      <c r="Q2082" s="56">
        <v>0</v>
      </c>
      <c r="R2082" s="56">
        <v>0</v>
      </c>
    </row>
    <row r="2083" spans="1:18" x14ac:dyDescent="0.25">
      <c r="A2083" s="2" t="s">
        <v>37</v>
      </c>
      <c r="B2083" s="2">
        <v>2017</v>
      </c>
      <c r="C2083" s="75" t="s">
        <v>36</v>
      </c>
      <c r="D2083" s="27">
        <v>0</v>
      </c>
      <c r="E2083" s="57">
        <v>206128544.88</v>
      </c>
      <c r="F2083" s="56">
        <v>0</v>
      </c>
      <c r="G2083" s="56">
        <v>0</v>
      </c>
      <c r="H2083" s="56">
        <v>0</v>
      </c>
      <c r="I2083" s="56">
        <v>0</v>
      </c>
      <c r="J2083" s="56">
        <v>0</v>
      </c>
      <c r="K2083" s="56">
        <v>0</v>
      </c>
      <c r="L2083" s="56">
        <v>0</v>
      </c>
      <c r="M2083" s="56">
        <v>0</v>
      </c>
      <c r="N2083" s="56">
        <v>0</v>
      </c>
      <c r="O2083" s="56">
        <v>0</v>
      </c>
      <c r="P2083" s="56">
        <v>0</v>
      </c>
      <c r="Q2083" s="56">
        <v>0</v>
      </c>
      <c r="R2083" s="56">
        <v>0</v>
      </c>
    </row>
    <row r="2084" spans="1:18" x14ac:dyDescent="0.25">
      <c r="A2084" s="2" t="s">
        <v>35</v>
      </c>
      <c r="B2084" s="2">
        <v>2017</v>
      </c>
      <c r="C2084" s="75" t="s">
        <v>34</v>
      </c>
      <c r="D2084" s="27">
        <v>0</v>
      </c>
      <c r="E2084" s="57">
        <v>6090697028.5600004</v>
      </c>
      <c r="F2084" s="56">
        <v>511677280.36000001</v>
      </c>
      <c r="G2084" s="56">
        <v>0</v>
      </c>
      <c r="H2084" s="56">
        <v>0</v>
      </c>
      <c r="I2084" s="56">
        <v>0</v>
      </c>
      <c r="J2084" s="56">
        <v>0</v>
      </c>
      <c r="K2084" s="56">
        <v>0</v>
      </c>
      <c r="L2084" s="56">
        <v>0</v>
      </c>
      <c r="M2084" s="56">
        <v>511677280.36000001</v>
      </c>
      <c r="N2084" s="56">
        <v>0</v>
      </c>
      <c r="O2084" s="56">
        <v>0</v>
      </c>
      <c r="P2084" s="56">
        <v>0</v>
      </c>
      <c r="Q2084" s="56">
        <v>0</v>
      </c>
      <c r="R2084" s="56">
        <v>0</v>
      </c>
    </row>
    <row r="2085" spans="1:18" x14ac:dyDescent="0.25">
      <c r="A2085" s="2" t="s">
        <v>33</v>
      </c>
      <c r="B2085" s="2">
        <v>2017</v>
      </c>
      <c r="C2085" s="75" t="s">
        <v>32</v>
      </c>
      <c r="D2085" s="27">
        <v>0</v>
      </c>
      <c r="E2085" s="57">
        <v>12732274456.049999</v>
      </c>
      <c r="F2085" s="56">
        <v>10328374161.77</v>
      </c>
      <c r="G2085" s="56">
        <v>6437185.9900000002</v>
      </c>
      <c r="H2085" s="56">
        <v>1634527257.1199999</v>
      </c>
      <c r="I2085" s="56">
        <v>1019756942.5700001</v>
      </c>
      <c r="J2085" s="56">
        <v>971199348.16999996</v>
      </c>
      <c r="K2085" s="56">
        <v>1059353530.99</v>
      </c>
      <c r="L2085" s="56">
        <v>0</v>
      </c>
      <c r="M2085" s="56">
        <v>1172597082.1300001</v>
      </c>
      <c r="N2085" s="56">
        <v>627513861.66999996</v>
      </c>
      <c r="O2085" s="56">
        <v>748281701.59000003</v>
      </c>
      <c r="P2085" s="56">
        <v>945497242.60000002</v>
      </c>
      <c r="Q2085" s="56">
        <v>530870397.75</v>
      </c>
      <c r="R2085" s="56">
        <v>1612339611.1900001</v>
      </c>
    </row>
    <row r="2086" spans="1:18" x14ac:dyDescent="0.25">
      <c r="A2086" s="2" t="s">
        <v>31</v>
      </c>
      <c r="B2086" s="2">
        <v>2017</v>
      </c>
      <c r="C2086" s="75" t="s">
        <v>30</v>
      </c>
      <c r="D2086" s="27">
        <v>0</v>
      </c>
      <c r="E2086" s="57">
        <v>1134286650.25</v>
      </c>
      <c r="F2086" s="56">
        <v>1134283714.3800001</v>
      </c>
      <c r="G2086" s="56">
        <v>0</v>
      </c>
      <c r="H2086" s="56">
        <v>0</v>
      </c>
      <c r="I2086" s="56">
        <v>515213203.44</v>
      </c>
      <c r="J2086" s="56">
        <v>0</v>
      </c>
      <c r="K2086" s="56">
        <v>238092690.5</v>
      </c>
      <c r="L2086" s="56">
        <v>0</v>
      </c>
      <c r="M2086" s="56">
        <v>0</v>
      </c>
      <c r="N2086" s="56">
        <v>380977820.44</v>
      </c>
      <c r="O2086" s="56">
        <v>0</v>
      </c>
      <c r="P2086" s="56">
        <v>0</v>
      </c>
      <c r="Q2086" s="56">
        <v>0</v>
      </c>
      <c r="R2086" s="56">
        <v>0</v>
      </c>
    </row>
    <row r="2087" spans="1:18" x14ac:dyDescent="0.25">
      <c r="A2087" s="2" t="s">
        <v>29</v>
      </c>
      <c r="B2087" s="2">
        <v>2017</v>
      </c>
      <c r="C2087" s="75" t="s">
        <v>28</v>
      </c>
      <c r="D2087" s="27">
        <v>0</v>
      </c>
      <c r="E2087" s="57">
        <v>11265923049.110001</v>
      </c>
      <c r="F2087" s="56">
        <v>11259290310.280001</v>
      </c>
      <c r="G2087" s="56">
        <v>0</v>
      </c>
      <c r="H2087" s="56">
        <v>0</v>
      </c>
      <c r="I2087" s="56">
        <v>0</v>
      </c>
      <c r="J2087" s="56">
        <v>0</v>
      </c>
      <c r="K2087" s="56">
        <v>0</v>
      </c>
      <c r="L2087" s="56">
        <v>0</v>
      </c>
      <c r="M2087" s="56">
        <v>0</v>
      </c>
      <c r="N2087" s="56">
        <v>0</v>
      </c>
      <c r="O2087" s="56">
        <v>6927960000</v>
      </c>
      <c r="P2087" s="56">
        <v>0</v>
      </c>
      <c r="Q2087" s="56">
        <v>0</v>
      </c>
      <c r="R2087" s="56">
        <v>4331330310.2799997</v>
      </c>
    </row>
    <row r="2088" spans="1:18" x14ac:dyDescent="0.25">
      <c r="A2088" s="2" t="s">
        <v>27</v>
      </c>
      <c r="B2088" s="2">
        <v>2017</v>
      </c>
      <c r="C2088" s="75" t="s">
        <v>26</v>
      </c>
      <c r="D2088" s="27">
        <v>0</v>
      </c>
      <c r="E2088" s="57">
        <v>15633878625.68</v>
      </c>
      <c r="F2088" s="56">
        <v>1471003328.8499999</v>
      </c>
      <c r="G2088" s="56">
        <v>13822945.220000001</v>
      </c>
      <c r="H2088" s="56">
        <v>64512642.509999998</v>
      </c>
      <c r="I2088" s="56">
        <v>169691311.59999999</v>
      </c>
      <c r="J2088" s="56">
        <v>139634802.41</v>
      </c>
      <c r="K2088" s="56">
        <v>49297027.219999999</v>
      </c>
      <c r="L2088" s="56">
        <v>0</v>
      </c>
      <c r="M2088" s="56">
        <v>226727202.66</v>
      </c>
      <c r="N2088" s="56">
        <v>203635958.63</v>
      </c>
      <c r="O2088" s="56">
        <v>115846155.87</v>
      </c>
      <c r="P2088" s="56">
        <v>142154410.25</v>
      </c>
      <c r="Q2088" s="56">
        <v>155723782.09999999</v>
      </c>
      <c r="R2088" s="56">
        <v>189957090.38</v>
      </c>
    </row>
    <row r="2089" spans="1:18" x14ac:dyDescent="0.25">
      <c r="A2089" s="2" t="s">
        <v>25</v>
      </c>
      <c r="B2089" s="2">
        <v>2017</v>
      </c>
      <c r="C2089" s="75" t="s">
        <v>24</v>
      </c>
      <c r="D2089" s="27">
        <v>0</v>
      </c>
      <c r="E2089" s="57">
        <v>219522589600</v>
      </c>
      <c r="F2089" s="56">
        <v>25706950000</v>
      </c>
      <c r="G2089" s="56">
        <v>0</v>
      </c>
      <c r="H2089" s="56">
        <v>0</v>
      </c>
      <c r="I2089" s="56">
        <v>0</v>
      </c>
      <c r="J2089" s="56">
        <v>0</v>
      </c>
      <c r="K2089" s="56">
        <v>0</v>
      </c>
      <c r="L2089" s="56">
        <v>0</v>
      </c>
      <c r="M2089" s="56">
        <v>2874150000</v>
      </c>
      <c r="N2089" s="56">
        <v>0</v>
      </c>
      <c r="O2089" s="56">
        <v>0</v>
      </c>
      <c r="P2089" s="56">
        <v>0</v>
      </c>
      <c r="Q2089" s="56">
        <v>0</v>
      </c>
      <c r="R2089" s="56">
        <v>22832800000</v>
      </c>
    </row>
    <row r="2090" spans="1:18" x14ac:dyDescent="0.25">
      <c r="A2090" s="2" t="s">
        <v>23</v>
      </c>
      <c r="B2090" s="2">
        <v>2017</v>
      </c>
      <c r="C2090" s="75" t="s">
        <v>22</v>
      </c>
      <c r="D2090" s="27">
        <v>0</v>
      </c>
      <c r="E2090" s="57">
        <v>27802000000</v>
      </c>
      <c r="F2090" s="56">
        <v>0</v>
      </c>
      <c r="G2090" s="56">
        <v>0</v>
      </c>
      <c r="H2090" s="56">
        <v>0</v>
      </c>
      <c r="I2090" s="56">
        <v>0</v>
      </c>
      <c r="J2090" s="56">
        <v>0</v>
      </c>
      <c r="K2090" s="56">
        <v>0</v>
      </c>
      <c r="L2090" s="56">
        <v>0</v>
      </c>
      <c r="M2090" s="56">
        <v>0</v>
      </c>
      <c r="N2090" s="56">
        <v>0</v>
      </c>
      <c r="O2090" s="56">
        <v>0</v>
      </c>
      <c r="P2090" s="56">
        <v>0</v>
      </c>
      <c r="Q2090" s="56">
        <v>0</v>
      </c>
      <c r="R2090" s="56">
        <v>0</v>
      </c>
    </row>
    <row r="2091" spans="1:18" x14ac:dyDescent="0.25">
      <c r="A2091" s="2" t="s">
        <v>17</v>
      </c>
      <c r="B2091" s="2">
        <v>2017</v>
      </c>
      <c r="C2091" s="75" t="s">
        <v>16</v>
      </c>
      <c r="D2091" s="27">
        <v>0</v>
      </c>
      <c r="E2091" s="57">
        <v>233377200000</v>
      </c>
      <c r="F2091" s="56">
        <v>58293900000</v>
      </c>
      <c r="G2091" s="56">
        <v>58293900000</v>
      </c>
      <c r="H2091" s="56">
        <v>0</v>
      </c>
      <c r="I2091" s="56">
        <v>0</v>
      </c>
      <c r="J2091" s="56">
        <v>0</v>
      </c>
      <c r="K2091" s="56">
        <v>0</v>
      </c>
      <c r="L2091" s="56">
        <v>0</v>
      </c>
      <c r="M2091" s="56">
        <v>0</v>
      </c>
      <c r="N2091" s="56">
        <v>0</v>
      </c>
      <c r="O2091" s="56">
        <v>0</v>
      </c>
      <c r="P2091" s="56">
        <v>0</v>
      </c>
      <c r="Q2091" s="56">
        <v>0</v>
      </c>
      <c r="R2091" s="56">
        <v>0</v>
      </c>
    </row>
    <row r="2092" spans="1:18" x14ac:dyDescent="0.25">
      <c r="A2092" s="2" t="s">
        <v>15</v>
      </c>
      <c r="B2092" s="2">
        <v>2017</v>
      </c>
      <c r="C2092" s="75" t="s">
        <v>14</v>
      </c>
      <c r="D2092" s="27">
        <v>0</v>
      </c>
      <c r="E2092" s="57">
        <v>18225886374.529999</v>
      </c>
      <c r="F2092" s="56">
        <v>6648886374.5299997</v>
      </c>
      <c r="G2092" s="56">
        <v>0</v>
      </c>
      <c r="H2092" s="56">
        <v>0</v>
      </c>
      <c r="I2092" s="56">
        <v>0</v>
      </c>
      <c r="J2092" s="56">
        <v>0</v>
      </c>
      <c r="K2092" s="56">
        <v>0</v>
      </c>
      <c r="L2092" s="56">
        <v>0</v>
      </c>
      <c r="M2092" s="56">
        <v>0</v>
      </c>
      <c r="N2092" s="56">
        <v>0</v>
      </c>
      <c r="O2092" s="56">
        <v>0</v>
      </c>
      <c r="P2092" s="56">
        <v>0</v>
      </c>
      <c r="Q2092" s="56">
        <v>6648886374.5299997</v>
      </c>
      <c r="R2092" s="56">
        <v>0</v>
      </c>
    </row>
    <row r="2093" spans="1:18" x14ac:dyDescent="0.25">
      <c r="A2093" s="2" t="s">
        <v>13</v>
      </c>
      <c r="B2093" s="2">
        <v>2017</v>
      </c>
      <c r="C2093" s="75" t="s">
        <v>11</v>
      </c>
      <c r="D2093" s="27">
        <v>0</v>
      </c>
      <c r="E2093" s="57">
        <v>73878573746.289993</v>
      </c>
      <c r="F2093" s="56">
        <v>46362618310.709999</v>
      </c>
      <c r="G2093" s="56">
        <v>14646899310.709999</v>
      </c>
      <c r="H2093" s="56">
        <v>1706340000</v>
      </c>
      <c r="I2093" s="56">
        <v>0</v>
      </c>
      <c r="J2093" s="56">
        <v>0</v>
      </c>
      <c r="K2093" s="56">
        <v>2942853000</v>
      </c>
      <c r="L2093" s="56">
        <v>0</v>
      </c>
      <c r="M2093" s="56">
        <v>12449145000</v>
      </c>
      <c r="N2093" s="56">
        <v>0</v>
      </c>
      <c r="O2093" s="56">
        <v>2943261000</v>
      </c>
      <c r="P2093" s="56">
        <v>0</v>
      </c>
      <c r="Q2093" s="56">
        <v>2576520000</v>
      </c>
      <c r="R2093" s="56">
        <v>9097600000</v>
      </c>
    </row>
    <row r="2094" spans="1:18" x14ac:dyDescent="0.25">
      <c r="A2094" s="2" t="s">
        <v>10</v>
      </c>
      <c r="B2094" s="2">
        <v>2017</v>
      </c>
      <c r="C2094" s="75" t="s">
        <v>9</v>
      </c>
      <c r="D2094" s="27">
        <v>0</v>
      </c>
      <c r="E2094" s="57">
        <v>17943726783.290001</v>
      </c>
      <c r="F2094" s="56">
        <v>9491272611.6700001</v>
      </c>
      <c r="G2094" s="56">
        <v>0</v>
      </c>
      <c r="H2094" s="56">
        <v>432526367.48000002</v>
      </c>
      <c r="I2094" s="56">
        <v>300875693.83999997</v>
      </c>
      <c r="J2094" s="56">
        <v>1802790404.3199999</v>
      </c>
      <c r="K2094" s="56">
        <v>963774715.46000004</v>
      </c>
      <c r="L2094" s="56">
        <v>0</v>
      </c>
      <c r="M2094" s="56">
        <v>488916106.25999999</v>
      </c>
      <c r="N2094" s="56">
        <v>961263536.45000005</v>
      </c>
      <c r="O2094" s="56">
        <v>546965638.72000003</v>
      </c>
      <c r="P2094" s="56">
        <v>549223400.13999999</v>
      </c>
      <c r="Q2094" s="56">
        <v>368327556.45999998</v>
      </c>
      <c r="R2094" s="56">
        <v>3076609192.54</v>
      </c>
    </row>
    <row r="2095" spans="1:18" x14ac:dyDescent="0.25">
      <c r="A2095" s="2" t="s">
        <v>8</v>
      </c>
      <c r="B2095" s="2">
        <v>2017</v>
      </c>
      <c r="C2095" s="75" t="s">
        <v>7</v>
      </c>
      <c r="D2095" s="27">
        <v>0</v>
      </c>
      <c r="E2095" s="57">
        <v>9396310744.7900009</v>
      </c>
      <c r="F2095" s="56">
        <v>4411501561.54</v>
      </c>
      <c r="G2095" s="56">
        <v>0</v>
      </c>
      <c r="H2095" s="56">
        <v>0</v>
      </c>
      <c r="I2095" s="56">
        <v>364546627.18000001</v>
      </c>
      <c r="J2095" s="56">
        <v>1264057141.49</v>
      </c>
      <c r="K2095" s="56">
        <v>0</v>
      </c>
      <c r="L2095" s="56">
        <v>0</v>
      </c>
      <c r="M2095" s="56">
        <v>1109237578.05</v>
      </c>
      <c r="N2095" s="56">
        <v>603309544.89999998</v>
      </c>
      <c r="O2095" s="56">
        <v>643282747.46000004</v>
      </c>
      <c r="P2095" s="56">
        <v>0</v>
      </c>
      <c r="Q2095" s="56">
        <v>409085659.83999997</v>
      </c>
      <c r="R2095" s="56">
        <v>17982262.620000001</v>
      </c>
    </row>
    <row r="2096" spans="1:18" x14ac:dyDescent="0.25">
      <c r="A2096" s="2" t="s">
        <v>6</v>
      </c>
      <c r="B2096" s="2">
        <v>2017</v>
      </c>
      <c r="C2096" s="75" t="s">
        <v>4</v>
      </c>
      <c r="D2096" s="27">
        <v>0</v>
      </c>
      <c r="E2096" s="57">
        <v>8995205838.7600002</v>
      </c>
      <c r="F2096" s="56">
        <v>1079877561.24</v>
      </c>
      <c r="G2096" s="56">
        <v>0</v>
      </c>
      <c r="H2096" s="56">
        <v>0</v>
      </c>
      <c r="I2096" s="56">
        <v>0</v>
      </c>
      <c r="J2096" s="56">
        <v>0</v>
      </c>
      <c r="K2096" s="56">
        <v>0</v>
      </c>
      <c r="L2096" s="56">
        <v>0</v>
      </c>
      <c r="M2096" s="56">
        <v>0</v>
      </c>
      <c r="N2096" s="56">
        <v>0</v>
      </c>
      <c r="O2096" s="56">
        <v>0</v>
      </c>
      <c r="P2096" s="56">
        <v>1093155912.1700001</v>
      </c>
      <c r="Q2096" s="56">
        <v>0</v>
      </c>
      <c r="R2096" s="56">
        <v>-13278350.93</v>
      </c>
    </row>
    <row r="2097" spans="1:18" x14ac:dyDescent="0.25">
      <c r="A2097" s="2" t="s">
        <v>5</v>
      </c>
      <c r="B2097" s="2">
        <v>2017</v>
      </c>
      <c r="C2097" s="75" t="s">
        <v>4</v>
      </c>
      <c r="D2097" s="27">
        <v>0</v>
      </c>
      <c r="E2097" s="57">
        <v>158937200000</v>
      </c>
      <c r="F2097" s="56">
        <v>0</v>
      </c>
      <c r="G2097" s="56">
        <v>0</v>
      </c>
      <c r="H2097" s="56">
        <v>0</v>
      </c>
      <c r="I2097" s="56">
        <v>0</v>
      </c>
      <c r="J2097" s="56">
        <v>0</v>
      </c>
      <c r="K2097" s="56">
        <v>0</v>
      </c>
      <c r="L2097" s="56">
        <v>0</v>
      </c>
      <c r="M2097" s="56">
        <v>0</v>
      </c>
      <c r="N2097" s="56">
        <v>0</v>
      </c>
      <c r="O2097" s="56">
        <v>0</v>
      </c>
      <c r="P2097" s="56">
        <v>0</v>
      </c>
      <c r="Q2097" s="56">
        <v>0</v>
      </c>
      <c r="R2097" s="56">
        <v>0</v>
      </c>
    </row>
    <row r="2098" spans="1:18" x14ac:dyDescent="0.25">
      <c r="A2098" s="2" t="s">
        <v>3</v>
      </c>
      <c r="B2098" s="2">
        <v>2017</v>
      </c>
      <c r="C2098" s="75" t="s">
        <v>0</v>
      </c>
      <c r="D2098" s="27">
        <v>0</v>
      </c>
      <c r="E2098" s="57">
        <v>287045976.54000002</v>
      </c>
      <c r="F2098" s="56">
        <v>0</v>
      </c>
      <c r="G2098" s="56">
        <v>0</v>
      </c>
      <c r="H2098" s="56">
        <v>0</v>
      </c>
      <c r="I2098" s="56">
        <v>0</v>
      </c>
      <c r="J2098" s="56">
        <v>0</v>
      </c>
      <c r="K2098" s="56">
        <v>0</v>
      </c>
      <c r="L2098" s="56">
        <v>0</v>
      </c>
      <c r="M2098" s="56">
        <v>0</v>
      </c>
      <c r="N2098" s="56">
        <v>0</v>
      </c>
      <c r="O2098" s="56">
        <v>0</v>
      </c>
      <c r="P2098" s="56">
        <v>0</v>
      </c>
      <c r="Q2098" s="56">
        <v>0</v>
      </c>
      <c r="R2098" s="56">
        <v>0</v>
      </c>
    </row>
    <row r="2099" spans="1:18" x14ac:dyDescent="0.25">
      <c r="A2099" s="2" t="s">
        <v>361</v>
      </c>
      <c r="B2099" s="2">
        <v>2017</v>
      </c>
      <c r="C2099" s="75" t="s">
        <v>379</v>
      </c>
      <c r="D2099" s="27">
        <v>0</v>
      </c>
      <c r="E2099" s="58">
        <v>2807635868</v>
      </c>
      <c r="F2099" s="56">
        <v>2807635868</v>
      </c>
      <c r="G2099" s="56">
        <v>0</v>
      </c>
      <c r="H2099" s="56">
        <v>0</v>
      </c>
      <c r="I2099" s="56">
        <v>0</v>
      </c>
      <c r="J2099" s="56">
        <v>0</v>
      </c>
      <c r="K2099" s="56">
        <v>0</v>
      </c>
      <c r="L2099" s="56">
        <v>0</v>
      </c>
      <c r="M2099" s="56">
        <v>0</v>
      </c>
      <c r="N2099" s="56">
        <v>0</v>
      </c>
      <c r="O2099" s="56">
        <v>0</v>
      </c>
      <c r="P2099" s="56">
        <v>0</v>
      </c>
      <c r="Q2099" s="56">
        <v>0</v>
      </c>
      <c r="R2099" s="56">
        <v>2807635868</v>
      </c>
    </row>
    <row r="2100" spans="1:18" x14ac:dyDescent="0.25">
      <c r="A2100" s="2" t="s">
        <v>360</v>
      </c>
      <c r="B2100" s="2">
        <v>2018</v>
      </c>
      <c r="C2100" s="2" t="s">
        <v>359</v>
      </c>
      <c r="D2100" s="106">
        <v>266000000000</v>
      </c>
      <c r="E2100" s="1">
        <v>261500000000</v>
      </c>
      <c r="F2100" s="107">
        <v>261500000000</v>
      </c>
      <c r="G2100" s="1">
        <v>20073362594.169998</v>
      </c>
      <c r="H2100" s="1">
        <v>19741219713.580002</v>
      </c>
      <c r="I2100" s="1">
        <v>20546226425.200001</v>
      </c>
      <c r="J2100" s="1">
        <v>22922185033.369999</v>
      </c>
      <c r="K2100" s="1">
        <v>20475552922</v>
      </c>
      <c r="L2100" s="1">
        <v>21853624256.459999</v>
      </c>
      <c r="M2100" s="107">
        <v>20779704523.099998</v>
      </c>
      <c r="N2100" s="107">
        <v>21113684730.610001</v>
      </c>
      <c r="O2100" s="107">
        <v>22824462652.27</v>
      </c>
      <c r="P2100" s="107">
        <v>23059201218.23</v>
      </c>
      <c r="Q2100" s="107">
        <v>20910163934.939999</v>
      </c>
      <c r="R2100" s="107">
        <v>21390695623.75</v>
      </c>
    </row>
    <row r="2101" spans="1:18" x14ac:dyDescent="0.25">
      <c r="A2101" s="2" t="s">
        <v>358</v>
      </c>
      <c r="B2101" s="2">
        <v>2018</v>
      </c>
      <c r="C2101" s="2" t="s">
        <v>357</v>
      </c>
      <c r="D2101" s="106">
        <v>157500000000</v>
      </c>
      <c r="E2101" s="1">
        <v>177000000000</v>
      </c>
      <c r="F2101" s="107">
        <v>177000000000</v>
      </c>
      <c r="G2101" s="1">
        <v>15307693558.74</v>
      </c>
      <c r="H2101" s="1">
        <v>13263561152.16</v>
      </c>
      <c r="I2101" s="1">
        <v>14090956104.059999</v>
      </c>
      <c r="J2101" s="1">
        <v>17866891029.029999</v>
      </c>
      <c r="K2101" s="1">
        <v>15437513140.68</v>
      </c>
      <c r="L2101" s="1">
        <v>14561524193.02</v>
      </c>
      <c r="M2101" s="107">
        <v>14197045980.190001</v>
      </c>
      <c r="N2101" s="107">
        <v>14131902828.4</v>
      </c>
      <c r="O2101" s="107">
        <v>14076736222.08</v>
      </c>
      <c r="P2101" s="107">
        <v>14893375852.040001</v>
      </c>
      <c r="Q2101" s="107">
        <v>13856377890.34</v>
      </c>
      <c r="R2101" s="107">
        <v>14817784422.52</v>
      </c>
    </row>
    <row r="2102" spans="1:18" x14ac:dyDescent="0.25">
      <c r="A2102" s="2" t="s">
        <v>356</v>
      </c>
      <c r="B2102" s="2">
        <v>2018</v>
      </c>
      <c r="C2102" s="2" t="s">
        <v>355</v>
      </c>
      <c r="D2102" s="106">
        <v>54000000000</v>
      </c>
      <c r="E2102" s="1">
        <v>54000000000</v>
      </c>
      <c r="F2102" s="107">
        <v>54000000000</v>
      </c>
      <c r="G2102" s="1">
        <v>2342391051.54</v>
      </c>
      <c r="H2102" s="1">
        <v>829425611.41999996</v>
      </c>
      <c r="I2102" s="1">
        <v>6603088450.0500002</v>
      </c>
      <c r="J2102" s="1">
        <v>2699327165.5700002</v>
      </c>
      <c r="K2102" s="1">
        <v>962725565.11000001</v>
      </c>
      <c r="L2102" s="1">
        <v>5103821864.46</v>
      </c>
      <c r="M2102" s="107">
        <v>2439299851.6599998</v>
      </c>
      <c r="N2102" s="107">
        <v>817668944.5</v>
      </c>
      <c r="O2102" s="107">
        <v>4483255353</v>
      </c>
      <c r="P2102" s="107">
        <v>3890493275.0700002</v>
      </c>
      <c r="Q2102" s="107">
        <v>2449727804.3600001</v>
      </c>
      <c r="R2102" s="107">
        <v>18831891115.84</v>
      </c>
    </row>
    <row r="2103" spans="1:18" x14ac:dyDescent="0.25">
      <c r="A2103" s="2" t="s">
        <v>353</v>
      </c>
      <c r="B2103" s="2">
        <v>2018</v>
      </c>
      <c r="C2103" s="2" t="s">
        <v>352</v>
      </c>
      <c r="D2103" s="106">
        <v>151300000000</v>
      </c>
      <c r="E2103" s="1">
        <v>122300000000</v>
      </c>
      <c r="F2103" s="107">
        <v>122300000000</v>
      </c>
      <c r="G2103" s="1">
        <v>10699236646.83</v>
      </c>
      <c r="H2103" s="1">
        <v>4382315045.8000002</v>
      </c>
      <c r="I2103" s="1">
        <v>38946381098.699997</v>
      </c>
      <c r="J2103" s="1">
        <v>6116331661.6099997</v>
      </c>
      <c r="K2103" s="1">
        <v>-15445637638.620001</v>
      </c>
      <c r="L2103" s="1">
        <v>15954842002.33</v>
      </c>
      <c r="M2103" s="107">
        <v>6546507272.9200001</v>
      </c>
      <c r="N2103" s="107">
        <v>5668746865.0299997</v>
      </c>
      <c r="O2103" s="107">
        <v>15019818573.469999</v>
      </c>
      <c r="P2103" s="107">
        <v>5916275216.5500002</v>
      </c>
      <c r="Q2103" s="107">
        <v>6155196536.3299999</v>
      </c>
      <c r="R2103" s="107">
        <v>15970914024.290001</v>
      </c>
    </row>
    <row r="2104" spans="1:18" x14ac:dyDescent="0.25">
      <c r="A2104" s="2" t="s">
        <v>351</v>
      </c>
      <c r="B2104" s="2">
        <v>2018</v>
      </c>
      <c r="C2104" s="2" t="s">
        <v>350</v>
      </c>
      <c r="D2104" s="106">
        <v>785700000000</v>
      </c>
      <c r="E2104" s="1">
        <v>727000000000</v>
      </c>
      <c r="F2104" s="107">
        <v>727000000000</v>
      </c>
      <c r="G2104" s="1">
        <v>21579794962.900002</v>
      </c>
      <c r="H2104" s="1">
        <v>14983933415.110001</v>
      </c>
      <c r="I2104" s="1">
        <v>144999607432.72</v>
      </c>
      <c r="J2104" s="1">
        <v>20424341443.200001</v>
      </c>
      <c r="K2104" s="1">
        <v>16276981951.48</v>
      </c>
      <c r="L2104" s="1">
        <v>128717443414.64</v>
      </c>
      <c r="M2104" s="107">
        <v>26302682340.049999</v>
      </c>
      <c r="N2104" s="107">
        <v>11855291960.459999</v>
      </c>
      <c r="O2104" s="107">
        <v>121122770388.56</v>
      </c>
      <c r="P2104" s="107">
        <v>30471459457.700001</v>
      </c>
      <c r="Q2104" s="107">
        <v>18385406480.41</v>
      </c>
      <c r="R2104" s="107">
        <v>244233023801.01999</v>
      </c>
    </row>
    <row r="2105" spans="1:18" x14ac:dyDescent="0.25">
      <c r="A2105" s="2" t="s">
        <v>348</v>
      </c>
      <c r="B2105" s="2">
        <v>2018</v>
      </c>
      <c r="C2105" s="2" t="s">
        <v>344</v>
      </c>
      <c r="D2105" s="106">
        <v>1000000000</v>
      </c>
      <c r="E2105" s="1">
        <v>880952381</v>
      </c>
      <c r="F2105" s="107">
        <v>880952381</v>
      </c>
      <c r="G2105" s="1">
        <v>22844377</v>
      </c>
      <c r="H2105" s="1">
        <v>356954586</v>
      </c>
      <c r="I2105" s="1">
        <v>93493654.450000003</v>
      </c>
      <c r="J2105" s="1">
        <v>35492914</v>
      </c>
      <c r="K2105" s="1">
        <v>36924092</v>
      </c>
      <c r="L2105" s="1">
        <v>37748530</v>
      </c>
      <c r="M2105" s="107">
        <v>78299984</v>
      </c>
      <c r="N2105" s="107">
        <v>59424409</v>
      </c>
      <c r="O2105" s="107">
        <v>46469188</v>
      </c>
      <c r="P2105" s="107">
        <v>53052306</v>
      </c>
      <c r="Q2105" s="107">
        <v>30673229</v>
      </c>
      <c r="R2105" s="107">
        <v>30350956</v>
      </c>
    </row>
    <row r="2106" spans="1:18" x14ac:dyDescent="0.25">
      <c r="A2106" s="2" t="s">
        <v>347</v>
      </c>
      <c r="B2106" s="2">
        <v>2018</v>
      </c>
      <c r="C2106" s="2" t="s">
        <v>342</v>
      </c>
      <c r="D2106" s="106">
        <v>41000000000</v>
      </c>
      <c r="E2106" s="1">
        <v>36119047619</v>
      </c>
      <c r="F2106" s="107">
        <v>36119047619</v>
      </c>
      <c r="G2106" s="1">
        <v>4055088857.5999999</v>
      </c>
      <c r="H2106" s="1">
        <v>2294767696.79</v>
      </c>
      <c r="I2106" s="1">
        <v>1250878402.6300001</v>
      </c>
      <c r="J2106" s="1">
        <v>1822214980.3399999</v>
      </c>
      <c r="K2106" s="1">
        <v>3969124800.27</v>
      </c>
      <c r="L2106" s="1">
        <v>3055536006.9400001</v>
      </c>
      <c r="M2106" s="107">
        <v>3787977754.5100002</v>
      </c>
      <c r="N2106" s="107">
        <v>3186793406.9400001</v>
      </c>
      <c r="O2106" s="107">
        <v>2720172182.0999999</v>
      </c>
      <c r="P2106" s="107">
        <v>2547540761.98</v>
      </c>
      <c r="Q2106" s="107">
        <v>6135018880.0100002</v>
      </c>
      <c r="R2106" s="107">
        <v>5341058002.5799999</v>
      </c>
    </row>
    <row r="2107" spans="1:18" x14ac:dyDescent="0.25">
      <c r="A2107" s="2" t="s">
        <v>345</v>
      </c>
      <c r="B2107" s="2">
        <v>2018</v>
      </c>
      <c r="C2107" s="2" t="s">
        <v>344</v>
      </c>
      <c r="D2107" s="106">
        <v>62300000000</v>
      </c>
      <c r="E2107" s="1">
        <v>54377456647</v>
      </c>
      <c r="F2107" s="107">
        <v>54377456647</v>
      </c>
      <c r="G2107" s="1">
        <v>4896653036.0500002</v>
      </c>
      <c r="H2107" s="1">
        <v>2549096957.8400002</v>
      </c>
      <c r="I2107" s="1">
        <v>1302166488.6300001</v>
      </c>
      <c r="J2107" s="1">
        <v>7868538850.5</v>
      </c>
      <c r="K2107" s="1">
        <v>1988117320.5999999</v>
      </c>
      <c r="L2107" s="1">
        <v>6469137561.3800001</v>
      </c>
      <c r="M2107" s="107">
        <v>5356592701.1899996</v>
      </c>
      <c r="N2107" s="107">
        <v>2182818983.3899999</v>
      </c>
      <c r="O2107" s="107">
        <v>1411146088.23</v>
      </c>
      <c r="P2107" s="107">
        <v>7094476248.5200005</v>
      </c>
      <c r="Q2107" s="107">
        <v>3113437157.8600001</v>
      </c>
      <c r="R2107" s="107">
        <v>7685139691.3800001</v>
      </c>
    </row>
    <row r="2108" spans="1:18" x14ac:dyDescent="0.25">
      <c r="A2108" s="2" t="s">
        <v>343</v>
      </c>
      <c r="B2108" s="2">
        <v>2018</v>
      </c>
      <c r="C2108" s="2" t="s">
        <v>342</v>
      </c>
      <c r="D2108" s="106">
        <v>24200000000</v>
      </c>
      <c r="E2108" s="1">
        <v>21122543353</v>
      </c>
      <c r="F2108" s="107">
        <v>21122543353</v>
      </c>
      <c r="G2108" s="1">
        <v>2573059015.0700002</v>
      </c>
      <c r="H2108" s="1">
        <v>1208507247.1099999</v>
      </c>
      <c r="I2108" s="1">
        <v>1692887902.8499999</v>
      </c>
      <c r="J2108" s="1">
        <v>1507782487.3099999</v>
      </c>
      <c r="K2108" s="1">
        <v>2224591359.8400002</v>
      </c>
      <c r="L2108" s="1">
        <v>1637273838.1099999</v>
      </c>
      <c r="M2108" s="107">
        <v>2138277734.6199999</v>
      </c>
      <c r="N2108" s="107">
        <v>2218999745.9299998</v>
      </c>
      <c r="O2108" s="107">
        <v>2048967502.0999999</v>
      </c>
      <c r="P2108" s="107">
        <v>1620137500.29</v>
      </c>
      <c r="Q2108" s="107">
        <v>2491404263.71</v>
      </c>
      <c r="R2108" s="107">
        <v>1976914309.5599999</v>
      </c>
    </row>
    <row r="2109" spans="1:18" x14ac:dyDescent="0.25">
      <c r="A2109" s="2" t="s">
        <v>340</v>
      </c>
      <c r="B2109" s="2">
        <v>2018</v>
      </c>
      <c r="C2109" s="2" t="s">
        <v>339</v>
      </c>
      <c r="D2109" s="106">
        <v>197000000000</v>
      </c>
      <c r="E2109" s="1">
        <v>171280000000</v>
      </c>
      <c r="F2109" s="107">
        <v>171280000000</v>
      </c>
      <c r="G2109" s="1">
        <v>20133694154.099998</v>
      </c>
      <c r="H2109" s="1">
        <v>9280885287.1499996</v>
      </c>
      <c r="I2109" s="1">
        <v>16343889534.110001</v>
      </c>
      <c r="J2109" s="1">
        <v>11743705734.870001</v>
      </c>
      <c r="K2109" s="1">
        <v>10641916085.33</v>
      </c>
      <c r="L2109" s="1">
        <v>13847908787.209999</v>
      </c>
      <c r="M2109" s="107">
        <v>18627178754.700001</v>
      </c>
      <c r="N2109" s="107">
        <v>9353834987.4799995</v>
      </c>
      <c r="O2109" s="107">
        <v>15064809835.129999</v>
      </c>
      <c r="P2109" s="107">
        <v>18406040109.709999</v>
      </c>
      <c r="Q2109" s="107">
        <v>23366950097.650002</v>
      </c>
      <c r="R2109" s="107">
        <v>17215342269.060001</v>
      </c>
    </row>
    <row r="2110" spans="1:18" x14ac:dyDescent="0.25">
      <c r="A2110" s="2" t="s">
        <v>338</v>
      </c>
      <c r="B2110" s="2">
        <v>2018</v>
      </c>
      <c r="C2110" s="2" t="s">
        <v>337</v>
      </c>
      <c r="D2110" s="106">
        <v>0</v>
      </c>
      <c r="E2110" s="1">
        <v>0</v>
      </c>
      <c r="F2110" s="107">
        <v>0</v>
      </c>
      <c r="G2110" s="1">
        <v>823500.32</v>
      </c>
      <c r="H2110" s="1">
        <v>603791.91</v>
      </c>
      <c r="I2110" s="1">
        <v>1736303.24</v>
      </c>
      <c r="J2110" s="1">
        <v>1297237.57</v>
      </c>
      <c r="K2110" s="1">
        <v>1854878.06</v>
      </c>
      <c r="L2110" s="1">
        <v>1491822.21</v>
      </c>
      <c r="M2110" s="107">
        <v>1247697.56</v>
      </c>
      <c r="N2110" s="107">
        <v>-9055230.8699999992</v>
      </c>
      <c r="O2110" s="107">
        <v>0</v>
      </c>
      <c r="P2110" s="107">
        <v>0</v>
      </c>
      <c r="Q2110" s="107">
        <v>0</v>
      </c>
      <c r="R2110" s="107">
        <v>0</v>
      </c>
    </row>
    <row r="2111" spans="1:18" x14ac:dyDescent="0.25">
      <c r="A2111" s="2" t="s">
        <v>335</v>
      </c>
      <c r="B2111" s="2">
        <v>2018</v>
      </c>
      <c r="C2111" s="2" t="s">
        <v>334</v>
      </c>
      <c r="D2111" s="106">
        <v>4223000000</v>
      </c>
      <c r="E2111" s="1">
        <v>4525000000</v>
      </c>
      <c r="F2111" s="107">
        <v>4525000000</v>
      </c>
      <c r="G2111" s="1">
        <v>3648950314</v>
      </c>
      <c r="H2111" s="1">
        <v>230691352</v>
      </c>
      <c r="I2111" s="1">
        <v>97763426</v>
      </c>
      <c r="J2111" s="1">
        <v>73883450</v>
      </c>
      <c r="K2111" s="1">
        <v>127342704</v>
      </c>
      <c r="L2111" s="1">
        <v>52696891.899999999</v>
      </c>
      <c r="M2111" s="107">
        <v>28968357</v>
      </c>
      <c r="N2111" s="107">
        <v>42865126</v>
      </c>
      <c r="O2111" s="107">
        <v>21123873</v>
      </c>
      <c r="P2111" s="107">
        <v>48031869</v>
      </c>
      <c r="Q2111" s="107">
        <v>51895255</v>
      </c>
      <c r="R2111" s="107">
        <v>43302415</v>
      </c>
    </row>
    <row r="2112" spans="1:18" x14ac:dyDescent="0.25">
      <c r="A2112" s="2" t="s">
        <v>332</v>
      </c>
      <c r="B2112" s="2">
        <v>2018</v>
      </c>
      <c r="C2112" s="2" t="s">
        <v>331</v>
      </c>
      <c r="D2112" s="106">
        <v>175000000000</v>
      </c>
      <c r="E2112" s="1">
        <v>168000000000</v>
      </c>
      <c r="F2112" s="107">
        <v>168000000000</v>
      </c>
      <c r="G2112" s="1">
        <v>10399678244.540001</v>
      </c>
      <c r="H2112" s="1">
        <v>2519912277.46</v>
      </c>
      <c r="I2112" s="1">
        <v>2482073768.79</v>
      </c>
      <c r="J2112" s="1">
        <v>2056478476.45</v>
      </c>
      <c r="K2112" s="1">
        <v>2236228117.7199998</v>
      </c>
      <c r="L2112" s="1">
        <v>1920638293.98</v>
      </c>
      <c r="M2112" s="107">
        <v>1180909719.25</v>
      </c>
      <c r="N2112" s="107">
        <v>1080925262.05</v>
      </c>
      <c r="O2112" s="107">
        <v>844053801.85000002</v>
      </c>
      <c r="P2112" s="107">
        <v>565087785.84000003</v>
      </c>
      <c r="Q2112" s="107">
        <v>662474887.46000004</v>
      </c>
      <c r="R2112" s="107">
        <v>145574177924.29001</v>
      </c>
    </row>
    <row r="2113" spans="1:18" x14ac:dyDescent="0.25">
      <c r="A2113" s="2" t="s">
        <v>329</v>
      </c>
      <c r="B2113" s="2">
        <v>2018</v>
      </c>
      <c r="C2113" s="2" t="s">
        <v>328</v>
      </c>
      <c r="D2113" s="106">
        <v>172000000</v>
      </c>
      <c r="E2113" s="1">
        <v>1650000000</v>
      </c>
      <c r="F2113" s="107">
        <v>1650000000</v>
      </c>
      <c r="G2113" s="1">
        <v>129480924</v>
      </c>
      <c r="H2113" s="1">
        <v>22011478</v>
      </c>
      <c r="I2113" s="1">
        <v>19905663</v>
      </c>
      <c r="J2113" s="1">
        <v>12851459</v>
      </c>
      <c r="K2113" s="1">
        <v>11777082</v>
      </c>
      <c r="L2113" s="1">
        <v>10133386</v>
      </c>
      <c r="M2113" s="107">
        <v>7343620</v>
      </c>
      <c r="N2113" s="107">
        <v>7504894</v>
      </c>
      <c r="O2113" s="107">
        <v>6404158</v>
      </c>
      <c r="P2113" s="107">
        <v>4702939</v>
      </c>
      <c r="Q2113" s="107">
        <v>7403922</v>
      </c>
      <c r="R2113" s="107">
        <v>1432115016</v>
      </c>
    </row>
    <row r="2114" spans="1:18" x14ac:dyDescent="0.25">
      <c r="A2114" s="2" t="s">
        <v>325</v>
      </c>
      <c r="B2114" s="2">
        <v>2018</v>
      </c>
      <c r="C2114" s="2" t="s">
        <v>324</v>
      </c>
      <c r="D2114" s="106">
        <v>474000000</v>
      </c>
      <c r="E2114" s="1">
        <v>460000000</v>
      </c>
      <c r="F2114" s="107">
        <v>460000000</v>
      </c>
      <c r="G2114" s="1">
        <v>29186342.789999999</v>
      </c>
      <c r="H2114" s="1">
        <v>41404257.82</v>
      </c>
      <c r="I2114" s="1">
        <v>28539346.030000001</v>
      </c>
      <c r="J2114" s="1">
        <v>178003883</v>
      </c>
      <c r="K2114" s="1">
        <v>67801853.329999998</v>
      </c>
      <c r="L2114" s="1">
        <v>20282275.34</v>
      </c>
      <c r="M2114" s="107">
        <v>31809092.359999999</v>
      </c>
      <c r="N2114" s="107">
        <v>27578997.440000001</v>
      </c>
      <c r="O2114" s="107">
        <v>28466453.07</v>
      </c>
      <c r="P2114" s="107">
        <v>25650891.280000001</v>
      </c>
      <c r="Q2114" s="107">
        <v>26363084.32</v>
      </c>
      <c r="R2114" s="107">
        <v>26434101.43</v>
      </c>
    </row>
    <row r="2115" spans="1:18" x14ac:dyDescent="0.25">
      <c r="A2115" s="2" t="s">
        <v>323</v>
      </c>
      <c r="B2115" s="2">
        <v>2018</v>
      </c>
      <c r="C2115" s="2" t="s">
        <v>321</v>
      </c>
      <c r="D2115" s="106">
        <v>21000000000</v>
      </c>
      <c r="E2115" s="1">
        <v>24700000000</v>
      </c>
      <c r="F2115" s="107">
        <v>24700000000</v>
      </c>
      <c r="G2115" s="1">
        <v>10350718163.030001</v>
      </c>
      <c r="H2115" s="1">
        <v>6561214492.04</v>
      </c>
      <c r="I2115" s="1">
        <v>1875708829.26</v>
      </c>
      <c r="J2115" s="1">
        <v>1273909052.79</v>
      </c>
      <c r="K2115" s="1">
        <v>1078848991.5999999</v>
      </c>
      <c r="L2115" s="1">
        <v>842226343.29999995</v>
      </c>
      <c r="M2115" s="107">
        <v>717360224.28999996</v>
      </c>
      <c r="N2115" s="107">
        <v>1143351205.49</v>
      </c>
      <c r="O2115" s="107">
        <v>641116618.78999996</v>
      </c>
      <c r="P2115" s="107">
        <v>566071385.38</v>
      </c>
      <c r="Q2115" s="107">
        <v>507763005.27999997</v>
      </c>
      <c r="R2115" s="107">
        <v>499019726.06</v>
      </c>
    </row>
    <row r="2116" spans="1:18" x14ac:dyDescent="0.25">
      <c r="A2116" s="2" t="s">
        <v>320</v>
      </c>
      <c r="B2116" s="2">
        <v>2018</v>
      </c>
      <c r="C2116" s="2" t="s">
        <v>319</v>
      </c>
      <c r="D2116" s="106">
        <v>44300000000</v>
      </c>
      <c r="E2116" s="1">
        <v>35600000000</v>
      </c>
      <c r="F2116" s="107">
        <v>35600000000</v>
      </c>
      <c r="G2116" s="1">
        <v>2898418947</v>
      </c>
      <c r="H2116" s="1">
        <v>2519451391.52</v>
      </c>
      <c r="I2116" s="1">
        <v>2775802413</v>
      </c>
      <c r="J2116" s="1">
        <v>3172576292</v>
      </c>
      <c r="K2116" s="1">
        <v>3018103357</v>
      </c>
      <c r="L2116" s="1">
        <v>3146588376.5</v>
      </c>
      <c r="M2116" s="107">
        <v>2748865419.5</v>
      </c>
      <c r="N2116" s="107">
        <v>3412558406.1799998</v>
      </c>
      <c r="O2116" s="107">
        <v>2765148692</v>
      </c>
      <c r="P2116" s="107">
        <v>3315623634.4899998</v>
      </c>
      <c r="Q2116" s="107">
        <v>3022827719</v>
      </c>
      <c r="R2116" s="107">
        <v>2927573824</v>
      </c>
    </row>
    <row r="2117" spans="1:18" x14ac:dyDescent="0.25">
      <c r="A2117" s="2" t="s">
        <v>317</v>
      </c>
      <c r="B2117" s="2">
        <v>2018</v>
      </c>
      <c r="C2117" s="2" t="s">
        <v>316</v>
      </c>
      <c r="D2117" s="106">
        <v>23000000000</v>
      </c>
      <c r="E2117" s="1">
        <v>22300000000</v>
      </c>
      <c r="F2117" s="107">
        <v>22300000000</v>
      </c>
      <c r="G2117" s="1">
        <v>1923398622</v>
      </c>
      <c r="H2117" s="1">
        <v>1863753496</v>
      </c>
      <c r="I2117" s="1">
        <v>1854131588</v>
      </c>
      <c r="J2117" s="1">
        <v>1853947076</v>
      </c>
      <c r="K2117" s="1">
        <v>2036026107</v>
      </c>
      <c r="L2117" s="1">
        <v>1975256148</v>
      </c>
      <c r="M2117" s="107">
        <v>1972950634</v>
      </c>
      <c r="N2117" s="107">
        <v>1910012647</v>
      </c>
      <c r="O2117" s="107">
        <v>1702553387</v>
      </c>
      <c r="P2117" s="107">
        <v>1895836666.21</v>
      </c>
      <c r="Q2117" s="107">
        <v>1876753179</v>
      </c>
      <c r="R2117" s="107">
        <v>1400584091</v>
      </c>
    </row>
    <row r="2118" spans="1:18" x14ac:dyDescent="0.25">
      <c r="A2118" s="2" t="s">
        <v>313</v>
      </c>
      <c r="B2118" s="2">
        <v>2018</v>
      </c>
      <c r="C2118" s="2" t="s">
        <v>312</v>
      </c>
      <c r="D2118" s="106">
        <v>828800000000</v>
      </c>
      <c r="E2118" s="1">
        <v>779700000000</v>
      </c>
      <c r="F2118" s="107">
        <v>779700000000</v>
      </c>
      <c r="G2118" s="1">
        <v>80562090412.059998</v>
      </c>
      <c r="H2118" s="1">
        <v>66652994557.800003</v>
      </c>
      <c r="I2118" s="1">
        <v>62037727368.610001</v>
      </c>
      <c r="J2118" s="1">
        <v>65613550726.540001</v>
      </c>
      <c r="K2118" s="1">
        <v>61677426426.639999</v>
      </c>
      <c r="L2118" s="1">
        <v>60326683525.57</v>
      </c>
      <c r="M2118" s="107">
        <v>61074435167.599998</v>
      </c>
      <c r="N2118" s="107">
        <v>62424108885.910004</v>
      </c>
      <c r="O2118" s="107">
        <v>62760958837.540001</v>
      </c>
      <c r="P2118" s="107">
        <v>61615907027.790001</v>
      </c>
      <c r="Q2118" s="107">
        <v>62163188710.480003</v>
      </c>
      <c r="R2118" s="107">
        <v>72507274881.889999</v>
      </c>
    </row>
    <row r="2119" spans="1:18" x14ac:dyDescent="0.25">
      <c r="A2119" s="2" t="s">
        <v>310</v>
      </c>
      <c r="B2119" s="2">
        <v>2018</v>
      </c>
      <c r="C2119" s="2" t="s">
        <v>309</v>
      </c>
      <c r="D2119" s="106">
        <v>781700000000</v>
      </c>
      <c r="E2119" s="1">
        <v>720300000000</v>
      </c>
      <c r="F2119" s="107">
        <v>720300000000</v>
      </c>
      <c r="G2119" s="1">
        <v>57039038535.220001</v>
      </c>
      <c r="H2119" s="1">
        <v>51689530177.809998</v>
      </c>
      <c r="I2119" s="1">
        <v>56121248404.110001</v>
      </c>
      <c r="J2119" s="1">
        <v>59909416449.599998</v>
      </c>
      <c r="K2119" s="1">
        <v>59977345553.68</v>
      </c>
      <c r="L2119" s="1">
        <v>53232193568</v>
      </c>
      <c r="M2119" s="107">
        <v>59374046256.760002</v>
      </c>
      <c r="N2119" s="107">
        <v>57682621693.989998</v>
      </c>
      <c r="O2119" s="107">
        <v>49506694826.5</v>
      </c>
      <c r="P2119" s="107">
        <v>70249439879.529999</v>
      </c>
      <c r="Q2119" s="107">
        <v>76325471538.710007</v>
      </c>
      <c r="R2119" s="107">
        <v>57096609191.699997</v>
      </c>
    </row>
    <row r="2120" spans="1:18" x14ac:dyDescent="0.25">
      <c r="A2120" s="2" t="s">
        <v>306</v>
      </c>
      <c r="B2120" s="2">
        <v>2018</v>
      </c>
      <c r="C2120" s="2" t="s">
        <v>305</v>
      </c>
      <c r="D2120" s="106">
        <v>24500000000</v>
      </c>
      <c r="E2120" s="1">
        <v>20219000000</v>
      </c>
      <c r="F2120" s="107">
        <v>20219000000</v>
      </c>
      <c r="G2120" s="1">
        <v>2155363218.8400002</v>
      </c>
      <c r="H2120" s="1">
        <v>1416058422.76</v>
      </c>
      <c r="I2120" s="1">
        <v>1679642984.8599999</v>
      </c>
      <c r="J2120" s="1">
        <v>6762548514.1400003</v>
      </c>
      <c r="K2120" s="1">
        <v>801529666.59000003</v>
      </c>
      <c r="L2120" s="1">
        <v>1042798615.33</v>
      </c>
      <c r="M2120" s="107">
        <v>702605169.03999996</v>
      </c>
      <c r="N2120" s="107">
        <v>733243151.57000005</v>
      </c>
      <c r="O2120" s="107">
        <v>795129118.01999998</v>
      </c>
      <c r="P2120" s="107">
        <v>743603243.64999998</v>
      </c>
      <c r="Q2120" s="107">
        <v>988244762.30999994</v>
      </c>
      <c r="R2120" s="107">
        <v>1605346622.1300001</v>
      </c>
    </row>
    <row r="2121" spans="1:18" x14ac:dyDescent="0.25">
      <c r="A2121" s="2" t="s">
        <v>303</v>
      </c>
      <c r="B2121" s="2">
        <v>2018</v>
      </c>
      <c r="C2121" s="2" t="s">
        <v>302</v>
      </c>
      <c r="D2121" s="106">
        <v>250000000000</v>
      </c>
      <c r="E2121" s="1">
        <v>204434000000</v>
      </c>
      <c r="F2121" s="107">
        <v>204434000000</v>
      </c>
      <c r="G2121" s="1">
        <v>15744739973.799999</v>
      </c>
      <c r="H2121" s="1">
        <v>15400649325.030001</v>
      </c>
      <c r="I2121" s="1">
        <v>19327565588.759998</v>
      </c>
      <c r="J2121" s="1">
        <v>18823962139.919998</v>
      </c>
      <c r="K2121" s="1">
        <v>16938986959.6</v>
      </c>
      <c r="L2121" s="1">
        <v>14648385970.450001</v>
      </c>
      <c r="M2121" s="107">
        <v>15017806259.16</v>
      </c>
      <c r="N2121" s="107">
        <v>13390643337.219999</v>
      </c>
      <c r="O2121" s="107">
        <v>15770748272.940001</v>
      </c>
      <c r="P2121" s="107">
        <v>19967185591.240002</v>
      </c>
      <c r="Q2121" s="107">
        <v>22333718905.57</v>
      </c>
      <c r="R2121" s="107">
        <v>14409624584.48</v>
      </c>
    </row>
    <row r="2122" spans="1:18" x14ac:dyDescent="0.25">
      <c r="A2122" s="2" t="s">
        <v>298</v>
      </c>
      <c r="B2122" s="2">
        <v>2018</v>
      </c>
      <c r="C2122" s="2" t="s">
        <v>281</v>
      </c>
      <c r="D2122" s="106">
        <v>315000000000</v>
      </c>
      <c r="E2122" s="1">
        <v>312686000000</v>
      </c>
      <c r="F2122" s="107">
        <v>312686000000</v>
      </c>
      <c r="G2122" s="1">
        <v>35499964801</v>
      </c>
      <c r="H2122" s="1">
        <v>23189810025</v>
      </c>
      <c r="I2122" s="1">
        <v>4103326554</v>
      </c>
      <c r="J2122" s="1">
        <v>40749375749</v>
      </c>
      <c r="K2122" s="1">
        <v>22196229088</v>
      </c>
      <c r="L2122" s="1">
        <v>23723247518</v>
      </c>
      <c r="M2122" s="107">
        <v>35372139205</v>
      </c>
      <c r="N2122" s="107">
        <v>24193800236</v>
      </c>
      <c r="O2122" s="107">
        <v>24109940889</v>
      </c>
      <c r="P2122" s="107">
        <v>23742129349</v>
      </c>
      <c r="Q2122" s="107">
        <v>24084146112</v>
      </c>
      <c r="R2122" s="107">
        <v>32055158070</v>
      </c>
    </row>
    <row r="2123" spans="1:18" x14ac:dyDescent="0.25">
      <c r="A2123" s="2" t="s">
        <v>297</v>
      </c>
      <c r="B2123" s="2">
        <v>2018</v>
      </c>
      <c r="C2123" s="2" t="s">
        <v>287</v>
      </c>
      <c r="D2123" s="106">
        <v>210000000000</v>
      </c>
      <c r="E2123" s="1">
        <v>205008000000</v>
      </c>
      <c r="F2123" s="107">
        <v>205008000000</v>
      </c>
      <c r="G2123" s="1">
        <v>18311288540.330002</v>
      </c>
      <c r="H2123" s="1">
        <v>7387928041.8599997</v>
      </c>
      <c r="I2123" s="1">
        <v>33265008044.18</v>
      </c>
      <c r="J2123" s="1">
        <v>19994201939.450001</v>
      </c>
      <c r="K2123" s="1">
        <v>12822125838.040001</v>
      </c>
      <c r="L2123" s="1">
        <v>18785568241.16</v>
      </c>
      <c r="M2123" s="107">
        <v>18968478456.790001</v>
      </c>
      <c r="N2123" s="107">
        <v>13660505817.049999</v>
      </c>
      <c r="O2123" s="107">
        <v>14015931305.42</v>
      </c>
      <c r="P2123" s="107">
        <v>14220042568.879999</v>
      </c>
      <c r="Q2123" s="107">
        <v>13939007323.360001</v>
      </c>
      <c r="R2123" s="107">
        <v>19276457964.509998</v>
      </c>
    </row>
    <row r="2124" spans="1:18" x14ac:dyDescent="0.25">
      <c r="A2124" s="2" t="s">
        <v>295</v>
      </c>
      <c r="B2124" s="2">
        <v>2018</v>
      </c>
      <c r="C2124" s="2" t="s">
        <v>281</v>
      </c>
      <c r="D2124" s="106">
        <v>34300000000</v>
      </c>
      <c r="E2124" s="1">
        <v>33660000000</v>
      </c>
      <c r="F2124" s="107">
        <v>33660000000</v>
      </c>
      <c r="G2124" s="1">
        <v>4003198067.9699998</v>
      </c>
      <c r="H2124" s="1">
        <v>2422323624.2199998</v>
      </c>
      <c r="I2124" s="1">
        <v>2378793765.98</v>
      </c>
      <c r="J2124" s="1">
        <v>2787867854.8800001</v>
      </c>
      <c r="K2124" s="1">
        <v>2638048658</v>
      </c>
      <c r="L2124" s="1">
        <v>2454154156.3899999</v>
      </c>
      <c r="M2124" s="107">
        <v>2342930084.0900002</v>
      </c>
      <c r="N2124" s="107">
        <v>2876566288.5300002</v>
      </c>
      <c r="O2124" s="107">
        <v>2917023309.1500001</v>
      </c>
      <c r="P2124" s="107">
        <v>3050430881.3299999</v>
      </c>
      <c r="Q2124" s="107">
        <v>3113481452.3299999</v>
      </c>
      <c r="R2124" s="107">
        <v>3286824864.23</v>
      </c>
    </row>
    <row r="2125" spans="1:18" x14ac:dyDescent="0.25">
      <c r="A2125" s="2" t="s">
        <v>294</v>
      </c>
      <c r="B2125" s="2">
        <v>2018</v>
      </c>
      <c r="C2125" s="2" t="s">
        <v>287</v>
      </c>
      <c r="D2125" s="106">
        <v>10300000000</v>
      </c>
      <c r="E2125" s="1">
        <v>10840000000</v>
      </c>
      <c r="F2125" s="107">
        <v>10840000000</v>
      </c>
      <c r="G2125" s="1">
        <v>826762539.38</v>
      </c>
      <c r="H2125" s="1">
        <v>963568206.50999999</v>
      </c>
      <c r="I2125" s="1">
        <v>931316487.66999996</v>
      </c>
      <c r="J2125" s="1">
        <v>864267406.48000002</v>
      </c>
      <c r="K2125" s="1">
        <v>643305678.82000005</v>
      </c>
      <c r="L2125" s="1">
        <v>830706462.21000004</v>
      </c>
      <c r="M2125" s="107">
        <v>748417732.87</v>
      </c>
      <c r="N2125" s="107">
        <v>896292248.69000006</v>
      </c>
      <c r="O2125" s="107">
        <v>797053824.38999999</v>
      </c>
      <c r="P2125" s="107">
        <v>1272056321.04</v>
      </c>
      <c r="Q2125" s="107">
        <v>1332877744.8800001</v>
      </c>
      <c r="R2125" s="107">
        <v>1231746443.03</v>
      </c>
    </row>
    <row r="2126" spans="1:18" x14ac:dyDescent="0.25">
      <c r="A2126" s="2" t="s">
        <v>292</v>
      </c>
      <c r="B2126" s="2">
        <v>2018</v>
      </c>
      <c r="C2126" s="2" t="s">
        <v>281</v>
      </c>
      <c r="D2126" s="106">
        <v>37600000000</v>
      </c>
      <c r="E2126" s="1">
        <v>37600000000</v>
      </c>
      <c r="F2126" s="107">
        <v>37600000000</v>
      </c>
      <c r="G2126" s="1">
        <v>3461259323.5100002</v>
      </c>
      <c r="H2126" s="1">
        <v>2949792651.7600002</v>
      </c>
      <c r="I2126" s="1">
        <v>2865445745.54</v>
      </c>
      <c r="J2126" s="1">
        <v>3391658211</v>
      </c>
      <c r="K2126" s="1">
        <v>3022144289.25</v>
      </c>
      <c r="L2126" s="1">
        <v>3262390000.7600002</v>
      </c>
      <c r="M2126" s="107">
        <v>3123984811.9200001</v>
      </c>
      <c r="N2126" s="107">
        <v>2911413052.1999998</v>
      </c>
      <c r="O2126" s="107">
        <v>3165636992.7199998</v>
      </c>
      <c r="P2126" s="107">
        <v>2857392230.8400002</v>
      </c>
      <c r="Q2126" s="107">
        <v>2877361955.7800002</v>
      </c>
      <c r="R2126" s="107">
        <v>3012531911.54</v>
      </c>
    </row>
    <row r="2127" spans="1:18" x14ac:dyDescent="0.25">
      <c r="A2127" s="2" t="s">
        <v>291</v>
      </c>
      <c r="B2127" s="2">
        <v>2018</v>
      </c>
      <c r="C2127" s="2" t="s">
        <v>287</v>
      </c>
      <c r="D2127" s="106">
        <v>3400000000</v>
      </c>
      <c r="E2127" s="1">
        <v>3491000000</v>
      </c>
      <c r="F2127" s="107">
        <v>3491000000</v>
      </c>
      <c r="G2127" s="1">
        <v>271572281.75999999</v>
      </c>
      <c r="H2127" s="1">
        <v>223587741.08000001</v>
      </c>
      <c r="I2127" s="1">
        <v>315149468.64999998</v>
      </c>
      <c r="J2127" s="1">
        <v>302698107.83999997</v>
      </c>
      <c r="K2127" s="1">
        <v>320225709.33999997</v>
      </c>
      <c r="L2127" s="1">
        <v>227407641.19999999</v>
      </c>
      <c r="M2127" s="107">
        <v>315069027.44999999</v>
      </c>
      <c r="N2127" s="107">
        <v>271775667.70999998</v>
      </c>
      <c r="O2127" s="107">
        <v>185118631.16999999</v>
      </c>
      <c r="P2127" s="107">
        <v>296597590.13</v>
      </c>
      <c r="Q2127" s="107">
        <v>314550394.35000002</v>
      </c>
      <c r="R2127" s="107">
        <v>236812728.88</v>
      </c>
    </row>
    <row r="2128" spans="1:18" x14ac:dyDescent="0.25">
      <c r="A2128" s="2" t="s">
        <v>289</v>
      </c>
      <c r="B2128" s="2">
        <v>2018</v>
      </c>
      <c r="C2128" s="2" t="s">
        <v>287</v>
      </c>
      <c r="D2128" s="106">
        <v>2700000000</v>
      </c>
      <c r="E2128" s="1">
        <v>2358000000</v>
      </c>
      <c r="F2128" s="107">
        <v>2358000000</v>
      </c>
      <c r="G2128" s="1">
        <v>243668920.72</v>
      </c>
      <c r="H2128" s="1">
        <v>201469495.13999999</v>
      </c>
      <c r="I2128" s="1">
        <v>213295998.66</v>
      </c>
      <c r="J2128" s="1">
        <v>209715206.06999999</v>
      </c>
      <c r="K2128" s="1">
        <v>216926312.06999999</v>
      </c>
      <c r="L2128" s="1">
        <v>222433398.09</v>
      </c>
      <c r="M2128" s="107">
        <v>217132818.66999999</v>
      </c>
      <c r="N2128" s="107">
        <v>229093947.28999999</v>
      </c>
      <c r="O2128" s="107">
        <v>214706810.74000001</v>
      </c>
      <c r="P2128" s="107">
        <v>315569454.48000002</v>
      </c>
      <c r="Q2128" s="107">
        <v>234395503.61000001</v>
      </c>
      <c r="R2128" s="107">
        <v>193328485.41999999</v>
      </c>
    </row>
    <row r="2129" spans="1:18" x14ac:dyDescent="0.25">
      <c r="A2129" s="2" t="s">
        <v>286</v>
      </c>
      <c r="B2129" s="2">
        <v>2018</v>
      </c>
      <c r="C2129" s="2" t="s">
        <v>285</v>
      </c>
      <c r="D2129" s="106">
        <v>288000000</v>
      </c>
      <c r="E2129" s="1">
        <v>320000000</v>
      </c>
      <c r="F2129" s="107">
        <v>320000000</v>
      </c>
      <c r="G2129" s="1">
        <v>25165686.25</v>
      </c>
      <c r="H2129" s="1">
        <v>23882861.890000001</v>
      </c>
      <c r="I2129" s="1">
        <v>0</v>
      </c>
      <c r="J2129" s="1">
        <v>21409801.41</v>
      </c>
      <c r="K2129" s="1">
        <v>52813336.619999997</v>
      </c>
      <c r="L2129" s="1">
        <v>27402037.300000001</v>
      </c>
      <c r="M2129" s="107">
        <v>24481139.039999999</v>
      </c>
      <c r="N2129" s="107">
        <v>24117854.969999999</v>
      </c>
      <c r="O2129" s="107">
        <v>23941722.559999999</v>
      </c>
      <c r="P2129" s="107">
        <v>21653220.890000001</v>
      </c>
      <c r="Q2129" s="107">
        <v>22325518.030000001</v>
      </c>
      <c r="R2129" s="107">
        <v>21372204.5</v>
      </c>
    </row>
    <row r="2130" spans="1:18" x14ac:dyDescent="0.25">
      <c r="A2130" s="2" t="s">
        <v>283</v>
      </c>
      <c r="B2130" s="2">
        <v>2018</v>
      </c>
      <c r="C2130" s="2" t="s">
        <v>282</v>
      </c>
      <c r="D2130" s="106">
        <v>18750000000</v>
      </c>
      <c r="E2130" s="1">
        <v>11003000000</v>
      </c>
      <c r="F2130" s="107">
        <v>11003000000</v>
      </c>
      <c r="G2130" s="1">
        <v>1253091840</v>
      </c>
      <c r="H2130" s="1">
        <v>794576640</v>
      </c>
      <c r="I2130" s="1">
        <v>1257519457.4000001</v>
      </c>
      <c r="J2130" s="1">
        <v>7698800715.3999996</v>
      </c>
      <c r="K2130" s="1">
        <v>0</v>
      </c>
      <c r="L2130" s="1">
        <v>0</v>
      </c>
      <c r="M2130" s="107">
        <v>0</v>
      </c>
      <c r="N2130" s="107">
        <v>0</v>
      </c>
      <c r="O2130" s="107">
        <v>0</v>
      </c>
      <c r="P2130" s="107">
        <v>0</v>
      </c>
      <c r="Q2130" s="107">
        <v>0</v>
      </c>
      <c r="R2130" s="107">
        <v>0</v>
      </c>
    </row>
    <row r="2131" spans="1:18" x14ac:dyDescent="0.25">
      <c r="A2131" s="2" t="s">
        <v>280</v>
      </c>
      <c r="B2131" s="2">
        <v>2018</v>
      </c>
      <c r="C2131" s="2" t="s">
        <v>279</v>
      </c>
      <c r="D2131" s="106">
        <v>14550000000</v>
      </c>
      <c r="E2131" s="1">
        <v>18050000000</v>
      </c>
      <c r="F2131" s="107">
        <v>18050000000</v>
      </c>
      <c r="G2131" s="1">
        <v>799210700.52999997</v>
      </c>
      <c r="H2131" s="1">
        <v>1312220862.8099999</v>
      </c>
      <c r="I2131" s="1">
        <v>1589636178.53</v>
      </c>
      <c r="J2131" s="1">
        <v>598039364</v>
      </c>
      <c r="K2131" s="1">
        <v>1392830723.99</v>
      </c>
      <c r="L2131" s="1">
        <v>858926138.84000003</v>
      </c>
      <c r="M2131" s="107">
        <v>2016214122.45</v>
      </c>
      <c r="N2131" s="107">
        <v>1113582052.4000001</v>
      </c>
      <c r="O2131" s="107">
        <v>2191181812</v>
      </c>
      <c r="P2131" s="107">
        <v>2132829572</v>
      </c>
      <c r="Q2131" s="107">
        <v>3508547857.3099999</v>
      </c>
      <c r="R2131" s="107">
        <v>2248530875.3200002</v>
      </c>
    </row>
    <row r="2132" spans="1:18" x14ac:dyDescent="0.25">
      <c r="A2132" s="2" t="s">
        <v>276</v>
      </c>
      <c r="B2132" s="2">
        <v>2018</v>
      </c>
      <c r="C2132" s="2" t="s">
        <v>275</v>
      </c>
      <c r="D2132" s="106">
        <v>1230000000</v>
      </c>
      <c r="E2132" s="1">
        <v>789000000</v>
      </c>
      <c r="F2132" s="107">
        <v>789000000</v>
      </c>
      <c r="G2132" s="1">
        <v>70609238.269999996</v>
      </c>
      <c r="H2132" s="1">
        <v>76081551.329999998</v>
      </c>
      <c r="I2132" s="1">
        <v>59101127.75</v>
      </c>
      <c r="J2132" s="1">
        <v>90785634.349999994</v>
      </c>
      <c r="K2132" s="1">
        <v>80068131.269999996</v>
      </c>
      <c r="L2132" s="1">
        <v>72312684.480000004</v>
      </c>
      <c r="M2132" s="107">
        <v>68527214.290000007</v>
      </c>
      <c r="N2132" s="107">
        <v>108681480.05</v>
      </c>
      <c r="O2132" s="107">
        <v>89379931.829999998</v>
      </c>
      <c r="P2132" s="107">
        <v>76279775.079999998</v>
      </c>
      <c r="Q2132" s="107">
        <v>85484190.390000001</v>
      </c>
      <c r="R2132" s="107">
        <v>102708518.81</v>
      </c>
    </row>
    <row r="2133" spans="1:18" x14ac:dyDescent="0.25">
      <c r="A2133" s="2" t="s">
        <v>274</v>
      </c>
      <c r="B2133" s="2">
        <v>2018</v>
      </c>
      <c r="C2133" s="2" t="s">
        <v>273</v>
      </c>
      <c r="D2133" s="106">
        <v>54000000</v>
      </c>
      <c r="E2133" s="1">
        <v>55000000</v>
      </c>
      <c r="F2133" s="107">
        <v>55000000</v>
      </c>
      <c r="G2133" s="1">
        <v>12146700</v>
      </c>
      <c r="H2133" s="1">
        <v>0</v>
      </c>
      <c r="I2133" s="1">
        <v>12146700</v>
      </c>
      <c r="J2133" s="1">
        <v>0</v>
      </c>
      <c r="K2133" s="1">
        <v>0</v>
      </c>
      <c r="L2133" s="1">
        <v>18425250</v>
      </c>
      <c r="M2133" s="107">
        <v>0</v>
      </c>
      <c r="N2133" s="107">
        <v>0</v>
      </c>
      <c r="O2133" s="107">
        <v>18425250</v>
      </c>
      <c r="P2133" s="107">
        <v>0</v>
      </c>
      <c r="Q2133" s="107">
        <v>0</v>
      </c>
      <c r="R2133" s="107">
        <v>18425250</v>
      </c>
    </row>
    <row r="2134" spans="1:18" x14ac:dyDescent="0.25">
      <c r="A2134" s="2" t="s">
        <v>268</v>
      </c>
      <c r="B2134" s="2">
        <v>2018</v>
      </c>
      <c r="C2134" s="2" t="s">
        <v>267</v>
      </c>
      <c r="D2134" s="106">
        <v>173000000000</v>
      </c>
      <c r="E2134" s="1">
        <v>149000000000</v>
      </c>
      <c r="F2134" s="107">
        <v>149000000000</v>
      </c>
      <c r="G2134" s="1">
        <v>12482044939.049999</v>
      </c>
      <c r="H2134" s="1">
        <v>11666097896.370001</v>
      </c>
      <c r="I2134" s="1">
        <v>11053737495.469999</v>
      </c>
      <c r="J2134" s="1">
        <v>11662593415.709999</v>
      </c>
      <c r="K2134" s="1">
        <v>11471139718.629999</v>
      </c>
      <c r="L2134" s="1">
        <v>10874278077.09</v>
      </c>
      <c r="M2134" s="107">
        <v>11485624557.379999</v>
      </c>
      <c r="N2134" s="107">
        <v>12067385668.67</v>
      </c>
      <c r="O2134" s="107">
        <v>9996422097.1100006</v>
      </c>
      <c r="P2134" s="107">
        <v>15271835286.549999</v>
      </c>
      <c r="Q2134" s="107">
        <v>17272358315.900002</v>
      </c>
      <c r="R2134" s="107">
        <v>13713518729.690001</v>
      </c>
    </row>
    <row r="2135" spans="1:18" x14ac:dyDescent="0.25">
      <c r="A2135" s="2" t="s">
        <v>264</v>
      </c>
      <c r="B2135" s="2">
        <v>2018</v>
      </c>
      <c r="C2135" s="2" t="s">
        <v>263</v>
      </c>
      <c r="D2135" s="106">
        <v>29300000000</v>
      </c>
      <c r="E2135" s="1">
        <v>25900000000</v>
      </c>
      <c r="F2135" s="107">
        <v>25900000000</v>
      </c>
      <c r="G2135" s="1">
        <v>2136414384.8499999</v>
      </c>
      <c r="H2135" s="1">
        <v>1965876959.3699999</v>
      </c>
      <c r="I2135" s="1">
        <v>2124106981.02</v>
      </c>
      <c r="J2135" s="1">
        <v>2313670327.4400001</v>
      </c>
      <c r="K2135" s="1">
        <v>2244353356.6300001</v>
      </c>
      <c r="L2135" s="1">
        <v>1943429405.1400001</v>
      </c>
      <c r="M2135" s="107">
        <v>2160101503.4499998</v>
      </c>
      <c r="N2135" s="107">
        <v>2222130318.1799998</v>
      </c>
      <c r="O2135" s="107">
        <v>1784881378.8699999</v>
      </c>
      <c r="P2135" s="107">
        <v>2454835128.1300001</v>
      </c>
      <c r="Q2135" s="107">
        <v>2869033508.96</v>
      </c>
      <c r="R2135" s="107">
        <v>2131779509.21</v>
      </c>
    </row>
    <row r="2136" spans="1:18" x14ac:dyDescent="0.25">
      <c r="A2136" s="2" t="s">
        <v>260</v>
      </c>
      <c r="B2136" s="2">
        <v>2018</v>
      </c>
      <c r="C2136" s="2" t="s">
        <v>259</v>
      </c>
      <c r="D2136" s="106">
        <v>3416000000</v>
      </c>
      <c r="E2136" s="1">
        <v>3555000000</v>
      </c>
      <c r="F2136" s="107">
        <v>3555000000</v>
      </c>
      <c r="G2136" s="1">
        <v>314369662.58999997</v>
      </c>
      <c r="H2136" s="1">
        <v>261860364.44</v>
      </c>
      <c r="I2136" s="1">
        <v>295782849.95999998</v>
      </c>
      <c r="J2136" s="1">
        <v>307745885.44</v>
      </c>
      <c r="K2136" s="1">
        <v>331540305.76999998</v>
      </c>
      <c r="L2136" s="1">
        <v>323400213.69</v>
      </c>
      <c r="M2136" s="107">
        <v>333098471.83999997</v>
      </c>
      <c r="N2136" s="107">
        <v>284428794.52999997</v>
      </c>
      <c r="O2136" s="107">
        <v>220583544.61000001</v>
      </c>
      <c r="P2136" s="107">
        <v>315219096.67000002</v>
      </c>
      <c r="Q2136" s="107">
        <v>329918463.35000002</v>
      </c>
      <c r="R2136" s="107">
        <v>275638425.00999999</v>
      </c>
    </row>
    <row r="2137" spans="1:18" x14ac:dyDescent="0.25">
      <c r="A2137" s="2" t="s">
        <v>258</v>
      </c>
      <c r="B2137" s="2">
        <v>2018</v>
      </c>
      <c r="C2137" s="2" t="s">
        <v>257</v>
      </c>
      <c r="D2137" s="106">
        <v>172500000</v>
      </c>
      <c r="E2137" s="1">
        <v>186000000</v>
      </c>
      <c r="F2137" s="107">
        <v>186000000</v>
      </c>
      <c r="G2137" s="1">
        <v>17067910.5</v>
      </c>
      <c r="H2137" s="1">
        <v>14095674</v>
      </c>
      <c r="I2137" s="1">
        <v>16006588.5</v>
      </c>
      <c r="J2137" s="1">
        <v>16671864</v>
      </c>
      <c r="K2137" s="1">
        <v>18007008</v>
      </c>
      <c r="L2137" s="1">
        <v>17651262</v>
      </c>
      <c r="M2137" s="107">
        <v>18158740.5</v>
      </c>
      <c r="N2137" s="107">
        <v>15493309.5</v>
      </c>
      <c r="O2137" s="107">
        <v>11888142</v>
      </c>
      <c r="P2137" s="107">
        <v>16681831.5</v>
      </c>
      <c r="Q2137" s="107">
        <v>16818132</v>
      </c>
      <c r="R2137" s="107">
        <v>14060953.5</v>
      </c>
    </row>
    <row r="2138" spans="1:18" x14ac:dyDescent="0.25">
      <c r="A2138" s="2" t="s">
        <v>256</v>
      </c>
      <c r="B2138" s="2">
        <v>2018</v>
      </c>
      <c r="C2138" s="2" t="s">
        <v>255</v>
      </c>
      <c r="D2138" s="106">
        <v>1844000000</v>
      </c>
      <c r="E2138" s="1">
        <v>1750000000</v>
      </c>
      <c r="F2138" s="107">
        <v>1750000000</v>
      </c>
      <c r="G2138" s="1">
        <v>146522490.25</v>
      </c>
      <c r="H2138" s="1">
        <v>144619278</v>
      </c>
      <c r="I2138" s="1">
        <v>152332604.25</v>
      </c>
      <c r="J2138" s="1">
        <v>156361223.5</v>
      </c>
      <c r="K2138" s="1">
        <v>150654044.5</v>
      </c>
      <c r="L2138" s="1">
        <v>83704148.5</v>
      </c>
      <c r="M2138" s="107">
        <v>127523312.25</v>
      </c>
      <c r="N2138" s="107">
        <v>147555824.75</v>
      </c>
      <c r="O2138" s="107">
        <v>135137416.5</v>
      </c>
      <c r="P2138" s="107">
        <v>151844543.25</v>
      </c>
      <c r="Q2138" s="107">
        <v>155389924.75</v>
      </c>
      <c r="R2138" s="107">
        <v>129908051.61</v>
      </c>
    </row>
    <row r="2139" spans="1:18" x14ac:dyDescent="0.25">
      <c r="A2139" s="2" t="s">
        <v>253</v>
      </c>
      <c r="B2139" s="2">
        <v>2018</v>
      </c>
      <c r="C2139" s="2" t="s">
        <v>252</v>
      </c>
      <c r="D2139" s="106">
        <v>52700000000</v>
      </c>
      <c r="E2139" s="1">
        <v>47885000000</v>
      </c>
      <c r="F2139" s="107">
        <v>47885000000</v>
      </c>
      <c r="G2139" s="1">
        <v>5405844345.4499998</v>
      </c>
      <c r="H2139" s="1">
        <v>4156459741.0799999</v>
      </c>
      <c r="I2139" s="1">
        <v>4537697072.3299999</v>
      </c>
      <c r="J2139" s="1">
        <v>4524870929.1300001</v>
      </c>
      <c r="K2139" s="1">
        <v>3738735213.3899999</v>
      </c>
      <c r="L2139" s="1">
        <v>3419276248.0900002</v>
      </c>
      <c r="M2139" s="107">
        <v>4236172599.1599998</v>
      </c>
      <c r="N2139" s="107">
        <v>3858174525.6300001</v>
      </c>
      <c r="O2139" s="107">
        <v>2719989077.6999998</v>
      </c>
      <c r="P2139" s="107">
        <v>3136116087.1199999</v>
      </c>
      <c r="Q2139" s="107">
        <v>3614126826</v>
      </c>
      <c r="R2139" s="107">
        <v>4088689519.0700002</v>
      </c>
    </row>
    <row r="2140" spans="1:18" x14ac:dyDescent="0.25">
      <c r="A2140" s="2" t="s">
        <v>251</v>
      </c>
      <c r="B2140" s="2">
        <v>2018</v>
      </c>
      <c r="C2140" s="2" t="s">
        <v>250</v>
      </c>
      <c r="D2140" s="106">
        <v>2623000000</v>
      </c>
      <c r="E2140" s="1">
        <v>2311000000</v>
      </c>
      <c r="F2140" s="107">
        <v>2311000000</v>
      </c>
      <c r="G2140" s="1">
        <v>294646964.60000002</v>
      </c>
      <c r="H2140" s="1">
        <v>173322808.34999999</v>
      </c>
      <c r="I2140" s="1">
        <v>231282924.50999999</v>
      </c>
      <c r="J2140" s="1">
        <v>172190407.80000001</v>
      </c>
      <c r="K2140" s="1">
        <v>115267633.2</v>
      </c>
      <c r="L2140" s="1">
        <v>64891479.299999997</v>
      </c>
      <c r="M2140" s="107">
        <v>118322633.65000001</v>
      </c>
      <c r="N2140" s="107">
        <v>122903093.2</v>
      </c>
      <c r="O2140" s="107">
        <v>122767314.8</v>
      </c>
      <c r="P2140" s="107">
        <v>154759935.55000001</v>
      </c>
      <c r="Q2140" s="107">
        <v>161020684.15000001</v>
      </c>
      <c r="R2140" s="107">
        <v>326750004.75</v>
      </c>
    </row>
    <row r="2141" spans="1:18" x14ac:dyDescent="0.25">
      <c r="A2141" s="2" t="s">
        <v>249</v>
      </c>
      <c r="B2141" s="2">
        <v>2018</v>
      </c>
      <c r="C2141" s="2" t="s">
        <v>248</v>
      </c>
      <c r="D2141" s="106">
        <v>3305600000</v>
      </c>
      <c r="E2141" s="1">
        <v>3275000000</v>
      </c>
      <c r="F2141" s="107">
        <v>3275000000</v>
      </c>
      <c r="G2141" s="1">
        <v>279010660.98000002</v>
      </c>
      <c r="H2141" s="1">
        <v>396767725.06</v>
      </c>
      <c r="I2141" s="1">
        <v>266278501.28999999</v>
      </c>
      <c r="J2141" s="1">
        <v>428139812.37</v>
      </c>
      <c r="K2141" s="1">
        <v>257112241.69</v>
      </c>
      <c r="L2141" s="1">
        <v>280771494.26999998</v>
      </c>
      <c r="M2141" s="107">
        <v>219197179.78</v>
      </c>
      <c r="N2141" s="107">
        <v>300812427.5</v>
      </c>
      <c r="O2141" s="107">
        <v>447714976.22000003</v>
      </c>
      <c r="P2141" s="107">
        <v>420280511.30000001</v>
      </c>
      <c r="Q2141" s="107">
        <v>300635714</v>
      </c>
      <c r="R2141" s="107">
        <v>298406575.81</v>
      </c>
    </row>
    <row r="2142" spans="1:18" x14ac:dyDescent="0.25">
      <c r="A2142" s="2" t="s">
        <v>246</v>
      </c>
      <c r="B2142" s="2">
        <v>2018</v>
      </c>
      <c r="C2142" s="2" t="s">
        <v>245</v>
      </c>
      <c r="D2142" s="106">
        <v>1134000000</v>
      </c>
      <c r="E2142" s="1">
        <v>1088000000</v>
      </c>
      <c r="F2142" s="107">
        <v>1088000000</v>
      </c>
      <c r="G2142" s="1">
        <v>81097099.370000005</v>
      </c>
      <c r="H2142" s="1">
        <v>94502039.950000003</v>
      </c>
      <c r="I2142" s="1">
        <v>97983016.040000007</v>
      </c>
      <c r="J2142" s="1">
        <v>95248377.810000002</v>
      </c>
      <c r="K2142" s="1">
        <v>106206081.13</v>
      </c>
      <c r="L2142" s="3">
        <v>98870980.019999996</v>
      </c>
      <c r="M2142" s="107">
        <v>93053615.620000005</v>
      </c>
      <c r="N2142" s="107">
        <v>95156472.829999998</v>
      </c>
      <c r="O2142" s="107">
        <v>93308066.569999993</v>
      </c>
      <c r="P2142" s="107">
        <v>91873820.159999996</v>
      </c>
      <c r="Q2142" s="107">
        <v>101805521.09</v>
      </c>
      <c r="R2142" s="107">
        <v>95962789.609999999</v>
      </c>
    </row>
    <row r="2143" spans="1:18" x14ac:dyDescent="0.25">
      <c r="A2143" s="2" t="s">
        <v>244</v>
      </c>
      <c r="B2143" s="2">
        <v>2018</v>
      </c>
      <c r="C2143" s="2" t="s">
        <v>243</v>
      </c>
      <c r="D2143" s="106">
        <v>7373000000</v>
      </c>
      <c r="E2143" s="1">
        <v>5770000000</v>
      </c>
      <c r="F2143" s="107">
        <v>5770000000</v>
      </c>
      <c r="G2143" s="1">
        <v>485663823.73000002</v>
      </c>
      <c r="H2143" s="1">
        <v>597155365.95000005</v>
      </c>
      <c r="I2143" s="1">
        <v>567224777.42999995</v>
      </c>
      <c r="J2143" s="1">
        <v>502662639.14999998</v>
      </c>
      <c r="K2143" s="1">
        <v>508657450.13</v>
      </c>
      <c r="L2143" s="1">
        <v>506020043.32999998</v>
      </c>
      <c r="M2143" s="107">
        <v>447620028.63999999</v>
      </c>
      <c r="N2143" s="107">
        <v>473674843.14999998</v>
      </c>
      <c r="O2143" s="107">
        <v>480386353.45999998</v>
      </c>
      <c r="P2143" s="107">
        <v>444007868.68000001</v>
      </c>
      <c r="Q2143" s="107">
        <v>571202281.38999999</v>
      </c>
      <c r="R2143" s="107">
        <v>605211752.24000001</v>
      </c>
    </row>
    <row r="2144" spans="1:18" x14ac:dyDescent="0.25">
      <c r="A2144" s="2" t="s">
        <v>242</v>
      </c>
      <c r="B2144" s="2">
        <v>2018</v>
      </c>
      <c r="C2144" s="2" t="s">
        <v>241</v>
      </c>
      <c r="D2144" s="106">
        <v>11993000000</v>
      </c>
      <c r="E2144" s="1">
        <v>10642000000</v>
      </c>
      <c r="F2144" s="107">
        <v>10642000000</v>
      </c>
      <c r="G2144" s="1">
        <v>695980860.98000002</v>
      </c>
      <c r="H2144" s="1">
        <v>875645450.16999996</v>
      </c>
      <c r="I2144" s="1">
        <v>867055565.66999996</v>
      </c>
      <c r="J2144" s="1">
        <v>817451617.97000003</v>
      </c>
      <c r="K2144" s="1">
        <v>859010670.82000005</v>
      </c>
      <c r="L2144" s="1">
        <v>834012566.63</v>
      </c>
      <c r="M2144" s="107">
        <v>732860102.34000003</v>
      </c>
      <c r="N2144" s="107">
        <v>780284782.32000005</v>
      </c>
      <c r="O2144" s="107">
        <v>809447472.69000006</v>
      </c>
      <c r="P2144" s="107">
        <v>708388898.80999994</v>
      </c>
      <c r="Q2144" s="107">
        <v>917136983.5</v>
      </c>
      <c r="R2144" s="107">
        <v>901775090.67999995</v>
      </c>
    </row>
    <row r="2145" spans="1:18" x14ac:dyDescent="0.25">
      <c r="A2145" s="2" t="s">
        <v>240</v>
      </c>
      <c r="B2145" s="2">
        <v>2018</v>
      </c>
      <c r="C2145" s="2" t="s">
        <v>239</v>
      </c>
      <c r="D2145" s="106">
        <v>1700000000</v>
      </c>
      <c r="E2145" s="1">
        <v>1400000000</v>
      </c>
      <c r="F2145" s="107">
        <v>1400000000</v>
      </c>
      <c r="G2145" s="1">
        <v>140735921.41</v>
      </c>
      <c r="H2145" s="1">
        <v>107438556.98999999</v>
      </c>
      <c r="I2145" s="1">
        <v>127252039.72</v>
      </c>
      <c r="J2145" s="1">
        <v>110465735.37</v>
      </c>
      <c r="K2145" s="1">
        <v>155115127.72</v>
      </c>
      <c r="L2145" s="1">
        <v>71962098.909999996</v>
      </c>
      <c r="M2145" s="107">
        <v>110709116.43000001</v>
      </c>
      <c r="N2145" s="107">
        <v>206911498</v>
      </c>
      <c r="O2145" s="107">
        <v>93761550.109999999</v>
      </c>
      <c r="P2145" s="107">
        <v>187033973.56</v>
      </c>
      <c r="Q2145" s="107">
        <v>133995611.48999999</v>
      </c>
      <c r="R2145" s="107">
        <v>143913752.68000001</v>
      </c>
    </row>
    <row r="2146" spans="1:18" x14ac:dyDescent="0.25">
      <c r="A2146" s="2" t="s">
        <v>236</v>
      </c>
      <c r="B2146" s="2">
        <v>2018</v>
      </c>
      <c r="C2146" s="2" t="s">
        <v>235</v>
      </c>
      <c r="D2146" s="106">
        <v>3900000000</v>
      </c>
      <c r="E2146" s="1">
        <v>5800000000</v>
      </c>
      <c r="F2146" s="107">
        <v>5800000000</v>
      </c>
      <c r="G2146" s="1">
        <v>348065742.79000002</v>
      </c>
      <c r="H2146" s="1">
        <v>484977969.56999999</v>
      </c>
      <c r="I2146" s="1">
        <v>510597430.50999999</v>
      </c>
      <c r="J2146" s="1">
        <v>329100997.54000002</v>
      </c>
      <c r="K2146" s="1">
        <v>418078774.68000001</v>
      </c>
      <c r="L2146" s="1">
        <v>600081570.48000002</v>
      </c>
      <c r="M2146" s="107">
        <v>306798268.13</v>
      </c>
      <c r="N2146" s="107">
        <v>742752130.21000004</v>
      </c>
      <c r="O2146" s="107">
        <v>374475098.19</v>
      </c>
      <c r="P2146" s="107">
        <v>462771207.44999999</v>
      </c>
      <c r="Q2146" s="107">
        <v>527111158.45999998</v>
      </c>
      <c r="R2146" s="107">
        <v>465640429.80000001</v>
      </c>
    </row>
    <row r="2147" spans="1:18" x14ac:dyDescent="0.25">
      <c r="A2147" s="2" t="s">
        <v>234</v>
      </c>
      <c r="B2147" s="2">
        <v>2018</v>
      </c>
      <c r="C2147" s="2" t="s">
        <v>233</v>
      </c>
      <c r="D2147" s="106">
        <v>1000000</v>
      </c>
      <c r="E2147" s="1">
        <v>1000000</v>
      </c>
      <c r="F2147" s="107">
        <v>1000000</v>
      </c>
      <c r="G2147" s="1">
        <v>109151.23</v>
      </c>
      <c r="H2147" s="1">
        <v>187477.6</v>
      </c>
      <c r="I2147" s="1">
        <v>72896.53</v>
      </c>
      <c r="J2147" s="1">
        <v>276969.46000000002</v>
      </c>
      <c r="K2147" s="1">
        <v>150518.04</v>
      </c>
      <c r="L2147" s="1">
        <v>131786.57999999999</v>
      </c>
      <c r="M2147" s="107">
        <v>208588.74</v>
      </c>
      <c r="N2147" s="107">
        <v>378981.29</v>
      </c>
      <c r="O2147" s="107">
        <v>1429336.49</v>
      </c>
      <c r="P2147" s="107">
        <v>470096.2</v>
      </c>
      <c r="Q2147" s="107">
        <v>749041.49</v>
      </c>
      <c r="R2147" s="107">
        <v>8399062.7599999998</v>
      </c>
    </row>
    <row r="2148" spans="1:18" x14ac:dyDescent="0.25">
      <c r="A2148" s="2" t="s">
        <v>230</v>
      </c>
      <c r="B2148" s="2">
        <v>2018</v>
      </c>
      <c r="C2148" s="2" t="s">
        <v>229</v>
      </c>
      <c r="D2148" s="106">
        <v>23072000000</v>
      </c>
      <c r="E2148" s="1">
        <v>20129000000</v>
      </c>
      <c r="F2148" s="107">
        <v>20129000000</v>
      </c>
      <c r="G2148" s="1">
        <v>3581568159.3000002</v>
      </c>
      <c r="H2148" s="1">
        <v>1566570793.6199999</v>
      </c>
      <c r="I2148" s="1">
        <v>1660831293.79</v>
      </c>
      <c r="J2148" s="1">
        <v>1588949260.25</v>
      </c>
      <c r="K2148" s="1">
        <v>1541597543.3499999</v>
      </c>
      <c r="L2148" s="1">
        <v>1114920893.0999999</v>
      </c>
      <c r="M2148" s="107">
        <v>1782128904.7</v>
      </c>
      <c r="N2148" s="107">
        <v>1443527651.78</v>
      </c>
      <c r="O2148" s="107">
        <v>1078170949.75</v>
      </c>
      <c r="P2148" s="107">
        <v>1659092681.8199999</v>
      </c>
      <c r="Q2148" s="107">
        <v>1110252751.0999999</v>
      </c>
      <c r="R2148" s="107">
        <v>1457129181.26</v>
      </c>
    </row>
    <row r="2149" spans="1:18" x14ac:dyDescent="0.25">
      <c r="A2149" s="2" t="s">
        <v>377</v>
      </c>
      <c r="B2149" s="2">
        <v>2018</v>
      </c>
      <c r="C2149" s="2" t="s">
        <v>410</v>
      </c>
      <c r="D2149" s="29">
        <v>0</v>
      </c>
      <c r="E2149" s="1">
        <v>5601000000</v>
      </c>
      <c r="F2149" s="107">
        <v>5601000000</v>
      </c>
      <c r="G2149" s="1">
        <v>549243972.38999999</v>
      </c>
      <c r="H2149" s="1">
        <v>191412074.41999999</v>
      </c>
      <c r="I2149" s="1">
        <v>509647734.29000002</v>
      </c>
      <c r="J2149" s="1">
        <v>709949985.28999996</v>
      </c>
      <c r="K2149" s="1">
        <v>242577881.91999999</v>
      </c>
      <c r="L2149" s="1">
        <v>406892095.76999998</v>
      </c>
      <c r="M2149" s="107">
        <v>880930538.78999996</v>
      </c>
      <c r="N2149" s="107">
        <v>477885321.31</v>
      </c>
      <c r="O2149" s="107">
        <v>626897965.33000004</v>
      </c>
      <c r="P2149" s="107">
        <v>1035570111.66</v>
      </c>
      <c r="Q2149" s="107">
        <v>713612173.57000005</v>
      </c>
      <c r="R2149" s="107">
        <v>9898112465.7199993</v>
      </c>
    </row>
    <row r="2150" spans="1:18" x14ac:dyDescent="0.25">
      <c r="A2150" s="2" t="s">
        <v>228</v>
      </c>
      <c r="B2150" s="2">
        <v>2018</v>
      </c>
      <c r="C2150" s="2" t="s">
        <v>227</v>
      </c>
      <c r="D2150" s="106">
        <v>28840000000</v>
      </c>
      <c r="E2150" s="1">
        <v>29221000000</v>
      </c>
      <c r="F2150" s="107">
        <v>29221000000</v>
      </c>
      <c r="G2150" s="1">
        <v>2427065788.6999998</v>
      </c>
      <c r="H2150" s="1">
        <v>2449577178.0300002</v>
      </c>
      <c r="I2150" s="1">
        <v>2479024941.6999998</v>
      </c>
      <c r="J2150" s="1">
        <v>2639688323.77</v>
      </c>
      <c r="K2150" s="1">
        <v>2553007091.8499999</v>
      </c>
      <c r="L2150" s="1">
        <v>2558948949.73</v>
      </c>
      <c r="M2150" s="107">
        <v>2592363391.2600002</v>
      </c>
      <c r="N2150" s="107">
        <v>2613898705.0700002</v>
      </c>
      <c r="O2150" s="107">
        <v>2601305738.5100002</v>
      </c>
      <c r="P2150" s="107">
        <v>2636564038.3299999</v>
      </c>
      <c r="Q2150" s="107">
        <v>2641401029.4699998</v>
      </c>
      <c r="R2150" s="107">
        <v>2643027577.29</v>
      </c>
    </row>
    <row r="2151" spans="1:18" x14ac:dyDescent="0.25">
      <c r="A2151" s="2" t="s">
        <v>226</v>
      </c>
      <c r="B2151" s="2">
        <v>2018</v>
      </c>
      <c r="C2151" s="2" t="s">
        <v>225</v>
      </c>
      <c r="D2151" s="106">
        <v>16756040000</v>
      </c>
      <c r="E2151" s="1">
        <v>12698000000</v>
      </c>
      <c r="F2151" s="107">
        <v>12698000000</v>
      </c>
      <c r="G2151" s="1">
        <v>1131918147.72</v>
      </c>
      <c r="H2151" s="1">
        <v>1069117614.87</v>
      </c>
      <c r="I2151" s="1">
        <v>1124883732.53</v>
      </c>
      <c r="J2151" s="1">
        <v>999284299.66999996</v>
      </c>
      <c r="K2151" s="1">
        <v>1311501488.4300001</v>
      </c>
      <c r="L2151" s="1">
        <v>1394558902.53</v>
      </c>
      <c r="M2151" s="107">
        <v>1311016508.5899999</v>
      </c>
      <c r="N2151" s="107">
        <v>1505165449.6099999</v>
      </c>
      <c r="O2151" s="107">
        <v>1295910346.1099999</v>
      </c>
      <c r="P2151" s="107">
        <v>1310873880.3199999</v>
      </c>
      <c r="Q2151" s="107">
        <v>1292831197.5699999</v>
      </c>
      <c r="R2151" s="107">
        <v>1349240296.6400001</v>
      </c>
    </row>
    <row r="2152" spans="1:18" x14ac:dyDescent="0.25">
      <c r="A2152" s="2" t="s">
        <v>224</v>
      </c>
      <c r="B2152" s="2">
        <v>2018</v>
      </c>
      <c r="C2152" s="2" t="s">
        <v>223</v>
      </c>
      <c r="D2152" s="106">
        <v>3431960000</v>
      </c>
      <c r="E2152" s="1">
        <v>4351000000</v>
      </c>
      <c r="F2152" s="107">
        <v>4351000000</v>
      </c>
      <c r="G2152" s="1">
        <v>342057508.10000002</v>
      </c>
      <c r="H2152" s="1">
        <v>337669110.81</v>
      </c>
      <c r="I2152" s="1">
        <v>349079675.49000001</v>
      </c>
      <c r="J2152" s="1">
        <v>334096923.30000001</v>
      </c>
      <c r="K2152" s="1">
        <v>285938721.88</v>
      </c>
      <c r="L2152" s="1">
        <v>289221451.33999997</v>
      </c>
      <c r="M2152" s="107">
        <v>295887259.02999997</v>
      </c>
      <c r="N2152" s="107">
        <v>279150960.52999997</v>
      </c>
      <c r="O2152" s="107">
        <v>284108008.47000003</v>
      </c>
      <c r="P2152" s="107">
        <v>282588308.04000002</v>
      </c>
      <c r="Q2152" s="107">
        <v>277440136.08999997</v>
      </c>
      <c r="R2152" s="107">
        <v>289625416.10000002</v>
      </c>
    </row>
    <row r="2153" spans="1:18" x14ac:dyDescent="0.25">
      <c r="A2153" s="2" t="s">
        <v>222</v>
      </c>
      <c r="B2153" s="2">
        <v>2018</v>
      </c>
      <c r="C2153" s="2" t="s">
        <v>221</v>
      </c>
      <c r="D2153" s="106">
        <v>2300000</v>
      </c>
      <c r="E2153" s="1">
        <v>2000000</v>
      </c>
      <c r="F2153" s="107">
        <v>2000000</v>
      </c>
      <c r="G2153" s="1">
        <v>186859.51</v>
      </c>
      <c r="H2153" s="1">
        <v>144844.94</v>
      </c>
      <c r="I2153" s="1">
        <v>183036.55</v>
      </c>
      <c r="J2153" s="1">
        <v>193403.31</v>
      </c>
      <c r="K2153" s="1">
        <v>206723.76</v>
      </c>
      <c r="L2153" s="1">
        <v>212303.24</v>
      </c>
      <c r="M2153" s="107">
        <v>221454.87</v>
      </c>
      <c r="N2153" s="107">
        <v>203408.91</v>
      </c>
      <c r="O2153" s="107">
        <v>217399.89</v>
      </c>
      <c r="P2153" s="107">
        <v>240491.31</v>
      </c>
      <c r="Q2153" s="107">
        <v>188635.48</v>
      </c>
      <c r="R2153" s="107">
        <v>231560.91</v>
      </c>
    </row>
    <row r="2154" spans="1:18" x14ac:dyDescent="0.25">
      <c r="A2154" s="2" t="s">
        <v>219</v>
      </c>
      <c r="B2154" s="2">
        <v>2018</v>
      </c>
      <c r="C2154" s="2" t="s">
        <v>218</v>
      </c>
      <c r="D2154" s="106">
        <v>43000000</v>
      </c>
      <c r="E2154" s="1">
        <v>43000000</v>
      </c>
      <c r="F2154" s="107">
        <v>43000000</v>
      </c>
      <c r="G2154" s="1">
        <v>4514930.75</v>
      </c>
      <c r="H2154" s="1">
        <v>3310205.64</v>
      </c>
      <c r="I2154" s="1">
        <v>1677618.52</v>
      </c>
      <c r="J2154" s="1">
        <v>4589801.5999999996</v>
      </c>
      <c r="K2154" s="1">
        <v>2778733.5</v>
      </c>
      <c r="L2154" s="1">
        <v>2960286.06</v>
      </c>
      <c r="M2154" s="107">
        <v>2850158</v>
      </c>
      <c r="N2154" s="107">
        <v>4469681.37</v>
      </c>
      <c r="O2154" s="107">
        <v>2644740.77</v>
      </c>
      <c r="P2154" s="107">
        <v>3533012.93</v>
      </c>
      <c r="Q2154" s="107">
        <v>4312485.97</v>
      </c>
      <c r="R2154" s="107">
        <v>317447.08</v>
      </c>
    </row>
    <row r="2155" spans="1:18" x14ac:dyDescent="0.25">
      <c r="A2155" s="2" t="s">
        <v>217</v>
      </c>
      <c r="B2155" s="2">
        <v>2018</v>
      </c>
      <c r="C2155" s="2" t="s">
        <v>216</v>
      </c>
      <c r="D2155" s="106">
        <v>17500000</v>
      </c>
      <c r="E2155" s="1">
        <v>17500000</v>
      </c>
      <c r="F2155" s="107">
        <v>17500000</v>
      </c>
      <c r="G2155" s="1">
        <v>1239777.97</v>
      </c>
      <c r="H2155" s="1">
        <v>1533573.74</v>
      </c>
      <c r="I2155" s="1">
        <v>1397632.58</v>
      </c>
      <c r="J2155" s="1">
        <v>1201304.8899999999</v>
      </c>
      <c r="K2155" s="1">
        <v>1435950</v>
      </c>
      <c r="L2155" s="1">
        <v>1188390.6000000001</v>
      </c>
      <c r="M2155" s="107">
        <v>1225847.3500000001</v>
      </c>
      <c r="N2155" s="107">
        <v>1069051.6499999999</v>
      </c>
      <c r="O2155" s="107">
        <v>1653314.51</v>
      </c>
      <c r="P2155" s="107">
        <v>1090324.73</v>
      </c>
      <c r="Q2155" s="107">
        <v>1535467.64</v>
      </c>
      <c r="R2155" s="107">
        <v>1056141.1200000001</v>
      </c>
    </row>
    <row r="2156" spans="1:18" x14ac:dyDescent="0.25">
      <c r="A2156" s="2" t="s">
        <v>215</v>
      </c>
      <c r="B2156" s="2">
        <v>2018</v>
      </c>
      <c r="C2156" s="2" t="s">
        <v>214</v>
      </c>
      <c r="D2156" s="106">
        <v>9500000</v>
      </c>
      <c r="E2156" s="1">
        <v>15000000</v>
      </c>
      <c r="F2156" s="107">
        <v>15000000</v>
      </c>
      <c r="G2156" s="1">
        <v>1080000</v>
      </c>
      <c r="H2156" s="1">
        <v>7936120.4900000002</v>
      </c>
      <c r="I2156" s="1">
        <v>360000</v>
      </c>
      <c r="J2156" s="1">
        <v>1110000</v>
      </c>
      <c r="K2156" s="1">
        <v>30000</v>
      </c>
      <c r="L2156" s="1">
        <v>0</v>
      </c>
      <c r="M2156" s="107">
        <v>0</v>
      </c>
      <c r="N2156" s="107">
        <v>0</v>
      </c>
      <c r="O2156" s="107">
        <v>2160000</v>
      </c>
      <c r="P2156" s="107">
        <v>1440000</v>
      </c>
      <c r="Q2156" s="107">
        <v>34000</v>
      </c>
      <c r="R2156" s="107">
        <v>418928.94</v>
      </c>
    </row>
    <row r="2157" spans="1:18" x14ac:dyDescent="0.25">
      <c r="A2157" s="2" t="s">
        <v>213</v>
      </c>
      <c r="B2157" s="2">
        <v>2018</v>
      </c>
      <c r="C2157" s="2" t="s">
        <v>212</v>
      </c>
      <c r="D2157" s="106">
        <v>72000000</v>
      </c>
      <c r="E2157" s="1">
        <v>85000000</v>
      </c>
      <c r="F2157" s="107">
        <v>85000000</v>
      </c>
      <c r="G2157" s="1">
        <v>11097283.279999999</v>
      </c>
      <c r="H2157" s="1">
        <v>4628050.4800000004</v>
      </c>
      <c r="I2157" s="1">
        <v>6708548.1600000001</v>
      </c>
      <c r="J2157" s="1">
        <v>4187001.19</v>
      </c>
      <c r="K2157" s="1">
        <v>5379462.29</v>
      </c>
      <c r="L2157" s="1">
        <v>9547295.7899999991</v>
      </c>
      <c r="M2157" s="107">
        <v>6427872.3099999996</v>
      </c>
      <c r="N2157" s="107">
        <v>9084434.2200000007</v>
      </c>
      <c r="O2157" s="107">
        <v>5255829.5199999996</v>
      </c>
      <c r="P2157" s="107">
        <v>5164717.9800000004</v>
      </c>
      <c r="Q2157" s="107">
        <v>8172255.21</v>
      </c>
      <c r="R2157" s="107">
        <v>8249546.1699999999</v>
      </c>
    </row>
    <row r="2158" spans="1:18" x14ac:dyDescent="0.25">
      <c r="A2158" s="2" t="s">
        <v>211</v>
      </c>
      <c r="B2158" s="2">
        <v>2018</v>
      </c>
      <c r="C2158" s="2" t="s">
        <v>210</v>
      </c>
      <c r="D2158" s="106">
        <v>36000000</v>
      </c>
      <c r="E2158" s="1">
        <v>171000000</v>
      </c>
      <c r="F2158" s="107">
        <v>171000000</v>
      </c>
      <c r="G2158" s="1">
        <v>0</v>
      </c>
      <c r="H2158" s="1">
        <v>0</v>
      </c>
      <c r="I2158" s="1">
        <v>34560</v>
      </c>
      <c r="J2158" s="1">
        <v>62325005.270000003</v>
      </c>
      <c r="K2158" s="1">
        <v>0</v>
      </c>
      <c r="L2158" s="1">
        <v>113790</v>
      </c>
      <c r="M2158" s="107">
        <v>0</v>
      </c>
      <c r="N2158" s="107">
        <v>68711767.230000004</v>
      </c>
      <c r="O2158" s="107">
        <v>21401254.050000001</v>
      </c>
      <c r="P2158" s="107">
        <v>0</v>
      </c>
      <c r="Q2158" s="107">
        <v>0</v>
      </c>
      <c r="R2158" s="107">
        <v>34264876.640000001</v>
      </c>
    </row>
    <row r="2159" spans="1:18" x14ac:dyDescent="0.25">
      <c r="A2159" s="2" t="s">
        <v>209</v>
      </c>
      <c r="B2159" s="2">
        <v>2018</v>
      </c>
      <c r="C2159" s="2" t="s">
        <v>208</v>
      </c>
      <c r="D2159" s="106">
        <v>21500000</v>
      </c>
      <c r="E2159" s="1">
        <v>14000000</v>
      </c>
      <c r="F2159" s="107">
        <v>14000000</v>
      </c>
      <c r="G2159" s="1">
        <v>751617.95</v>
      </c>
      <c r="H2159" s="1">
        <v>1096488.3700000001</v>
      </c>
      <c r="I2159" s="1">
        <v>760588.94</v>
      </c>
      <c r="J2159" s="1">
        <v>3085602.87</v>
      </c>
      <c r="K2159" s="1">
        <v>940603.25</v>
      </c>
      <c r="L2159" s="1">
        <v>1747200.5</v>
      </c>
      <c r="M2159" s="107">
        <v>881521.56</v>
      </c>
      <c r="N2159" s="107">
        <v>11750795.66</v>
      </c>
      <c r="O2159" s="107">
        <v>1543868.95</v>
      </c>
      <c r="P2159" s="107">
        <v>2860277.75</v>
      </c>
      <c r="Q2159" s="107">
        <v>977921.72</v>
      </c>
      <c r="R2159" s="107">
        <v>5182034.43</v>
      </c>
    </row>
    <row r="2160" spans="1:18" x14ac:dyDescent="0.25">
      <c r="A2160" s="2" t="s">
        <v>207</v>
      </c>
      <c r="B2160" s="2">
        <v>2018</v>
      </c>
      <c r="C2160" s="2" t="s">
        <v>206</v>
      </c>
      <c r="D2160" s="106">
        <v>13599875</v>
      </c>
      <c r="E2160" s="1">
        <v>13600000</v>
      </c>
      <c r="F2160" s="107">
        <v>13600000</v>
      </c>
      <c r="G2160" s="1">
        <v>0</v>
      </c>
      <c r="H2160" s="1">
        <v>0</v>
      </c>
      <c r="I2160" s="1">
        <v>13599875</v>
      </c>
      <c r="J2160" s="1">
        <v>0</v>
      </c>
      <c r="K2160" s="1">
        <v>0</v>
      </c>
      <c r="L2160" s="1">
        <v>0</v>
      </c>
      <c r="M2160" s="107">
        <v>0</v>
      </c>
      <c r="N2160" s="107">
        <v>0</v>
      </c>
      <c r="O2160" s="107">
        <v>0</v>
      </c>
      <c r="P2160" s="107">
        <v>0</v>
      </c>
      <c r="Q2160" s="107">
        <v>0</v>
      </c>
      <c r="R2160" s="107">
        <v>0</v>
      </c>
    </row>
    <row r="2161" spans="1:18" x14ac:dyDescent="0.25">
      <c r="A2161" s="2" t="s">
        <v>205</v>
      </c>
      <c r="B2161" s="2">
        <v>2018</v>
      </c>
      <c r="C2161" s="2" t="s">
        <v>204</v>
      </c>
      <c r="D2161" s="106">
        <v>1030000000</v>
      </c>
      <c r="E2161" s="1">
        <v>1435000000</v>
      </c>
      <c r="F2161" s="107">
        <v>1435000000</v>
      </c>
      <c r="G2161" s="1">
        <v>82758600</v>
      </c>
      <c r="H2161" s="1">
        <v>89289800</v>
      </c>
      <c r="I2161" s="1">
        <v>85706000</v>
      </c>
      <c r="J2161" s="1">
        <v>114948600</v>
      </c>
      <c r="K2161" s="1">
        <v>96363800</v>
      </c>
      <c r="L2161" s="1">
        <v>168790400</v>
      </c>
      <c r="M2161" s="107">
        <v>86129800</v>
      </c>
      <c r="N2161" s="107">
        <v>85467600</v>
      </c>
      <c r="O2161" s="107">
        <v>88492000</v>
      </c>
      <c r="P2161" s="107">
        <v>92237000</v>
      </c>
      <c r="Q2161" s="107">
        <v>97412200</v>
      </c>
      <c r="R2161" s="107">
        <v>104614800</v>
      </c>
    </row>
    <row r="2162" spans="1:18" x14ac:dyDescent="0.25">
      <c r="A2162" s="2" t="s">
        <v>374</v>
      </c>
      <c r="B2162" s="2">
        <v>2018</v>
      </c>
      <c r="C2162" s="2" t="s">
        <v>405</v>
      </c>
      <c r="D2162" s="106">
        <v>0</v>
      </c>
      <c r="E2162" s="1">
        <v>0</v>
      </c>
      <c r="F2162" s="107">
        <v>0</v>
      </c>
      <c r="G2162" s="1">
        <v>0</v>
      </c>
      <c r="H2162" s="1">
        <v>0</v>
      </c>
      <c r="I2162" s="1">
        <v>0</v>
      </c>
      <c r="J2162" s="1">
        <v>400</v>
      </c>
      <c r="K2162" s="1">
        <v>0</v>
      </c>
      <c r="L2162" s="1">
        <v>10000</v>
      </c>
      <c r="M2162" s="107">
        <v>0</v>
      </c>
      <c r="N2162" s="107">
        <v>0</v>
      </c>
      <c r="O2162" s="107">
        <v>0</v>
      </c>
      <c r="P2162" s="107">
        <v>200</v>
      </c>
      <c r="Q2162" s="107">
        <v>200</v>
      </c>
      <c r="R2162" s="107">
        <v>0</v>
      </c>
    </row>
    <row r="2163" spans="1:18" x14ac:dyDescent="0.25">
      <c r="A2163" s="2" t="s">
        <v>203</v>
      </c>
      <c r="B2163" s="2">
        <v>2018</v>
      </c>
      <c r="C2163" s="2" t="s">
        <v>202</v>
      </c>
      <c r="D2163" s="106">
        <v>5483911363</v>
      </c>
      <c r="E2163" s="1">
        <v>5484000000</v>
      </c>
      <c r="F2163" s="107">
        <v>5484000000</v>
      </c>
      <c r="G2163" s="1">
        <v>349926909</v>
      </c>
      <c r="H2163" s="1">
        <v>213765713</v>
      </c>
      <c r="I2163" s="1">
        <v>138003577</v>
      </c>
      <c r="J2163" s="1">
        <v>89266680</v>
      </c>
      <c r="K2163" s="1">
        <v>77852513</v>
      </c>
      <c r="L2163" s="1">
        <v>64006444</v>
      </c>
      <c r="M2163" s="107">
        <v>36833988.799999997</v>
      </c>
      <c r="N2163" s="107">
        <v>25060699</v>
      </c>
      <c r="O2163" s="107">
        <v>23192064</v>
      </c>
      <c r="P2163" s="107">
        <v>19917863.5</v>
      </c>
      <c r="Q2163" s="107">
        <v>12909006.82</v>
      </c>
      <c r="R2163" s="107">
        <v>3020248379.3200002</v>
      </c>
    </row>
    <row r="2164" spans="1:18" x14ac:dyDescent="0.25">
      <c r="A2164" s="2" t="s">
        <v>200</v>
      </c>
      <c r="B2164" s="2">
        <v>2018</v>
      </c>
      <c r="C2164" s="2" t="s">
        <v>199</v>
      </c>
      <c r="D2164" s="106">
        <v>44000000</v>
      </c>
      <c r="E2164" s="1">
        <v>44000000</v>
      </c>
      <c r="F2164" s="107">
        <v>44000000</v>
      </c>
      <c r="G2164" s="1">
        <v>3037873.51</v>
      </c>
      <c r="H2164" s="1">
        <v>2031042</v>
      </c>
      <c r="I2164" s="1">
        <v>3035231.46</v>
      </c>
      <c r="J2164" s="1">
        <v>3622142.86</v>
      </c>
      <c r="K2164" s="1">
        <v>2574932.08</v>
      </c>
      <c r="L2164" s="1">
        <v>2730616.8</v>
      </c>
      <c r="M2164" s="107">
        <v>2138411.9500000002</v>
      </c>
      <c r="N2164" s="107">
        <v>3103878.8</v>
      </c>
      <c r="O2164" s="107">
        <v>2124310.88</v>
      </c>
      <c r="P2164" s="107">
        <v>2492696.14</v>
      </c>
      <c r="Q2164" s="107">
        <v>1364326.5</v>
      </c>
      <c r="R2164" s="107">
        <v>1505156.6</v>
      </c>
    </row>
    <row r="2165" spans="1:18" x14ac:dyDescent="0.25">
      <c r="A2165" s="2" t="s">
        <v>198</v>
      </c>
      <c r="B2165" s="2">
        <v>2018</v>
      </c>
      <c r="C2165" s="2" t="s">
        <v>197</v>
      </c>
      <c r="D2165" s="106">
        <v>3200000</v>
      </c>
      <c r="E2165" s="1">
        <v>4000000</v>
      </c>
      <c r="F2165" s="107">
        <v>4000000</v>
      </c>
      <c r="G2165" s="1">
        <v>106350</v>
      </c>
      <c r="H2165" s="1">
        <v>21310</v>
      </c>
      <c r="I2165" s="1">
        <v>326060</v>
      </c>
      <c r="J2165" s="1">
        <v>183220</v>
      </c>
      <c r="K2165" s="1">
        <v>106370</v>
      </c>
      <c r="L2165" s="1">
        <v>301750</v>
      </c>
      <c r="M2165" s="107">
        <v>150300</v>
      </c>
      <c r="N2165" s="107">
        <v>364060</v>
      </c>
      <c r="O2165" s="107">
        <v>473125</v>
      </c>
      <c r="P2165" s="107">
        <v>0</v>
      </c>
      <c r="Q2165" s="107">
        <v>451170</v>
      </c>
      <c r="R2165" s="107">
        <v>449690</v>
      </c>
    </row>
    <row r="2166" spans="1:18" x14ac:dyDescent="0.25">
      <c r="A2166" s="2" t="s">
        <v>196</v>
      </c>
      <c r="B2166" s="2">
        <v>2018</v>
      </c>
      <c r="C2166" s="2" t="s">
        <v>195</v>
      </c>
      <c r="D2166" s="106">
        <v>107000000</v>
      </c>
      <c r="E2166" s="1">
        <v>85000000</v>
      </c>
      <c r="F2166" s="107">
        <v>85000000</v>
      </c>
      <c r="G2166" s="1">
        <v>8256392.2999999998</v>
      </c>
      <c r="H2166" s="1">
        <v>6993936</v>
      </c>
      <c r="I2166" s="1">
        <v>7858656</v>
      </c>
      <c r="J2166" s="1">
        <v>8108008.1100000003</v>
      </c>
      <c r="K2166" s="1">
        <v>8068406.5</v>
      </c>
      <c r="L2166" s="1">
        <v>7093573.0999999996</v>
      </c>
      <c r="M2166" s="107">
        <v>6372932.0499999998</v>
      </c>
      <c r="N2166" s="107">
        <v>6385507.5</v>
      </c>
      <c r="O2166" s="107">
        <v>5291424</v>
      </c>
      <c r="P2166" s="107">
        <v>7749313.5</v>
      </c>
      <c r="Q2166" s="107">
        <v>7637774.5999999996</v>
      </c>
      <c r="R2166" s="107">
        <v>9333355.2899999991</v>
      </c>
    </row>
    <row r="2167" spans="1:18" x14ac:dyDescent="0.25">
      <c r="A2167" s="2" t="s">
        <v>194</v>
      </c>
      <c r="B2167" s="2">
        <v>2018</v>
      </c>
      <c r="C2167" s="2" t="s">
        <v>193</v>
      </c>
      <c r="D2167" s="106">
        <v>65000000</v>
      </c>
      <c r="E2167" s="1">
        <v>55000000</v>
      </c>
      <c r="F2167" s="107">
        <v>55000000</v>
      </c>
      <c r="G2167" s="1">
        <v>2851305</v>
      </c>
      <c r="H2167" s="1">
        <v>2673578</v>
      </c>
      <c r="I2167" s="1">
        <v>3903212</v>
      </c>
      <c r="J2167" s="1">
        <v>3479324</v>
      </c>
      <c r="K2167" s="1">
        <v>4104590</v>
      </c>
      <c r="L2167" s="1">
        <v>5460648.5</v>
      </c>
      <c r="M2167" s="107">
        <v>7479239</v>
      </c>
      <c r="N2167" s="107">
        <v>4884207.97</v>
      </c>
      <c r="O2167" s="107">
        <v>7092640</v>
      </c>
      <c r="P2167" s="107">
        <v>5172528.5</v>
      </c>
      <c r="Q2167" s="107">
        <v>6619722</v>
      </c>
      <c r="R2167" s="107">
        <v>9163992</v>
      </c>
    </row>
    <row r="2168" spans="1:18" x14ac:dyDescent="0.25">
      <c r="A2168" s="2" t="s">
        <v>191</v>
      </c>
      <c r="B2168" s="2">
        <v>2018</v>
      </c>
      <c r="C2168" s="2" t="s">
        <v>190</v>
      </c>
      <c r="D2168" s="106">
        <v>5784943756</v>
      </c>
      <c r="E2168" s="1">
        <v>5785000000</v>
      </c>
      <c r="F2168" s="107">
        <v>5785000000</v>
      </c>
      <c r="G2168" s="1">
        <v>0</v>
      </c>
      <c r="H2168" s="1">
        <v>0</v>
      </c>
      <c r="I2168" s="1">
        <v>0</v>
      </c>
      <c r="J2168" s="1">
        <v>2141100226.6800001</v>
      </c>
      <c r="K2168" s="1">
        <v>0</v>
      </c>
      <c r="L2168" s="1">
        <v>0</v>
      </c>
      <c r="M2168" s="107">
        <v>1464257418.0999999</v>
      </c>
      <c r="N2168" s="107">
        <v>293625137.95999998</v>
      </c>
      <c r="O2168" s="107">
        <v>0</v>
      </c>
      <c r="P2168" s="107">
        <v>0</v>
      </c>
      <c r="Q2168" s="107">
        <v>0</v>
      </c>
      <c r="R2168" s="107">
        <v>1501815476.0899999</v>
      </c>
    </row>
    <row r="2169" spans="1:18" x14ac:dyDescent="0.25">
      <c r="A2169" s="2" t="s">
        <v>189</v>
      </c>
      <c r="B2169" s="2">
        <v>2018</v>
      </c>
      <c r="C2169" s="2" t="s">
        <v>188</v>
      </c>
      <c r="D2169" s="106">
        <v>338420205</v>
      </c>
      <c r="E2169" s="1">
        <v>338420205</v>
      </c>
      <c r="F2169" s="107">
        <v>338420205</v>
      </c>
      <c r="G2169" s="1">
        <v>0</v>
      </c>
      <c r="H2169" s="1">
        <v>0</v>
      </c>
      <c r="I2169" s="1">
        <v>0</v>
      </c>
      <c r="J2169" s="1">
        <v>134960596.09999999</v>
      </c>
      <c r="K2169" s="1">
        <v>0</v>
      </c>
      <c r="L2169" s="1">
        <v>0</v>
      </c>
      <c r="M2169" s="107">
        <v>61635398.939999998</v>
      </c>
      <c r="N2169" s="107">
        <v>179558991.41</v>
      </c>
      <c r="O2169" s="107">
        <v>0</v>
      </c>
      <c r="P2169" s="107">
        <v>0</v>
      </c>
      <c r="Q2169" s="107">
        <v>0</v>
      </c>
      <c r="R2169" s="107">
        <v>97487404.329999998</v>
      </c>
    </row>
    <row r="2170" spans="1:18" x14ac:dyDescent="0.25">
      <c r="A2170" s="2" t="s">
        <v>187</v>
      </c>
      <c r="B2170" s="2">
        <v>2018</v>
      </c>
      <c r="C2170" s="2" t="s">
        <v>186</v>
      </c>
      <c r="D2170" s="106">
        <v>23000000</v>
      </c>
      <c r="E2170" s="1">
        <v>22000000</v>
      </c>
      <c r="F2170" s="107">
        <v>22000000</v>
      </c>
      <c r="G2170" s="1">
        <v>1329000</v>
      </c>
      <c r="H2170" s="1">
        <v>975000</v>
      </c>
      <c r="I2170" s="1">
        <v>2252000</v>
      </c>
      <c r="J2170" s="1">
        <v>1785000</v>
      </c>
      <c r="K2170" s="1">
        <v>1071000</v>
      </c>
      <c r="L2170" s="1">
        <v>3724000</v>
      </c>
      <c r="M2170" s="107">
        <v>1524000</v>
      </c>
      <c r="N2170" s="107">
        <v>2097000</v>
      </c>
      <c r="O2170" s="107">
        <v>1326000</v>
      </c>
      <c r="P2170" s="107">
        <v>1071000</v>
      </c>
      <c r="Q2170" s="107">
        <v>817000</v>
      </c>
      <c r="R2170" s="107">
        <v>715000</v>
      </c>
    </row>
    <row r="2171" spans="1:18" x14ac:dyDescent="0.25">
      <c r="A2171" s="2" t="s">
        <v>185</v>
      </c>
      <c r="B2171" s="2">
        <v>2018</v>
      </c>
      <c r="C2171" s="2" t="s">
        <v>184</v>
      </c>
      <c r="D2171" s="106">
        <v>30000000</v>
      </c>
      <c r="E2171" s="1">
        <v>48000000</v>
      </c>
      <c r="F2171" s="107">
        <v>48000000</v>
      </c>
      <c r="G2171" s="1">
        <v>360000</v>
      </c>
      <c r="H2171" s="1">
        <v>10805000</v>
      </c>
      <c r="I2171" s="1">
        <v>2685000</v>
      </c>
      <c r="J2171" s="1">
        <v>12362000</v>
      </c>
      <c r="K2171" s="1">
        <v>69500</v>
      </c>
      <c r="L2171" s="1">
        <v>256000</v>
      </c>
      <c r="M2171" s="107">
        <v>0</v>
      </c>
      <c r="N2171" s="107">
        <v>600000</v>
      </c>
      <c r="O2171" s="107">
        <v>333000</v>
      </c>
      <c r="P2171" s="107">
        <v>1040000</v>
      </c>
      <c r="Q2171" s="107">
        <v>0</v>
      </c>
      <c r="R2171" s="107">
        <v>0</v>
      </c>
    </row>
    <row r="2172" spans="1:18" x14ac:dyDescent="0.25">
      <c r="A2172" s="2" t="s">
        <v>183</v>
      </c>
      <c r="B2172" s="2">
        <v>2018</v>
      </c>
      <c r="C2172" s="2" t="s">
        <v>182</v>
      </c>
      <c r="D2172" s="106">
        <v>664835000</v>
      </c>
      <c r="E2172" s="1">
        <v>664000000</v>
      </c>
      <c r="F2172" s="107">
        <v>664000000</v>
      </c>
      <c r="G2172" s="1">
        <v>0</v>
      </c>
      <c r="H2172" s="1">
        <v>0</v>
      </c>
      <c r="I2172" s="1">
        <v>0</v>
      </c>
      <c r="J2172" s="1">
        <v>594394578.05999994</v>
      </c>
      <c r="K2172" s="1">
        <v>0</v>
      </c>
      <c r="L2172" s="1">
        <v>0</v>
      </c>
      <c r="M2172" s="107">
        <v>0</v>
      </c>
      <c r="N2172" s="107">
        <v>34591537.869999997</v>
      </c>
      <c r="O2172" s="107">
        <v>0</v>
      </c>
      <c r="P2172" s="107">
        <v>0</v>
      </c>
      <c r="Q2172" s="107">
        <v>0</v>
      </c>
      <c r="R2172" s="107">
        <v>83298460.810000002</v>
      </c>
    </row>
    <row r="2173" spans="1:18" x14ac:dyDescent="0.25">
      <c r="A2173" s="2" t="s">
        <v>181</v>
      </c>
      <c r="B2173" s="2">
        <v>2018</v>
      </c>
      <c r="C2173" s="2" t="s">
        <v>179</v>
      </c>
      <c r="D2173" s="106">
        <v>7857123</v>
      </c>
      <c r="E2173" s="1">
        <v>2000000</v>
      </c>
      <c r="F2173" s="107">
        <v>2000000</v>
      </c>
      <c r="G2173" s="1">
        <v>57500</v>
      </c>
      <c r="H2173" s="1">
        <v>71700</v>
      </c>
      <c r="I2173" s="1">
        <v>29555.59</v>
      </c>
      <c r="J2173" s="1">
        <v>550693.75</v>
      </c>
      <c r="K2173" s="1">
        <v>66183.19</v>
      </c>
      <c r="L2173" s="1">
        <v>100175</v>
      </c>
      <c r="M2173" s="107">
        <v>1844356.5</v>
      </c>
      <c r="N2173" s="107">
        <v>2384775</v>
      </c>
      <c r="O2173" s="107">
        <v>3634143.35</v>
      </c>
      <c r="P2173" s="107">
        <v>4850651.13</v>
      </c>
      <c r="Q2173" s="107">
        <v>5195548.75</v>
      </c>
      <c r="R2173" s="107">
        <v>4887968</v>
      </c>
    </row>
    <row r="2174" spans="1:18" x14ac:dyDescent="0.25">
      <c r="A2174" s="2" t="s">
        <v>178</v>
      </c>
      <c r="B2174" s="2">
        <v>2018</v>
      </c>
      <c r="C2174" s="2" t="s">
        <v>177</v>
      </c>
      <c r="D2174" s="106">
        <v>23805000000</v>
      </c>
      <c r="E2174" s="1">
        <v>20450400000</v>
      </c>
      <c r="F2174" s="107">
        <v>20450400000</v>
      </c>
      <c r="G2174" s="1">
        <v>0</v>
      </c>
      <c r="H2174" s="1">
        <v>0</v>
      </c>
      <c r="I2174" s="1">
        <v>0</v>
      </c>
      <c r="J2174" s="1">
        <v>0</v>
      </c>
      <c r="K2174" s="1">
        <v>20450383145.970001</v>
      </c>
      <c r="L2174" s="1">
        <v>0</v>
      </c>
      <c r="M2174" s="107">
        <v>0</v>
      </c>
      <c r="N2174" s="107">
        <v>0</v>
      </c>
      <c r="O2174" s="107">
        <v>0</v>
      </c>
      <c r="P2174" s="107">
        <v>0</v>
      </c>
      <c r="Q2174" s="107">
        <v>0</v>
      </c>
      <c r="R2174" s="107">
        <v>0</v>
      </c>
    </row>
    <row r="2175" spans="1:18" x14ac:dyDescent="0.25">
      <c r="A2175" s="2" t="s">
        <v>1243</v>
      </c>
      <c r="B2175" s="2">
        <v>2018</v>
      </c>
      <c r="C2175" s="2" t="s">
        <v>1244</v>
      </c>
      <c r="D2175" s="106">
        <v>0</v>
      </c>
      <c r="E2175" s="1">
        <v>0</v>
      </c>
      <c r="F2175" s="107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07">
        <v>0</v>
      </c>
      <c r="N2175" s="107">
        <v>0</v>
      </c>
      <c r="O2175" s="107">
        <v>0</v>
      </c>
      <c r="P2175" s="107">
        <v>0</v>
      </c>
      <c r="Q2175" s="107">
        <v>0</v>
      </c>
      <c r="R2175" s="107">
        <v>6589929030.3500004</v>
      </c>
    </row>
    <row r="2176" spans="1:18" x14ac:dyDescent="0.25">
      <c r="A2176" s="2" t="s">
        <v>176</v>
      </c>
      <c r="B2176" s="2">
        <v>2018</v>
      </c>
      <c r="C2176" s="2" t="s">
        <v>175</v>
      </c>
      <c r="D2176" s="106">
        <v>600000000</v>
      </c>
      <c r="E2176" s="1">
        <v>154000000</v>
      </c>
      <c r="F2176" s="107">
        <v>154000000</v>
      </c>
      <c r="G2176" s="1">
        <v>15811252.27</v>
      </c>
      <c r="H2176" s="1">
        <v>12164805.119999999</v>
      </c>
      <c r="I2176" s="1">
        <v>4798468.83</v>
      </c>
      <c r="J2176" s="1">
        <v>13321431.140000001</v>
      </c>
      <c r="K2176" s="1">
        <v>5586391.96</v>
      </c>
      <c r="L2176" s="1">
        <v>26671478.800000001</v>
      </c>
      <c r="M2176" s="107">
        <v>264932574.46000001</v>
      </c>
      <c r="N2176" s="107">
        <v>5988599.7599999998</v>
      </c>
      <c r="O2176" s="107">
        <v>8241551.6500000004</v>
      </c>
      <c r="P2176" s="107">
        <v>21611901.859999999</v>
      </c>
      <c r="Q2176" s="107">
        <v>6513936.4100000001</v>
      </c>
      <c r="R2176" s="107">
        <v>10660661.119999999</v>
      </c>
    </row>
    <row r="2177" spans="1:18" x14ac:dyDescent="0.25">
      <c r="A2177" s="2" t="s">
        <v>174</v>
      </c>
      <c r="B2177" s="2">
        <v>2018</v>
      </c>
      <c r="C2177" s="2" t="s">
        <v>173</v>
      </c>
      <c r="D2177" s="106">
        <v>350000000</v>
      </c>
      <c r="E2177" s="1">
        <v>350000000</v>
      </c>
      <c r="F2177" s="107">
        <v>350000000</v>
      </c>
      <c r="G2177" s="1">
        <v>0</v>
      </c>
      <c r="H2177" s="1">
        <v>20349617.859999999</v>
      </c>
      <c r="I2177" s="1">
        <v>0</v>
      </c>
      <c r="J2177" s="1">
        <v>0</v>
      </c>
      <c r="K2177" s="1">
        <v>0</v>
      </c>
      <c r="L2177" s="1">
        <v>0</v>
      </c>
      <c r="M2177" s="107">
        <v>151954502.02000001</v>
      </c>
      <c r="N2177" s="107">
        <v>0</v>
      </c>
      <c r="O2177" s="107">
        <v>0</v>
      </c>
      <c r="P2177" s="107">
        <v>0</v>
      </c>
      <c r="Q2177" s="107">
        <v>0</v>
      </c>
      <c r="R2177" s="107">
        <v>111976135.88</v>
      </c>
    </row>
    <row r="2178" spans="1:18" x14ac:dyDescent="0.25">
      <c r="A2178" s="2" t="s">
        <v>172</v>
      </c>
      <c r="B2178" s="2">
        <v>2018</v>
      </c>
      <c r="C2178" s="2" t="s">
        <v>171</v>
      </c>
      <c r="D2178" s="106">
        <v>4500000000</v>
      </c>
      <c r="E2178" s="1">
        <v>5335000000</v>
      </c>
      <c r="F2178" s="107">
        <v>5335000000</v>
      </c>
      <c r="G2178" s="1">
        <v>510022847</v>
      </c>
      <c r="H2178" s="1">
        <v>427704860</v>
      </c>
      <c r="I2178" s="1">
        <v>583711524.83000004</v>
      </c>
      <c r="J2178" s="1">
        <v>307846714</v>
      </c>
      <c r="K2178" s="1">
        <v>822055870.17999995</v>
      </c>
      <c r="L2178" s="1">
        <v>336409503</v>
      </c>
      <c r="M2178" s="107">
        <v>292422934</v>
      </c>
      <c r="N2178" s="107">
        <v>446118918.29000002</v>
      </c>
      <c r="O2178" s="107">
        <v>606197799</v>
      </c>
      <c r="P2178" s="107">
        <v>474409224.39999998</v>
      </c>
      <c r="Q2178" s="107">
        <v>633997453.09000003</v>
      </c>
      <c r="R2178" s="107">
        <v>645794759</v>
      </c>
    </row>
    <row r="2179" spans="1:18" x14ac:dyDescent="0.25">
      <c r="A2179" s="2" t="s">
        <v>170</v>
      </c>
      <c r="B2179" s="2">
        <v>2018</v>
      </c>
      <c r="C2179" s="2" t="s">
        <v>168</v>
      </c>
      <c r="D2179" s="106">
        <v>1500000000</v>
      </c>
      <c r="E2179" s="1">
        <v>772000000</v>
      </c>
      <c r="F2179" s="107">
        <v>772000000</v>
      </c>
      <c r="G2179" s="1">
        <v>48001975.130000003</v>
      </c>
      <c r="H2179" s="1">
        <v>141246642.19999999</v>
      </c>
      <c r="I2179" s="1">
        <v>63635562.640000001</v>
      </c>
      <c r="J2179" s="1">
        <v>67637363.920000002</v>
      </c>
      <c r="K2179" s="1">
        <v>57946590.719999999</v>
      </c>
      <c r="L2179" s="1">
        <v>51186574.899999999</v>
      </c>
      <c r="M2179" s="107">
        <v>60422480.149999999</v>
      </c>
      <c r="N2179" s="107">
        <v>193547737.18000001</v>
      </c>
      <c r="O2179" s="107">
        <v>85281729.269999996</v>
      </c>
      <c r="P2179" s="107">
        <v>74940286.560000002</v>
      </c>
      <c r="Q2179" s="107">
        <v>137958674.88</v>
      </c>
      <c r="R2179" s="107">
        <v>125721355.3</v>
      </c>
    </row>
    <row r="2180" spans="1:18" x14ac:dyDescent="0.25">
      <c r="A2180" s="2" t="s">
        <v>167</v>
      </c>
      <c r="B2180" s="2">
        <v>2018</v>
      </c>
      <c r="C2180" s="2" t="s">
        <v>166</v>
      </c>
      <c r="D2180" s="106">
        <v>6386510000</v>
      </c>
      <c r="E2180" s="1">
        <v>4151000000</v>
      </c>
      <c r="F2180" s="107">
        <v>4151000000</v>
      </c>
      <c r="G2180" s="1">
        <v>350757757</v>
      </c>
      <c r="H2180" s="1">
        <v>325370020</v>
      </c>
      <c r="I2180" s="1">
        <v>428357191</v>
      </c>
      <c r="J2180" s="1">
        <v>472626629</v>
      </c>
      <c r="K2180" s="3">
        <v>403835929.5</v>
      </c>
      <c r="L2180" s="1">
        <v>388169124</v>
      </c>
      <c r="M2180" s="107">
        <v>394898094</v>
      </c>
      <c r="N2180" s="107">
        <v>329851040.80000001</v>
      </c>
      <c r="O2180" s="107">
        <v>366896812.75</v>
      </c>
      <c r="P2180" s="107">
        <v>1046049660.29</v>
      </c>
      <c r="Q2180" s="107">
        <v>1350527149.23</v>
      </c>
      <c r="R2180" s="107">
        <v>1012148915.36</v>
      </c>
    </row>
    <row r="2181" spans="1:18" x14ac:dyDescent="0.25">
      <c r="A2181" s="2" t="s">
        <v>165</v>
      </c>
      <c r="B2181" s="2">
        <v>2018</v>
      </c>
      <c r="C2181" s="2" t="s">
        <v>164</v>
      </c>
      <c r="D2181" s="106">
        <v>113490000</v>
      </c>
      <c r="E2181" s="1">
        <v>169000000</v>
      </c>
      <c r="F2181" s="107">
        <v>169000000</v>
      </c>
      <c r="G2181" s="1">
        <v>19532940.539999999</v>
      </c>
      <c r="H2181" s="1">
        <v>6097566.96</v>
      </c>
      <c r="I2181" s="1">
        <v>5615541.46</v>
      </c>
      <c r="J2181" s="1">
        <v>16534178.029999999</v>
      </c>
      <c r="K2181" s="1">
        <v>-12551294.9</v>
      </c>
      <c r="L2181" s="1">
        <v>1996217.84</v>
      </c>
      <c r="M2181" s="107">
        <v>7000011.1699999999</v>
      </c>
      <c r="N2181" s="107">
        <v>2492447.06</v>
      </c>
      <c r="O2181" s="107">
        <v>6850000</v>
      </c>
      <c r="P2181" s="107">
        <v>22311219.109999999</v>
      </c>
      <c r="Q2181" s="107">
        <v>5896928.54</v>
      </c>
      <c r="R2181" s="107">
        <v>1819705.24</v>
      </c>
    </row>
    <row r="2182" spans="1:18" x14ac:dyDescent="0.25">
      <c r="A2182" s="2" t="s">
        <v>445</v>
      </c>
      <c r="B2182" s="2">
        <v>2018</v>
      </c>
      <c r="C2182" s="2" t="s">
        <v>444</v>
      </c>
      <c r="D2182" s="106">
        <v>0</v>
      </c>
      <c r="E2182" s="1">
        <v>0</v>
      </c>
      <c r="F2182" s="107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07">
        <v>0</v>
      </c>
      <c r="N2182" s="107">
        <v>0</v>
      </c>
      <c r="O2182" s="107">
        <v>0</v>
      </c>
      <c r="P2182" s="107">
        <v>0</v>
      </c>
      <c r="Q2182" s="107">
        <v>42120000</v>
      </c>
      <c r="R2182" s="107">
        <v>0</v>
      </c>
    </row>
    <row r="2183" spans="1:18" x14ac:dyDescent="0.25">
      <c r="A2183" s="2" t="s">
        <v>163</v>
      </c>
      <c r="B2183" s="2">
        <v>2018</v>
      </c>
      <c r="C2183" s="2" t="s">
        <v>162</v>
      </c>
      <c r="D2183" s="106">
        <v>422000000</v>
      </c>
      <c r="E2183" s="1">
        <v>160000000</v>
      </c>
      <c r="F2183" s="107">
        <v>160000000</v>
      </c>
      <c r="G2183" s="1">
        <v>12273000</v>
      </c>
      <c r="H2183" s="1">
        <v>9721000</v>
      </c>
      <c r="I2183" s="1">
        <v>5205000</v>
      </c>
      <c r="J2183" s="1">
        <v>33727000</v>
      </c>
      <c r="K2183" s="1">
        <v>13845000</v>
      </c>
      <c r="L2183" s="1">
        <v>39452000</v>
      </c>
      <c r="M2183" s="107">
        <v>9920500</v>
      </c>
      <c r="N2183" s="107">
        <v>22936000</v>
      </c>
      <c r="O2183" s="107">
        <v>12210500</v>
      </c>
      <c r="P2183" s="107">
        <v>7587000</v>
      </c>
      <c r="Q2183" s="107">
        <v>5133500</v>
      </c>
      <c r="R2183" s="107">
        <v>9272500</v>
      </c>
    </row>
    <row r="2184" spans="1:18" x14ac:dyDescent="0.25">
      <c r="A2184" s="2" t="s">
        <v>161</v>
      </c>
      <c r="B2184" s="2">
        <v>2018</v>
      </c>
      <c r="C2184" s="2" t="s">
        <v>160</v>
      </c>
      <c r="D2184" s="106">
        <v>56000000</v>
      </c>
      <c r="E2184" s="1">
        <v>80000000</v>
      </c>
      <c r="F2184" s="107">
        <v>80000000</v>
      </c>
      <c r="G2184" s="1">
        <v>3215528.73</v>
      </c>
      <c r="H2184" s="1">
        <v>9289645.5399999991</v>
      </c>
      <c r="I2184" s="1">
        <v>25586064.41</v>
      </c>
      <c r="J2184" s="1">
        <v>4128363.41</v>
      </c>
      <c r="K2184" s="1">
        <v>19595418.079999998</v>
      </c>
      <c r="L2184" s="1">
        <v>4560626.04</v>
      </c>
      <c r="M2184" s="107">
        <v>3470728.95</v>
      </c>
      <c r="N2184" s="107">
        <v>19597669.989999998</v>
      </c>
      <c r="O2184" s="107">
        <v>14175316.59</v>
      </c>
      <c r="P2184" s="107">
        <v>22635357.66</v>
      </c>
      <c r="Q2184" s="107">
        <v>7422348.7400000002</v>
      </c>
      <c r="R2184" s="107">
        <v>45454536.450000003</v>
      </c>
    </row>
    <row r="2185" spans="1:18" x14ac:dyDescent="0.25">
      <c r="A2185" s="2" t="s">
        <v>159</v>
      </c>
      <c r="B2185" s="2">
        <v>2018</v>
      </c>
      <c r="C2185" s="2" t="s">
        <v>158</v>
      </c>
      <c r="D2185" s="106">
        <v>200000000</v>
      </c>
      <c r="E2185" s="1">
        <v>200000000</v>
      </c>
      <c r="F2185" s="107">
        <v>200000000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07">
        <v>0</v>
      </c>
      <c r="N2185" s="107">
        <v>168268247.63</v>
      </c>
      <c r="O2185" s="107">
        <v>0</v>
      </c>
      <c r="P2185" s="107">
        <v>0</v>
      </c>
      <c r="Q2185" s="107">
        <v>0</v>
      </c>
      <c r="R2185" s="107">
        <v>0</v>
      </c>
    </row>
    <row r="2186" spans="1:18" x14ac:dyDescent="0.25">
      <c r="A2186" s="2" t="s">
        <v>157</v>
      </c>
      <c r="B2186" s="2">
        <v>2018</v>
      </c>
      <c r="C2186" s="2" t="s">
        <v>156</v>
      </c>
      <c r="D2186" s="106">
        <v>10000000</v>
      </c>
      <c r="E2186" s="1">
        <v>10000000</v>
      </c>
      <c r="F2186" s="107">
        <v>10000000</v>
      </c>
      <c r="G2186" s="1">
        <v>0</v>
      </c>
      <c r="H2186" s="1">
        <v>0</v>
      </c>
      <c r="I2186" s="1">
        <v>0</v>
      </c>
      <c r="J2186" s="1">
        <v>4145200</v>
      </c>
      <c r="K2186" s="1">
        <v>0</v>
      </c>
      <c r="L2186" s="1">
        <v>0</v>
      </c>
      <c r="M2186" s="107">
        <v>0</v>
      </c>
      <c r="N2186" s="107">
        <v>11216000</v>
      </c>
      <c r="O2186" s="107">
        <v>0</v>
      </c>
      <c r="P2186" s="107">
        <v>0</v>
      </c>
      <c r="Q2186" s="107">
        <v>0</v>
      </c>
      <c r="R2186" s="107">
        <v>8125000</v>
      </c>
    </row>
    <row r="2187" spans="1:18" x14ac:dyDescent="0.25">
      <c r="A2187" s="2" t="s">
        <v>155</v>
      </c>
      <c r="B2187" s="2">
        <v>2018</v>
      </c>
      <c r="C2187" s="2" t="s">
        <v>154</v>
      </c>
      <c r="D2187" s="106">
        <v>30000000</v>
      </c>
      <c r="E2187" s="1">
        <v>30000000</v>
      </c>
      <c r="F2187" s="107">
        <v>30000000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07">
        <v>0</v>
      </c>
      <c r="N2187" s="107">
        <v>0</v>
      </c>
      <c r="O2187" s="107">
        <v>0</v>
      </c>
      <c r="P2187" s="107">
        <v>0</v>
      </c>
      <c r="Q2187" s="107">
        <v>0</v>
      </c>
      <c r="R2187" s="107">
        <v>0</v>
      </c>
    </row>
    <row r="2188" spans="1:18" x14ac:dyDescent="0.25">
      <c r="A2188" s="2" t="s">
        <v>153</v>
      </c>
      <c r="B2188" s="2">
        <v>2018</v>
      </c>
      <c r="C2188" s="2" t="s">
        <v>151</v>
      </c>
      <c r="D2188" s="106">
        <v>162000000</v>
      </c>
      <c r="E2188" s="1">
        <v>161000000</v>
      </c>
      <c r="F2188" s="107">
        <v>161000000</v>
      </c>
      <c r="G2188" s="1">
        <v>49000</v>
      </c>
      <c r="H2188" s="1">
        <v>6257856.4000000004</v>
      </c>
      <c r="I2188" s="1">
        <v>1229527.98</v>
      </c>
      <c r="J2188" s="1">
        <v>514831.25</v>
      </c>
      <c r="K2188" s="1">
        <v>19551343.57</v>
      </c>
      <c r="L2188" s="1">
        <v>1196380</v>
      </c>
      <c r="M2188" s="107">
        <v>8620000</v>
      </c>
      <c r="N2188" s="107">
        <v>0</v>
      </c>
      <c r="O2188" s="107">
        <v>4640062.68</v>
      </c>
      <c r="P2188" s="107">
        <v>4402600</v>
      </c>
      <c r="Q2188" s="107">
        <v>1360799.44</v>
      </c>
      <c r="R2188" s="107">
        <v>90334495.950000003</v>
      </c>
    </row>
    <row r="2189" spans="1:18" x14ac:dyDescent="0.25">
      <c r="A2189" s="2" t="s">
        <v>150</v>
      </c>
      <c r="B2189" s="2">
        <v>2018</v>
      </c>
      <c r="C2189" s="2" t="s">
        <v>149</v>
      </c>
      <c r="D2189" s="106">
        <v>24000000</v>
      </c>
      <c r="E2189" s="1">
        <v>60000000</v>
      </c>
      <c r="F2189" s="107">
        <v>60000000</v>
      </c>
      <c r="G2189" s="1">
        <v>3392021.39</v>
      </c>
      <c r="H2189" s="1">
        <v>0</v>
      </c>
      <c r="I2189" s="1">
        <v>15926628.83</v>
      </c>
      <c r="J2189" s="1">
        <v>5982556.8200000003</v>
      </c>
      <c r="K2189" s="1">
        <v>4365212.07</v>
      </c>
      <c r="L2189" s="1">
        <v>1400000</v>
      </c>
      <c r="M2189" s="107">
        <v>0</v>
      </c>
      <c r="N2189" s="107">
        <v>5225060.82</v>
      </c>
      <c r="O2189" s="107">
        <v>9148153.8599999994</v>
      </c>
      <c r="P2189" s="107">
        <v>184813857</v>
      </c>
      <c r="Q2189" s="107">
        <v>11441760.710000001</v>
      </c>
      <c r="R2189" s="107">
        <v>-181962736.81999999</v>
      </c>
    </row>
    <row r="2190" spans="1:18" x14ac:dyDescent="0.25">
      <c r="A2190" s="2" t="s">
        <v>147</v>
      </c>
      <c r="B2190" s="2">
        <v>2018</v>
      </c>
      <c r="C2190" s="2" t="s">
        <v>146</v>
      </c>
      <c r="D2190" s="106">
        <v>474000000</v>
      </c>
      <c r="E2190" s="1">
        <v>487000000</v>
      </c>
      <c r="F2190" s="107">
        <v>487000000</v>
      </c>
      <c r="G2190" s="1">
        <v>55523763.950000003</v>
      </c>
      <c r="H2190" s="1">
        <v>32864725.34</v>
      </c>
      <c r="I2190" s="1">
        <v>43564534.479999997</v>
      </c>
      <c r="J2190" s="1">
        <v>37554929.310000002</v>
      </c>
      <c r="K2190" s="1">
        <v>41320263.130000003</v>
      </c>
      <c r="L2190" s="1">
        <v>43918247.810000002</v>
      </c>
      <c r="M2190" s="107">
        <v>34033327.68</v>
      </c>
      <c r="N2190" s="107">
        <v>39773555.909999996</v>
      </c>
      <c r="O2190" s="107">
        <v>41840906.159999996</v>
      </c>
      <c r="P2190" s="107">
        <v>30424161.309999999</v>
      </c>
      <c r="Q2190" s="107">
        <v>56108641.299999997</v>
      </c>
      <c r="R2190" s="107">
        <v>54375165.619999997</v>
      </c>
    </row>
    <row r="2191" spans="1:18" x14ac:dyDescent="0.25">
      <c r="A2191" s="2" t="s">
        <v>144</v>
      </c>
      <c r="B2191" s="2">
        <v>2018</v>
      </c>
      <c r="C2191" s="2" t="s">
        <v>143</v>
      </c>
      <c r="D2191" s="106">
        <v>6265000000</v>
      </c>
      <c r="E2191" s="1">
        <v>6450000000</v>
      </c>
      <c r="F2191" s="107">
        <v>6450000000</v>
      </c>
      <c r="G2191" s="1">
        <v>219131856.27000001</v>
      </c>
      <c r="H2191" s="1">
        <v>631251342.92999995</v>
      </c>
      <c r="I2191" s="1">
        <v>565984158.61000001</v>
      </c>
      <c r="J2191" s="1">
        <v>367094396.06</v>
      </c>
      <c r="K2191" s="1">
        <v>370210168.31</v>
      </c>
      <c r="L2191" s="1">
        <v>1718432187.3299999</v>
      </c>
      <c r="M2191" s="107">
        <v>230209957.27000001</v>
      </c>
      <c r="N2191" s="107">
        <v>391985203.06999999</v>
      </c>
      <c r="O2191" s="107">
        <v>166769938.31999999</v>
      </c>
      <c r="P2191" s="107">
        <v>229761226.06</v>
      </c>
      <c r="Q2191" s="107">
        <v>157070577.93000001</v>
      </c>
      <c r="R2191" s="107">
        <v>1488012.18</v>
      </c>
    </row>
    <row r="2192" spans="1:18" x14ac:dyDescent="0.25">
      <c r="A2192" s="2" t="s">
        <v>142</v>
      </c>
      <c r="B2192" s="2">
        <v>2018</v>
      </c>
      <c r="C2192" s="2" t="s">
        <v>141</v>
      </c>
      <c r="D2192" s="106">
        <v>2380000000</v>
      </c>
      <c r="E2192" s="1">
        <v>3900000000</v>
      </c>
      <c r="F2192" s="107">
        <v>3900000000</v>
      </c>
      <c r="G2192" s="1">
        <v>280617341.54000002</v>
      </c>
      <c r="H2192" s="1">
        <v>397493435.11000001</v>
      </c>
      <c r="I2192" s="1">
        <v>522513812.49000001</v>
      </c>
      <c r="J2192" s="1">
        <v>379683836.05000001</v>
      </c>
      <c r="K2192" s="1">
        <v>285479578.00999999</v>
      </c>
      <c r="L2192" s="1">
        <v>201508043.94999999</v>
      </c>
      <c r="M2192" s="107">
        <v>236007632.84999999</v>
      </c>
      <c r="N2192" s="107">
        <v>717445109.09000003</v>
      </c>
      <c r="O2192" s="107">
        <v>-57735670.630000003</v>
      </c>
      <c r="P2192" s="107">
        <v>245093972.02000001</v>
      </c>
      <c r="Q2192" s="107">
        <v>326922245.14999998</v>
      </c>
      <c r="R2192" s="107">
        <v>656167063.96000004</v>
      </c>
    </row>
    <row r="2193" spans="1:18" x14ac:dyDescent="0.25">
      <c r="A2193" s="2" t="s">
        <v>140</v>
      </c>
      <c r="B2193" s="2">
        <v>2018</v>
      </c>
      <c r="C2193" s="2" t="s">
        <v>139</v>
      </c>
      <c r="D2193" s="106">
        <v>31608091650</v>
      </c>
      <c r="E2193" s="1">
        <v>34180491214</v>
      </c>
      <c r="F2193" s="107">
        <v>34180491214</v>
      </c>
      <c r="G2193" s="1">
        <v>0</v>
      </c>
      <c r="H2193" s="1">
        <v>0</v>
      </c>
      <c r="I2193" s="1">
        <v>551584493.10000002</v>
      </c>
      <c r="J2193" s="1">
        <v>1360408145.7</v>
      </c>
      <c r="K2193" s="1">
        <v>4815414546.4399996</v>
      </c>
      <c r="L2193" s="1">
        <v>10545732577</v>
      </c>
      <c r="M2193" s="107">
        <v>11624630123</v>
      </c>
      <c r="N2193" s="107">
        <v>1742282386.5999999</v>
      </c>
      <c r="O2193" s="107">
        <v>0</v>
      </c>
      <c r="P2193" s="107">
        <v>967917026.36000001</v>
      </c>
      <c r="Q2193" s="107">
        <v>222350.32</v>
      </c>
      <c r="R2193" s="107">
        <v>0</v>
      </c>
    </row>
    <row r="2194" spans="1:18" x14ac:dyDescent="0.25">
      <c r="A2194" s="2" t="s">
        <v>138</v>
      </c>
      <c r="B2194" s="2">
        <v>2018</v>
      </c>
      <c r="C2194" s="2" t="s">
        <v>137</v>
      </c>
      <c r="D2194" s="106">
        <v>12403500000</v>
      </c>
      <c r="E2194" s="1">
        <v>12502304382</v>
      </c>
      <c r="F2194" s="107">
        <v>12502304382</v>
      </c>
      <c r="G2194" s="1">
        <v>0</v>
      </c>
      <c r="H2194" s="1">
        <v>0</v>
      </c>
      <c r="I2194" s="1">
        <v>3730000</v>
      </c>
      <c r="J2194" s="1">
        <v>2176297500</v>
      </c>
      <c r="K2194" s="1">
        <v>1253675000</v>
      </c>
      <c r="L2194" s="1">
        <v>1044185000</v>
      </c>
      <c r="M2194" s="107">
        <v>629305000</v>
      </c>
      <c r="N2194" s="107">
        <v>942952500</v>
      </c>
      <c r="O2194" s="107">
        <v>1023251250</v>
      </c>
      <c r="P2194" s="107">
        <v>1111826250</v>
      </c>
      <c r="Q2194" s="107">
        <v>1107433750</v>
      </c>
      <c r="R2194" s="107">
        <v>10000</v>
      </c>
    </row>
    <row r="2195" spans="1:18" x14ac:dyDescent="0.25">
      <c r="A2195" s="2" t="s">
        <v>136</v>
      </c>
      <c r="B2195" s="2">
        <v>2018</v>
      </c>
      <c r="C2195" s="2" t="s">
        <v>135</v>
      </c>
      <c r="D2195" s="106">
        <v>1800000000</v>
      </c>
      <c r="E2195" s="1">
        <v>1800000000</v>
      </c>
      <c r="F2195" s="107">
        <v>1800000000</v>
      </c>
      <c r="G2195" s="1">
        <v>0</v>
      </c>
      <c r="H2195" s="1">
        <v>0</v>
      </c>
      <c r="I2195" s="1">
        <v>0</v>
      </c>
      <c r="J2195" s="1">
        <v>450000000</v>
      </c>
      <c r="K2195" s="1">
        <v>150000000</v>
      </c>
      <c r="L2195" s="1">
        <v>150000000</v>
      </c>
      <c r="M2195" s="107">
        <v>0</v>
      </c>
      <c r="N2195" s="107">
        <v>300000000</v>
      </c>
      <c r="O2195" s="107">
        <v>150000000</v>
      </c>
      <c r="P2195" s="107">
        <v>150000000</v>
      </c>
      <c r="Q2195" s="107">
        <v>150000000</v>
      </c>
      <c r="R2195" s="107">
        <v>0</v>
      </c>
    </row>
    <row r="2196" spans="1:18" x14ac:dyDescent="0.25">
      <c r="A2196" s="2" t="s">
        <v>134</v>
      </c>
      <c r="B2196" s="2">
        <v>2018</v>
      </c>
      <c r="C2196" s="2" t="s">
        <v>133</v>
      </c>
      <c r="D2196" s="106">
        <v>76844636375</v>
      </c>
      <c r="E2196" s="1">
        <v>78839752775</v>
      </c>
      <c r="F2196" s="107">
        <v>78839752775</v>
      </c>
      <c r="G2196" s="1">
        <v>0</v>
      </c>
      <c r="H2196" s="1">
        <v>6403719697.8999996</v>
      </c>
      <c r="I2196" s="1">
        <v>12515252631.799999</v>
      </c>
      <c r="J2196" s="1">
        <v>6403719697.8999996</v>
      </c>
      <c r="K2196" s="1">
        <v>6403719697.8999996</v>
      </c>
      <c r="L2196" s="1">
        <v>6403719697.8999996</v>
      </c>
      <c r="M2196" s="107">
        <v>0</v>
      </c>
      <c r="N2196" s="107">
        <v>12807439395.84</v>
      </c>
      <c r="O2196" s="107">
        <v>6403719697.9099998</v>
      </c>
      <c r="P2196" s="107">
        <v>6403719697.9300003</v>
      </c>
      <c r="Q2196" s="107">
        <v>6403719697.9099998</v>
      </c>
      <c r="R2196" s="107">
        <v>6403728030</v>
      </c>
    </row>
    <row r="2197" spans="1:18" x14ac:dyDescent="0.25">
      <c r="A2197" s="2" t="s">
        <v>132</v>
      </c>
      <c r="B2197" s="2">
        <v>2018</v>
      </c>
      <c r="C2197" s="2" t="s">
        <v>131</v>
      </c>
      <c r="D2197" s="106">
        <v>17738274829</v>
      </c>
      <c r="E2197" s="1">
        <v>17738274829</v>
      </c>
      <c r="F2197" s="107">
        <v>17738274829</v>
      </c>
      <c r="G2197" s="1">
        <v>0</v>
      </c>
      <c r="H2197" s="1">
        <v>0</v>
      </c>
      <c r="I2197" s="1">
        <v>5001255699.5</v>
      </c>
      <c r="J2197" s="1">
        <v>8189710717</v>
      </c>
      <c r="K2197" s="1">
        <v>4887639872.46</v>
      </c>
      <c r="L2197" s="1">
        <v>0</v>
      </c>
      <c r="M2197" s="107">
        <v>0</v>
      </c>
      <c r="N2197" s="107">
        <v>0</v>
      </c>
      <c r="O2197" s="107">
        <v>0</v>
      </c>
      <c r="P2197" s="107">
        <v>0</v>
      </c>
      <c r="Q2197" s="107">
        <v>0</v>
      </c>
      <c r="R2197" s="107">
        <v>0</v>
      </c>
    </row>
    <row r="2198" spans="1:18" x14ac:dyDescent="0.25">
      <c r="A2198" s="2" t="s">
        <v>130</v>
      </c>
      <c r="B2198" s="2">
        <v>2018</v>
      </c>
      <c r="C2198" s="2" t="s">
        <v>129</v>
      </c>
      <c r="D2198" s="106">
        <v>50000000000</v>
      </c>
      <c r="E2198" s="1">
        <v>50000000000</v>
      </c>
      <c r="F2198" s="107">
        <v>50000000000</v>
      </c>
      <c r="G2198" s="1">
        <v>0</v>
      </c>
      <c r="H2198" s="1">
        <v>4500000000</v>
      </c>
      <c r="I2198" s="1">
        <v>6531899360.8000002</v>
      </c>
      <c r="J2198" s="1">
        <v>3997483703.3000002</v>
      </c>
      <c r="K2198" s="1">
        <v>4135000000</v>
      </c>
      <c r="L2198" s="1">
        <v>4160550000</v>
      </c>
      <c r="M2198" s="107">
        <v>4665271420.1000004</v>
      </c>
      <c r="N2198" s="107">
        <v>3582952000</v>
      </c>
      <c r="O2198" s="107">
        <v>0</v>
      </c>
      <c r="P2198" s="107">
        <v>4987099084</v>
      </c>
      <c r="Q2198" s="107">
        <v>7605130614.3199997</v>
      </c>
      <c r="R2198" s="107">
        <v>0</v>
      </c>
    </row>
    <row r="2199" spans="1:18" x14ac:dyDescent="0.25">
      <c r="A2199" s="2" t="s">
        <v>128</v>
      </c>
      <c r="B2199" s="2">
        <v>2018</v>
      </c>
      <c r="C2199" s="2" t="s">
        <v>127</v>
      </c>
      <c r="D2199" s="106">
        <v>7177242240</v>
      </c>
      <c r="E2199" s="1">
        <v>7177242240</v>
      </c>
      <c r="F2199" s="107">
        <v>7177242240</v>
      </c>
      <c r="G2199" s="1">
        <v>0</v>
      </c>
      <c r="H2199" s="1">
        <v>598100000</v>
      </c>
      <c r="I2199" s="1">
        <v>598103520</v>
      </c>
      <c r="J2199" s="1">
        <v>663805000</v>
      </c>
      <c r="K2199" s="1">
        <v>567000000</v>
      </c>
      <c r="L2199" s="1">
        <v>598603520</v>
      </c>
      <c r="M2199" s="107">
        <v>0</v>
      </c>
      <c r="N2199" s="107">
        <v>1452215960</v>
      </c>
      <c r="O2199" s="107">
        <v>674209633</v>
      </c>
      <c r="P2199" s="107">
        <v>688382440</v>
      </c>
      <c r="Q2199" s="107">
        <v>666554998</v>
      </c>
      <c r="R2199" s="107">
        <v>595451500</v>
      </c>
    </row>
    <row r="2200" spans="1:18" x14ac:dyDescent="0.25">
      <c r="A2200" s="2" t="s">
        <v>126</v>
      </c>
      <c r="B2200" s="2">
        <v>2018</v>
      </c>
      <c r="C2200" s="2" t="s">
        <v>125</v>
      </c>
      <c r="D2200" s="106">
        <v>3051000000</v>
      </c>
      <c r="E2200" s="1">
        <v>2055883600</v>
      </c>
      <c r="F2200" s="107">
        <v>2055883600</v>
      </c>
      <c r="G2200" s="1">
        <v>0</v>
      </c>
      <c r="H2200" s="1">
        <v>146493017.13999999</v>
      </c>
      <c r="I2200" s="1">
        <v>449259627.49000001</v>
      </c>
      <c r="J2200" s="1">
        <v>90177739</v>
      </c>
      <c r="K2200" s="1">
        <v>0</v>
      </c>
      <c r="L2200" s="1">
        <v>0</v>
      </c>
      <c r="M2200" s="107">
        <v>103743215</v>
      </c>
      <c r="N2200" s="107">
        <v>300149124</v>
      </c>
      <c r="O2200" s="107">
        <v>199218869</v>
      </c>
      <c r="P2200" s="107">
        <v>136123152.02000001</v>
      </c>
      <c r="Q2200" s="107">
        <v>102814070</v>
      </c>
      <c r="R2200" s="107">
        <v>318291033</v>
      </c>
    </row>
    <row r="2201" spans="1:18" x14ac:dyDescent="0.25">
      <c r="A2201" s="2" t="s">
        <v>124</v>
      </c>
      <c r="B2201" s="2">
        <v>2018</v>
      </c>
      <c r="C2201" s="2" t="s">
        <v>123</v>
      </c>
      <c r="D2201" s="106">
        <v>1000000000</v>
      </c>
      <c r="E2201" s="1">
        <v>0</v>
      </c>
      <c r="F2201" s="107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07">
        <v>0</v>
      </c>
      <c r="N2201" s="107">
        <v>0</v>
      </c>
      <c r="O2201" s="107">
        <v>0</v>
      </c>
      <c r="P2201" s="107">
        <v>0</v>
      </c>
      <c r="Q2201" s="107">
        <v>0</v>
      </c>
      <c r="R2201" s="107">
        <v>0</v>
      </c>
    </row>
    <row r="2202" spans="1:18" x14ac:dyDescent="0.25">
      <c r="A2202" s="2" t="s">
        <v>122</v>
      </c>
      <c r="B2202" s="2">
        <v>2018</v>
      </c>
      <c r="C2202" s="2" t="s">
        <v>121</v>
      </c>
      <c r="D2202" s="106">
        <v>3876568371</v>
      </c>
      <c r="E2202" s="1">
        <v>3855345883</v>
      </c>
      <c r="F2202" s="107">
        <v>3855345883</v>
      </c>
      <c r="G2202" s="1">
        <v>225623077.78</v>
      </c>
      <c r="H2202" s="1">
        <v>227787341.15000001</v>
      </c>
      <c r="I2202" s="1">
        <v>233415439.40000001</v>
      </c>
      <c r="J2202" s="1">
        <v>229150478.43000001</v>
      </c>
      <c r="K2202" s="1">
        <v>230298052.56</v>
      </c>
      <c r="L2202" s="1">
        <v>234528449.24000001</v>
      </c>
      <c r="M2202" s="107">
        <v>234475234.78</v>
      </c>
      <c r="N2202" s="107">
        <v>235620766.62</v>
      </c>
      <c r="O2202" s="107">
        <v>235272179.91999999</v>
      </c>
      <c r="P2202" s="107">
        <v>234637112.27000001</v>
      </c>
      <c r="Q2202" s="107">
        <v>233405569.66</v>
      </c>
      <c r="R2202" s="107">
        <v>683083964.88999999</v>
      </c>
    </row>
    <row r="2203" spans="1:18" x14ac:dyDescent="0.25">
      <c r="A2203" s="2" t="s">
        <v>120</v>
      </c>
      <c r="B2203" s="2">
        <v>2018</v>
      </c>
      <c r="C2203" s="2" t="s">
        <v>119</v>
      </c>
      <c r="D2203" s="106">
        <v>647730000</v>
      </c>
      <c r="E2203" s="1">
        <v>647730000</v>
      </c>
      <c r="F2203" s="107">
        <v>647730000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07">
        <v>0</v>
      </c>
      <c r="N2203" s="107">
        <v>0</v>
      </c>
      <c r="O2203" s="107">
        <v>0</v>
      </c>
      <c r="P2203" s="107">
        <v>0</v>
      </c>
      <c r="Q2203" s="107">
        <v>0</v>
      </c>
      <c r="R2203" s="107">
        <v>647730000</v>
      </c>
    </row>
    <row r="2204" spans="1:18" x14ac:dyDescent="0.25">
      <c r="A2204" s="2" t="s">
        <v>118</v>
      </c>
      <c r="B2204" s="2">
        <v>2018</v>
      </c>
      <c r="C2204" s="2" t="s">
        <v>117</v>
      </c>
      <c r="D2204" s="106">
        <v>610764000</v>
      </c>
      <c r="E2204" s="1">
        <v>610764000</v>
      </c>
      <c r="F2204" s="107">
        <v>610764000</v>
      </c>
      <c r="G2204" s="1">
        <v>0</v>
      </c>
      <c r="H2204" s="1">
        <v>0</v>
      </c>
      <c r="I2204" s="1">
        <v>0</v>
      </c>
      <c r="J2204" s="1">
        <v>42247947.82</v>
      </c>
      <c r="K2204" s="1">
        <v>0</v>
      </c>
      <c r="L2204" s="1">
        <v>191622063.59</v>
      </c>
      <c r="M2204" s="107">
        <v>0</v>
      </c>
      <c r="N2204" s="107">
        <v>90725237.189999998</v>
      </c>
      <c r="O2204" s="107">
        <v>0</v>
      </c>
      <c r="P2204" s="107">
        <v>0</v>
      </c>
      <c r="Q2204" s="107">
        <v>0</v>
      </c>
      <c r="R2204" s="107">
        <v>103845434.48999999</v>
      </c>
    </row>
    <row r="2205" spans="1:18" x14ac:dyDescent="0.25">
      <c r="A2205" s="2" t="s">
        <v>115</v>
      </c>
      <c r="B2205" s="2">
        <v>2018</v>
      </c>
      <c r="C2205" s="2" t="s">
        <v>114</v>
      </c>
      <c r="D2205" s="106">
        <v>5000000</v>
      </c>
      <c r="E2205" s="1">
        <v>5000000</v>
      </c>
      <c r="F2205" s="107">
        <v>5000000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07">
        <v>0</v>
      </c>
      <c r="N2205" s="107">
        <v>0</v>
      </c>
      <c r="O2205" s="107">
        <v>0</v>
      </c>
      <c r="P2205" s="107">
        <v>0</v>
      </c>
      <c r="Q2205" s="107">
        <v>0</v>
      </c>
      <c r="R2205" s="107">
        <v>0</v>
      </c>
    </row>
    <row r="2206" spans="1:18" x14ac:dyDescent="0.25">
      <c r="A2206" s="2" t="s">
        <v>113</v>
      </c>
      <c r="B2206" s="2">
        <v>2018</v>
      </c>
      <c r="C2206" s="2" t="s">
        <v>112</v>
      </c>
      <c r="D2206" s="106">
        <v>300000</v>
      </c>
      <c r="E2206" s="1">
        <v>300000</v>
      </c>
      <c r="F2206" s="107">
        <v>300000</v>
      </c>
      <c r="G2206" s="1">
        <v>0</v>
      </c>
      <c r="H2206" s="1">
        <v>300000</v>
      </c>
      <c r="I2206" s="1">
        <v>0</v>
      </c>
      <c r="J2206" s="1">
        <v>0</v>
      </c>
      <c r="K2206" s="1">
        <v>0</v>
      </c>
      <c r="L2206" s="1">
        <v>0</v>
      </c>
      <c r="M2206" s="107">
        <v>0</v>
      </c>
      <c r="N2206" s="107">
        <v>0</v>
      </c>
      <c r="O2206" s="107">
        <v>0</v>
      </c>
      <c r="P2206" s="107">
        <v>0</v>
      </c>
      <c r="Q2206" s="107">
        <v>0</v>
      </c>
      <c r="R2206" s="107">
        <v>0</v>
      </c>
    </row>
    <row r="2207" spans="1:18" x14ac:dyDescent="0.25">
      <c r="A2207" s="2" t="s">
        <v>111</v>
      </c>
      <c r="B2207" s="2">
        <v>2018</v>
      </c>
      <c r="C2207" s="2" t="s">
        <v>110</v>
      </c>
      <c r="D2207" s="106">
        <v>35200000</v>
      </c>
      <c r="E2207" s="1">
        <v>35200000</v>
      </c>
      <c r="F2207" s="107">
        <v>35200000</v>
      </c>
      <c r="G2207" s="1">
        <v>0</v>
      </c>
      <c r="H2207" s="1">
        <v>35200000</v>
      </c>
      <c r="I2207" s="1">
        <v>0</v>
      </c>
      <c r="J2207" s="1">
        <v>0</v>
      </c>
      <c r="K2207" s="1">
        <v>0</v>
      </c>
      <c r="L2207" s="1">
        <v>0</v>
      </c>
      <c r="M2207" s="107">
        <v>0</v>
      </c>
      <c r="N2207" s="107">
        <v>0</v>
      </c>
      <c r="O2207" s="107">
        <v>0</v>
      </c>
      <c r="P2207" s="107">
        <v>0</v>
      </c>
      <c r="Q2207" s="107">
        <v>0</v>
      </c>
      <c r="R2207" s="107">
        <v>0</v>
      </c>
    </row>
    <row r="2208" spans="1:18" x14ac:dyDescent="0.25">
      <c r="A2208" s="2" t="s">
        <v>109</v>
      </c>
      <c r="B2208" s="2">
        <v>2018</v>
      </c>
      <c r="C2208" s="2" t="s">
        <v>108</v>
      </c>
      <c r="D2208" s="106">
        <v>7000000</v>
      </c>
      <c r="E2208" s="1">
        <v>7000000</v>
      </c>
      <c r="F2208" s="107">
        <v>7000000</v>
      </c>
      <c r="G2208" s="1">
        <v>7000000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07">
        <v>0</v>
      </c>
      <c r="N2208" s="107">
        <v>0</v>
      </c>
      <c r="O2208" s="107">
        <v>0</v>
      </c>
      <c r="P2208" s="107">
        <v>0</v>
      </c>
      <c r="Q2208" s="107">
        <v>0</v>
      </c>
      <c r="R2208" s="107">
        <v>0</v>
      </c>
    </row>
    <row r="2209" spans="1:18" x14ac:dyDescent="0.25">
      <c r="A2209" s="2" t="s">
        <v>107</v>
      </c>
      <c r="B2209" s="2">
        <v>2018</v>
      </c>
      <c r="C2209" s="2" t="s">
        <v>106</v>
      </c>
      <c r="D2209" s="106">
        <v>51400000</v>
      </c>
      <c r="E2209" s="1">
        <v>51400000</v>
      </c>
      <c r="F2209" s="107">
        <v>51400000</v>
      </c>
      <c r="G2209" s="1">
        <v>0</v>
      </c>
      <c r="H2209" s="1">
        <v>0</v>
      </c>
      <c r="I2209" s="1">
        <v>51400000</v>
      </c>
      <c r="J2209" s="1">
        <v>0</v>
      </c>
      <c r="K2209" s="1">
        <v>0</v>
      </c>
      <c r="L2209" s="1">
        <v>0</v>
      </c>
      <c r="M2209" s="107">
        <v>0</v>
      </c>
      <c r="N2209" s="107">
        <v>0</v>
      </c>
      <c r="O2209" s="107">
        <v>0</v>
      </c>
      <c r="P2209" s="107">
        <v>0</v>
      </c>
      <c r="Q2209" s="107">
        <v>0</v>
      </c>
      <c r="R2209" s="107">
        <v>0</v>
      </c>
    </row>
    <row r="2210" spans="1:18" x14ac:dyDescent="0.25">
      <c r="A2210" s="2" t="s">
        <v>105</v>
      </c>
      <c r="B2210" s="2">
        <v>2018</v>
      </c>
      <c r="C2210" s="2" t="s">
        <v>104</v>
      </c>
      <c r="D2210" s="106">
        <v>37000000</v>
      </c>
      <c r="E2210" s="1">
        <v>37000000</v>
      </c>
      <c r="F2210" s="107">
        <v>37000000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07">
        <v>0</v>
      </c>
      <c r="N2210" s="107">
        <v>0</v>
      </c>
      <c r="O2210" s="107">
        <v>37000000</v>
      </c>
      <c r="P2210" s="107">
        <v>0</v>
      </c>
      <c r="Q2210" s="107">
        <v>0</v>
      </c>
      <c r="R2210" s="107">
        <v>0</v>
      </c>
    </row>
    <row r="2211" spans="1:18" x14ac:dyDescent="0.25">
      <c r="A2211" s="2" t="s">
        <v>103</v>
      </c>
      <c r="B2211" s="2">
        <v>2018</v>
      </c>
      <c r="C2211" s="2" t="s">
        <v>102</v>
      </c>
      <c r="D2211" s="106">
        <v>83800000</v>
      </c>
      <c r="E2211" s="1">
        <v>83800000</v>
      </c>
      <c r="F2211" s="107">
        <v>83800000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07">
        <v>0</v>
      </c>
      <c r="N2211" s="107">
        <v>0</v>
      </c>
      <c r="O2211" s="107">
        <v>0</v>
      </c>
      <c r="P2211" s="107">
        <v>0</v>
      </c>
      <c r="Q2211" s="107">
        <v>80000000</v>
      </c>
      <c r="R2211" s="107">
        <v>3800000</v>
      </c>
    </row>
    <row r="2212" spans="1:18" x14ac:dyDescent="0.25">
      <c r="A2212" s="2" t="s">
        <v>101</v>
      </c>
      <c r="B2212" s="2">
        <v>2018</v>
      </c>
      <c r="C2212" s="2" t="s">
        <v>100</v>
      </c>
      <c r="D2212" s="106">
        <v>8500000</v>
      </c>
      <c r="E2212" s="1">
        <v>8500000</v>
      </c>
      <c r="F2212" s="107">
        <v>8500000</v>
      </c>
      <c r="G2212" s="1">
        <v>0</v>
      </c>
      <c r="H2212" s="1">
        <v>0</v>
      </c>
      <c r="I2212" s="1">
        <v>8500000</v>
      </c>
      <c r="J2212" s="1">
        <v>0</v>
      </c>
      <c r="K2212" s="1">
        <v>0</v>
      </c>
      <c r="L2212" s="1">
        <v>0</v>
      </c>
      <c r="M2212" s="107">
        <v>0</v>
      </c>
      <c r="N2212" s="107">
        <v>0</v>
      </c>
      <c r="O2212" s="107">
        <v>0</v>
      </c>
      <c r="P2212" s="107">
        <v>0</v>
      </c>
      <c r="Q2212" s="107">
        <v>0</v>
      </c>
      <c r="R2212" s="107">
        <v>0</v>
      </c>
    </row>
    <row r="2213" spans="1:18" x14ac:dyDescent="0.25">
      <c r="A2213" s="2" t="s">
        <v>99</v>
      </c>
      <c r="B2213" s="2">
        <v>2018</v>
      </c>
      <c r="C2213" s="2" t="s">
        <v>98</v>
      </c>
      <c r="D2213" s="106">
        <v>47000000</v>
      </c>
      <c r="E2213" s="1">
        <v>47000000</v>
      </c>
      <c r="F2213" s="107">
        <v>47000000</v>
      </c>
      <c r="G2213" s="1">
        <v>0</v>
      </c>
      <c r="H2213" s="1">
        <v>0</v>
      </c>
      <c r="I2213" s="1">
        <v>47000000</v>
      </c>
      <c r="J2213" s="1">
        <v>0</v>
      </c>
      <c r="K2213" s="1">
        <v>0</v>
      </c>
      <c r="L2213" s="1">
        <v>0</v>
      </c>
      <c r="M2213" s="107">
        <v>0</v>
      </c>
      <c r="N2213" s="107">
        <v>0</v>
      </c>
      <c r="O2213" s="107">
        <v>0</v>
      </c>
      <c r="P2213" s="107">
        <v>0</v>
      </c>
      <c r="Q2213" s="107">
        <v>0</v>
      </c>
      <c r="R2213" s="107">
        <v>0</v>
      </c>
    </row>
    <row r="2214" spans="1:18" x14ac:dyDescent="0.25">
      <c r="A2214" s="2" t="s">
        <v>97</v>
      </c>
      <c r="B2214" s="2">
        <v>2018</v>
      </c>
      <c r="C2214" s="2" t="s">
        <v>96</v>
      </c>
      <c r="D2214" s="106">
        <v>7000000</v>
      </c>
      <c r="E2214" s="1">
        <v>7000000</v>
      </c>
      <c r="F2214" s="107">
        <v>7000000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7000000</v>
      </c>
      <c r="M2214" s="107">
        <v>0</v>
      </c>
      <c r="N2214" s="107">
        <v>0</v>
      </c>
      <c r="O2214" s="107">
        <v>0</v>
      </c>
      <c r="P2214" s="107">
        <v>0</v>
      </c>
      <c r="Q2214" s="107">
        <v>0</v>
      </c>
      <c r="R2214" s="107">
        <v>0</v>
      </c>
    </row>
    <row r="2215" spans="1:18" x14ac:dyDescent="0.25">
      <c r="A2215" s="2" t="s">
        <v>95</v>
      </c>
      <c r="B2215" s="2">
        <v>2018</v>
      </c>
      <c r="C2215" s="2" t="s">
        <v>94</v>
      </c>
      <c r="D2215" s="106">
        <v>127000000</v>
      </c>
      <c r="E2215" s="1">
        <v>127000000</v>
      </c>
      <c r="F2215" s="107">
        <v>127000000</v>
      </c>
      <c r="G2215" s="1">
        <v>0</v>
      </c>
      <c r="H2215" s="1">
        <v>0</v>
      </c>
      <c r="I2215" s="1">
        <v>0</v>
      </c>
      <c r="J2215" s="1">
        <v>127000000</v>
      </c>
      <c r="K2215" s="1">
        <v>0</v>
      </c>
      <c r="L2215" s="1">
        <v>0</v>
      </c>
      <c r="M2215" s="107">
        <v>0</v>
      </c>
      <c r="N2215" s="107">
        <v>0</v>
      </c>
      <c r="O2215" s="107">
        <v>0</v>
      </c>
      <c r="P2215" s="107">
        <v>0</v>
      </c>
      <c r="Q2215" s="107">
        <v>0</v>
      </c>
      <c r="R2215" s="107">
        <v>0</v>
      </c>
    </row>
    <row r="2216" spans="1:18" x14ac:dyDescent="0.25">
      <c r="A2216" s="2" t="s">
        <v>93</v>
      </c>
      <c r="B2216" s="2">
        <v>2018</v>
      </c>
      <c r="C2216" s="2" t="s">
        <v>92</v>
      </c>
      <c r="D2216" s="106">
        <v>30000000</v>
      </c>
      <c r="E2216" s="1">
        <v>30000000</v>
      </c>
      <c r="F2216" s="107">
        <v>30000000</v>
      </c>
      <c r="G2216" s="1">
        <v>0</v>
      </c>
      <c r="H2216" s="1">
        <v>0</v>
      </c>
      <c r="I2216" s="1">
        <v>30000000</v>
      </c>
      <c r="J2216" s="1">
        <v>0</v>
      </c>
      <c r="K2216" s="1">
        <v>0</v>
      </c>
      <c r="L2216" s="1">
        <v>0</v>
      </c>
      <c r="M2216" s="107">
        <v>0</v>
      </c>
      <c r="N2216" s="107">
        <v>0</v>
      </c>
      <c r="O2216" s="107">
        <v>0</v>
      </c>
      <c r="P2216" s="107">
        <v>0</v>
      </c>
      <c r="Q2216" s="107">
        <v>0</v>
      </c>
      <c r="R2216" s="107">
        <v>0</v>
      </c>
    </row>
    <row r="2217" spans="1:18" x14ac:dyDescent="0.25">
      <c r="A2217" s="2" t="s">
        <v>91</v>
      </c>
      <c r="B2217" s="2">
        <v>2018</v>
      </c>
      <c r="C2217" s="2" t="s">
        <v>90</v>
      </c>
      <c r="D2217" s="106">
        <v>5647918230</v>
      </c>
      <c r="E2217" s="1">
        <v>5647918230</v>
      </c>
      <c r="F2217" s="107">
        <v>5647918230</v>
      </c>
      <c r="G2217" s="1">
        <v>0</v>
      </c>
      <c r="H2217" s="1">
        <v>0</v>
      </c>
      <c r="I2217" s="1">
        <v>0</v>
      </c>
      <c r="J2217" s="1">
        <v>5647918230</v>
      </c>
      <c r="K2217" s="1">
        <v>0</v>
      </c>
      <c r="L2217" s="1">
        <v>0</v>
      </c>
      <c r="M2217" s="107">
        <v>0</v>
      </c>
      <c r="N2217" s="107">
        <v>0</v>
      </c>
      <c r="O2217" s="107">
        <v>0</v>
      </c>
      <c r="P2217" s="107">
        <v>0</v>
      </c>
      <c r="Q2217" s="107">
        <v>0</v>
      </c>
      <c r="R2217" s="107">
        <v>0</v>
      </c>
    </row>
    <row r="2218" spans="1:18" x14ac:dyDescent="0.25">
      <c r="A2218" s="2" t="s">
        <v>89</v>
      </c>
      <c r="B2218" s="2">
        <v>2018</v>
      </c>
      <c r="C2218" s="2" t="s">
        <v>88</v>
      </c>
      <c r="D2218" s="106">
        <v>433668340</v>
      </c>
      <c r="E2218" s="1">
        <v>433700000</v>
      </c>
      <c r="F2218" s="107">
        <v>433700000</v>
      </c>
      <c r="G2218" s="1">
        <v>44408333.329999998</v>
      </c>
      <c r="H2218" s="1">
        <v>80547361.659999996</v>
      </c>
      <c r="I2218" s="1">
        <v>0</v>
      </c>
      <c r="J2218" s="1">
        <v>108417084.98999999</v>
      </c>
      <c r="K2218" s="1">
        <v>106411638.48999999</v>
      </c>
      <c r="L2218" s="1">
        <v>36139028.329999998</v>
      </c>
      <c r="M2218" s="107">
        <v>0</v>
      </c>
      <c r="N2218" s="107">
        <v>151653250.53999999</v>
      </c>
      <c r="O2218" s="107">
        <v>36139028.329999998</v>
      </c>
      <c r="P2218" s="107">
        <v>36139028.329999998</v>
      </c>
      <c r="Q2218" s="107">
        <v>39725548.159999996</v>
      </c>
      <c r="R2218" s="107">
        <v>36139028.329999998</v>
      </c>
    </row>
    <row r="2219" spans="1:18" x14ac:dyDescent="0.25">
      <c r="A2219" s="2" t="s">
        <v>87</v>
      </c>
      <c r="B2219" s="2">
        <v>2018</v>
      </c>
      <c r="C2219" s="2" t="s">
        <v>86</v>
      </c>
      <c r="D2219" s="106">
        <v>449237856</v>
      </c>
      <c r="E2219" s="1">
        <v>449237856</v>
      </c>
      <c r="F2219" s="107">
        <v>449237856</v>
      </c>
      <c r="G2219" s="1">
        <v>0</v>
      </c>
      <c r="H2219" s="1">
        <v>0</v>
      </c>
      <c r="I2219" s="1">
        <v>0</v>
      </c>
      <c r="J2219" s="1">
        <v>0</v>
      </c>
      <c r="K2219" s="1">
        <v>411813410.5</v>
      </c>
      <c r="L2219" s="1">
        <v>0</v>
      </c>
      <c r="M2219" s="107">
        <v>0</v>
      </c>
      <c r="N2219" s="107">
        <v>0</v>
      </c>
      <c r="O2219" s="107">
        <v>0</v>
      </c>
      <c r="P2219" s="107">
        <v>0</v>
      </c>
      <c r="Q2219" s="107">
        <v>37424445.5</v>
      </c>
      <c r="R2219" s="107">
        <v>0</v>
      </c>
    </row>
    <row r="2220" spans="1:18" x14ac:dyDescent="0.25">
      <c r="A2220" s="2" t="s">
        <v>85</v>
      </c>
      <c r="B2220" s="2">
        <v>2018</v>
      </c>
      <c r="C2220" s="2" t="s">
        <v>84</v>
      </c>
      <c r="D2220" s="106">
        <v>35000000</v>
      </c>
      <c r="E2220" s="1">
        <v>35000000</v>
      </c>
      <c r="F2220" s="107">
        <v>35000000</v>
      </c>
      <c r="G2220" s="1">
        <v>0</v>
      </c>
      <c r="H2220" s="1">
        <v>0</v>
      </c>
      <c r="I2220" s="1">
        <v>0</v>
      </c>
      <c r="J2220" s="1">
        <v>25482427.460000001</v>
      </c>
      <c r="K2220" s="1">
        <v>0</v>
      </c>
      <c r="L2220" s="1">
        <v>0</v>
      </c>
      <c r="M2220" s="107">
        <v>0</v>
      </c>
      <c r="N2220" s="107">
        <v>0</v>
      </c>
      <c r="O2220" s="107">
        <v>0</v>
      </c>
      <c r="P2220" s="107">
        <v>0</v>
      </c>
      <c r="Q2220" s="107">
        <v>0</v>
      </c>
      <c r="R2220" s="107">
        <v>0</v>
      </c>
    </row>
    <row r="2221" spans="1:18" x14ac:dyDescent="0.25">
      <c r="A2221" s="2" t="s">
        <v>1220</v>
      </c>
      <c r="B2221" s="2">
        <v>2018</v>
      </c>
      <c r="C2221" s="2" t="s">
        <v>1221</v>
      </c>
      <c r="D2221" s="106">
        <v>0</v>
      </c>
      <c r="E2221" s="1">
        <v>0</v>
      </c>
      <c r="F2221" s="107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07">
        <v>363732223.13</v>
      </c>
      <c r="N2221" s="107">
        <v>0</v>
      </c>
      <c r="O2221" s="107">
        <v>0</v>
      </c>
      <c r="P2221" s="107">
        <v>0</v>
      </c>
      <c r="Q2221" s="107">
        <v>0</v>
      </c>
      <c r="R2221" s="107">
        <v>0</v>
      </c>
    </row>
    <row r="2222" spans="1:18" x14ac:dyDescent="0.25">
      <c r="A2222" s="2" t="s">
        <v>1239</v>
      </c>
      <c r="B2222" s="2">
        <v>2018</v>
      </c>
      <c r="C2222" s="2" t="s">
        <v>1240</v>
      </c>
      <c r="D2222" s="106">
        <v>0</v>
      </c>
      <c r="E2222" s="1">
        <v>3000000000</v>
      </c>
      <c r="F2222" s="107">
        <v>3000000000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07">
        <v>0</v>
      </c>
      <c r="N2222" s="107">
        <v>0</v>
      </c>
      <c r="O2222" s="107">
        <v>0</v>
      </c>
      <c r="P2222" s="107">
        <v>0</v>
      </c>
      <c r="Q2222" s="107">
        <v>3000000000</v>
      </c>
      <c r="R2222" s="107">
        <v>0</v>
      </c>
    </row>
    <row r="2223" spans="1:18" x14ac:dyDescent="0.25">
      <c r="A2223" s="2" t="s">
        <v>83</v>
      </c>
      <c r="B2223" s="2">
        <v>2018</v>
      </c>
      <c r="C2223" s="2" t="s">
        <v>82</v>
      </c>
      <c r="D2223" s="106">
        <v>1159000000</v>
      </c>
      <c r="E2223" s="1">
        <v>1082000000</v>
      </c>
      <c r="F2223" s="107">
        <v>1082000000</v>
      </c>
      <c r="G2223" s="1">
        <v>52832193.770000003</v>
      </c>
      <c r="H2223" s="1">
        <v>19405503.449999999</v>
      </c>
      <c r="I2223" s="1">
        <v>29039219.77</v>
      </c>
      <c r="J2223" s="1">
        <v>130644775.76000001</v>
      </c>
      <c r="K2223" s="1">
        <v>145637982.52000001</v>
      </c>
      <c r="L2223" s="1">
        <v>102651909.81</v>
      </c>
      <c r="M2223" s="107">
        <v>128987290.34</v>
      </c>
      <c r="N2223" s="107">
        <v>130599833.84</v>
      </c>
      <c r="O2223" s="107">
        <v>54968965.759999998</v>
      </c>
      <c r="P2223" s="107">
        <v>105944346.92</v>
      </c>
      <c r="Q2223" s="107">
        <v>84207219.5</v>
      </c>
      <c r="R2223" s="107">
        <v>142292991.93000001</v>
      </c>
    </row>
    <row r="2224" spans="1:18" x14ac:dyDescent="0.25">
      <c r="A2224" s="2" t="s">
        <v>80</v>
      </c>
      <c r="B2224" s="2">
        <v>2018</v>
      </c>
      <c r="C2224" s="2" t="s">
        <v>79</v>
      </c>
      <c r="D2224" s="106">
        <v>141100000</v>
      </c>
      <c r="E2224" s="1">
        <v>141100000</v>
      </c>
      <c r="F2224" s="107">
        <v>141100000</v>
      </c>
      <c r="G2224" s="1">
        <v>0</v>
      </c>
      <c r="H2224" s="1">
        <v>0</v>
      </c>
      <c r="I2224" s="1">
        <v>0</v>
      </c>
      <c r="J2224" s="1">
        <v>141100000</v>
      </c>
      <c r="K2224" s="1">
        <v>0</v>
      </c>
      <c r="L2224" s="1">
        <v>0</v>
      </c>
      <c r="M2224" s="107">
        <v>0</v>
      </c>
      <c r="N2224" s="107">
        <v>0</v>
      </c>
      <c r="O2224" s="107">
        <v>0</v>
      </c>
      <c r="P2224" s="107">
        <v>0</v>
      </c>
      <c r="Q2224" s="107">
        <v>0</v>
      </c>
      <c r="R2224" s="107">
        <v>0</v>
      </c>
    </row>
    <row r="2225" spans="1:18" x14ac:dyDescent="0.25">
      <c r="A2225" s="2" t="s">
        <v>78</v>
      </c>
      <c r="B2225" s="2">
        <v>2018</v>
      </c>
      <c r="C2225" s="2" t="s">
        <v>77</v>
      </c>
      <c r="D2225" s="106">
        <v>245000000</v>
      </c>
      <c r="E2225" s="1">
        <v>245000000</v>
      </c>
      <c r="F2225" s="107">
        <v>245000000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07">
        <v>0</v>
      </c>
      <c r="N2225" s="107">
        <v>0</v>
      </c>
      <c r="O2225" s="107">
        <v>0</v>
      </c>
      <c r="P2225" s="107">
        <v>0</v>
      </c>
      <c r="Q2225" s="107">
        <v>0</v>
      </c>
      <c r="R2225" s="107">
        <v>245000000</v>
      </c>
    </row>
    <row r="2226" spans="1:18" x14ac:dyDescent="0.25">
      <c r="A2226" s="2" t="s">
        <v>76</v>
      </c>
      <c r="B2226" s="2">
        <v>2018</v>
      </c>
      <c r="C2226" s="2" t="s">
        <v>75</v>
      </c>
      <c r="D2226" s="106">
        <v>21800000</v>
      </c>
      <c r="E2226" s="1">
        <v>21800000</v>
      </c>
      <c r="F2226" s="107">
        <v>21800000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07">
        <v>0</v>
      </c>
      <c r="N2226" s="107">
        <v>0</v>
      </c>
      <c r="O2226" s="107">
        <v>0</v>
      </c>
      <c r="P2226" s="107">
        <v>0</v>
      </c>
      <c r="Q2226" s="107">
        <v>0</v>
      </c>
      <c r="R2226" s="107">
        <v>21800000</v>
      </c>
    </row>
    <row r="2227" spans="1:18" x14ac:dyDescent="0.25">
      <c r="A2227" s="2" t="s">
        <v>74</v>
      </c>
      <c r="B2227" s="2">
        <v>2018</v>
      </c>
      <c r="C2227" s="2" t="s">
        <v>73</v>
      </c>
      <c r="D2227" s="106">
        <v>33000000</v>
      </c>
      <c r="E2227" s="1">
        <v>33000100</v>
      </c>
      <c r="F2227" s="107">
        <v>33000100</v>
      </c>
      <c r="G2227" s="1">
        <v>0</v>
      </c>
      <c r="H2227" s="1">
        <v>33000000</v>
      </c>
      <c r="I2227" s="1">
        <v>0</v>
      </c>
      <c r="J2227" s="1">
        <v>0</v>
      </c>
      <c r="K2227" s="1">
        <v>0</v>
      </c>
      <c r="L2227" s="1">
        <v>0</v>
      </c>
      <c r="M2227" s="107">
        <v>0</v>
      </c>
      <c r="N2227" s="107">
        <v>0</v>
      </c>
      <c r="O2227" s="107">
        <v>0</v>
      </c>
      <c r="P2227" s="107">
        <v>0</v>
      </c>
      <c r="Q2227" s="107">
        <v>0</v>
      </c>
      <c r="R2227" s="107">
        <v>0</v>
      </c>
    </row>
    <row r="2228" spans="1:18" x14ac:dyDescent="0.25">
      <c r="A2228" s="2" t="s">
        <v>72</v>
      </c>
      <c r="B2228" s="2">
        <v>2018</v>
      </c>
      <c r="C2228" s="2" t="s">
        <v>71</v>
      </c>
      <c r="D2228" s="106">
        <v>28000000</v>
      </c>
      <c r="E2228" s="1">
        <v>28000000</v>
      </c>
      <c r="F2228" s="107">
        <v>28000000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07">
        <v>0</v>
      </c>
      <c r="N2228" s="107">
        <v>0</v>
      </c>
      <c r="O2228" s="107">
        <v>0</v>
      </c>
      <c r="P2228" s="107">
        <v>0</v>
      </c>
      <c r="Q2228" s="107">
        <v>0</v>
      </c>
      <c r="R2228" s="107">
        <v>0</v>
      </c>
    </row>
    <row r="2229" spans="1:18" x14ac:dyDescent="0.25">
      <c r="A2229" s="2" t="s">
        <v>70</v>
      </c>
      <c r="B2229" s="2">
        <v>2018</v>
      </c>
      <c r="C2229" s="2" t="s">
        <v>69</v>
      </c>
      <c r="D2229" s="106">
        <v>10900000</v>
      </c>
      <c r="E2229" s="1">
        <v>10900000</v>
      </c>
      <c r="F2229" s="107">
        <v>10900000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07">
        <v>0</v>
      </c>
      <c r="N2229" s="107">
        <v>0</v>
      </c>
      <c r="O2229" s="107">
        <v>0</v>
      </c>
      <c r="P2229" s="107">
        <v>0</v>
      </c>
      <c r="Q2229" s="107">
        <v>0</v>
      </c>
      <c r="R2229" s="107">
        <v>0</v>
      </c>
    </row>
    <row r="2230" spans="1:18" x14ac:dyDescent="0.25">
      <c r="A2230" s="2" t="s">
        <v>68</v>
      </c>
      <c r="B2230" s="2">
        <v>2018</v>
      </c>
      <c r="C2230" s="2" t="s">
        <v>67</v>
      </c>
      <c r="D2230" s="106">
        <v>811200000</v>
      </c>
      <c r="E2230" s="1">
        <v>811200000</v>
      </c>
      <c r="F2230" s="107">
        <v>811200000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07">
        <v>0</v>
      </c>
      <c r="N2230" s="107">
        <v>0</v>
      </c>
      <c r="O2230" s="107">
        <v>0</v>
      </c>
      <c r="P2230" s="107">
        <v>0</v>
      </c>
      <c r="Q2230" s="107">
        <v>0</v>
      </c>
      <c r="R2230" s="107">
        <v>0</v>
      </c>
    </row>
    <row r="2231" spans="1:18" x14ac:dyDescent="0.25">
      <c r="A2231" s="2" t="s">
        <v>66</v>
      </c>
      <c r="B2231" s="2">
        <v>2018</v>
      </c>
      <c r="C2231" s="2" t="s">
        <v>65</v>
      </c>
      <c r="D2231" s="106">
        <v>104300000</v>
      </c>
      <c r="E2231" s="1">
        <v>104300000</v>
      </c>
      <c r="F2231" s="107">
        <v>104300000</v>
      </c>
      <c r="G2231" s="1">
        <v>0</v>
      </c>
      <c r="H2231" s="1">
        <v>27658333.34</v>
      </c>
      <c r="I2231" s="1">
        <v>8691666.6699999999</v>
      </c>
      <c r="J2231" s="1">
        <v>8691666.6699999999</v>
      </c>
      <c r="K2231" s="1">
        <v>8691666.6699999999</v>
      </c>
      <c r="L2231" s="1">
        <v>8691666.6699999999</v>
      </c>
      <c r="M2231" s="107">
        <v>8691666.6699999999</v>
      </c>
      <c r="N2231" s="107">
        <v>8691666.6699999999</v>
      </c>
      <c r="O2231" s="107">
        <v>8691666.6699999999</v>
      </c>
      <c r="P2231" s="107">
        <v>26075000.010000002</v>
      </c>
      <c r="Q2231" s="107">
        <v>0</v>
      </c>
      <c r="R2231" s="107">
        <v>0</v>
      </c>
    </row>
    <row r="2232" spans="1:18" x14ac:dyDescent="0.25">
      <c r="A2232" s="2" t="s">
        <v>64</v>
      </c>
      <c r="B2232" s="2">
        <v>2018</v>
      </c>
      <c r="C2232" s="2" t="s">
        <v>63</v>
      </c>
      <c r="D2232" s="106">
        <v>963000000</v>
      </c>
      <c r="E2232" s="1">
        <v>963000000</v>
      </c>
      <c r="F2232" s="107">
        <v>963000000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07">
        <v>0</v>
      </c>
      <c r="N2232" s="107">
        <v>0</v>
      </c>
      <c r="O2232" s="107">
        <v>0</v>
      </c>
      <c r="P2232" s="107">
        <v>0</v>
      </c>
      <c r="Q2232" s="107">
        <v>0</v>
      </c>
      <c r="R2232" s="107">
        <v>963000000</v>
      </c>
    </row>
    <row r="2233" spans="1:18" x14ac:dyDescent="0.25">
      <c r="A2233" s="2" t="s">
        <v>62</v>
      </c>
      <c r="B2233" s="2">
        <v>2018</v>
      </c>
      <c r="C2233" s="2" t="s">
        <v>61</v>
      </c>
      <c r="D2233" s="106">
        <v>19400000</v>
      </c>
      <c r="E2233" s="1">
        <v>19400000</v>
      </c>
      <c r="F2233" s="107">
        <v>19400000</v>
      </c>
      <c r="G2233" s="1">
        <v>0</v>
      </c>
      <c r="H2233" s="1">
        <v>19400000</v>
      </c>
      <c r="I2233" s="1">
        <v>0</v>
      </c>
      <c r="J2233" s="1">
        <v>0</v>
      </c>
      <c r="K2233" s="1">
        <v>0</v>
      </c>
      <c r="L2233" s="1">
        <v>0</v>
      </c>
      <c r="M2233" s="107">
        <v>0</v>
      </c>
      <c r="N2233" s="107">
        <v>0</v>
      </c>
      <c r="O2233" s="107">
        <v>0</v>
      </c>
      <c r="P2233" s="107">
        <v>0</v>
      </c>
      <c r="Q2233" s="107">
        <v>0</v>
      </c>
      <c r="R2233" s="107">
        <v>0</v>
      </c>
    </row>
    <row r="2234" spans="1:18" x14ac:dyDescent="0.25">
      <c r="A2234" s="2" t="s">
        <v>60</v>
      </c>
      <c r="B2234" s="2">
        <v>2018</v>
      </c>
      <c r="C2234" s="2" t="s">
        <v>59</v>
      </c>
      <c r="D2234" s="106">
        <v>20600000</v>
      </c>
      <c r="E2234" s="1">
        <v>20600000</v>
      </c>
      <c r="F2234" s="107">
        <v>20600000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07">
        <v>20600000</v>
      </c>
      <c r="N2234" s="107">
        <v>0</v>
      </c>
      <c r="O2234" s="107">
        <v>0</v>
      </c>
      <c r="P2234" s="107">
        <v>0</v>
      </c>
      <c r="Q2234" s="107">
        <v>0</v>
      </c>
      <c r="R2234" s="107">
        <v>0</v>
      </c>
    </row>
    <row r="2235" spans="1:18" x14ac:dyDescent="0.25">
      <c r="A2235" s="2" t="s">
        <v>57</v>
      </c>
      <c r="B2235" s="2">
        <v>2018</v>
      </c>
      <c r="C2235" s="2" t="s">
        <v>56</v>
      </c>
      <c r="D2235" s="106">
        <v>34535400</v>
      </c>
      <c r="E2235" s="1">
        <v>62906377</v>
      </c>
      <c r="F2235" s="107">
        <v>62906377</v>
      </c>
      <c r="G2235" s="1">
        <v>0</v>
      </c>
      <c r="H2235" s="1">
        <v>0</v>
      </c>
      <c r="I2235" s="1">
        <v>0</v>
      </c>
      <c r="J2235" s="1">
        <v>33999000</v>
      </c>
      <c r="K2235" s="1">
        <v>0</v>
      </c>
      <c r="L2235" s="1">
        <v>0</v>
      </c>
      <c r="M2235" s="107">
        <v>0</v>
      </c>
      <c r="N2235" s="107">
        <v>0</v>
      </c>
      <c r="O2235" s="107">
        <v>11360000</v>
      </c>
      <c r="P2235" s="107">
        <v>0</v>
      </c>
      <c r="Q2235" s="107">
        <v>17022777</v>
      </c>
      <c r="R2235" s="107">
        <v>0</v>
      </c>
    </row>
    <row r="2236" spans="1:18" x14ac:dyDescent="0.25">
      <c r="A2236" t="s">
        <v>1253</v>
      </c>
      <c r="B2236">
        <v>2018</v>
      </c>
      <c r="C2236" t="s">
        <v>1254</v>
      </c>
      <c r="D2236" s="154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29939000000</v>
      </c>
    </row>
    <row r="2237" spans="1:18" x14ac:dyDescent="0.25">
      <c r="A2237" s="2" t="s">
        <v>366</v>
      </c>
      <c r="B2237" s="2">
        <v>2018</v>
      </c>
      <c r="C2237" s="2" t="s">
        <v>384</v>
      </c>
      <c r="D2237" s="106">
        <v>0</v>
      </c>
      <c r="E2237" s="1">
        <v>0</v>
      </c>
      <c r="F2237" s="107">
        <v>0</v>
      </c>
      <c r="G2237" s="1">
        <v>0</v>
      </c>
      <c r="H2237" s="1">
        <v>0</v>
      </c>
      <c r="I2237" s="1">
        <v>0</v>
      </c>
      <c r="J2237" s="1">
        <v>952313093.49000001</v>
      </c>
      <c r="K2237" s="1">
        <v>0</v>
      </c>
      <c r="L2237" s="1">
        <v>0</v>
      </c>
      <c r="M2237" s="107">
        <v>0</v>
      </c>
      <c r="N2237" s="107">
        <v>0</v>
      </c>
      <c r="O2237" s="107">
        <v>0</v>
      </c>
      <c r="P2237" s="107">
        <v>0</v>
      </c>
      <c r="Q2237" s="107">
        <v>0</v>
      </c>
      <c r="R2237" s="107">
        <v>0</v>
      </c>
    </row>
    <row r="2238" spans="1:18" x14ac:dyDescent="0.25">
      <c r="A2238" s="2" t="s">
        <v>54</v>
      </c>
      <c r="B2238" s="2">
        <v>2018</v>
      </c>
      <c r="C2238" s="2" t="s">
        <v>53</v>
      </c>
      <c r="D2238" s="106">
        <v>517854828</v>
      </c>
      <c r="E2238" s="1">
        <v>517854828</v>
      </c>
      <c r="F2238" s="107">
        <v>517854828</v>
      </c>
      <c r="G2238" s="1">
        <v>0</v>
      </c>
      <c r="H2238" s="1">
        <v>0</v>
      </c>
      <c r="I2238" s="1">
        <v>517855128</v>
      </c>
      <c r="J2238" s="1">
        <v>0</v>
      </c>
      <c r="K2238" s="1">
        <v>0</v>
      </c>
      <c r="L2238" s="1">
        <v>0</v>
      </c>
      <c r="M2238" s="107">
        <v>0</v>
      </c>
      <c r="N2238" s="107">
        <v>0</v>
      </c>
      <c r="O2238" s="107">
        <v>0</v>
      </c>
      <c r="P2238" s="107">
        <v>0</v>
      </c>
      <c r="Q2238" s="107">
        <v>0</v>
      </c>
      <c r="R2238" s="107">
        <v>0</v>
      </c>
    </row>
    <row r="2239" spans="1:18" x14ac:dyDescent="0.25">
      <c r="A2239" s="2" t="s">
        <v>52</v>
      </c>
      <c r="B2239" s="2">
        <v>2018</v>
      </c>
      <c r="C2239" s="2" t="s">
        <v>51</v>
      </c>
      <c r="D2239" s="106">
        <v>2500000000</v>
      </c>
      <c r="E2239" s="1">
        <v>197643855</v>
      </c>
      <c r="F2239" s="107">
        <v>197643855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07">
        <v>0</v>
      </c>
      <c r="N2239" s="107">
        <v>0</v>
      </c>
      <c r="O2239" s="107">
        <v>0</v>
      </c>
      <c r="P2239" s="107">
        <v>0</v>
      </c>
      <c r="Q2239" s="107">
        <v>0</v>
      </c>
      <c r="R2239" s="107">
        <v>0</v>
      </c>
    </row>
    <row r="2240" spans="1:18" x14ac:dyDescent="0.25">
      <c r="A2240" s="2" t="s">
        <v>49</v>
      </c>
      <c r="B2240" s="2">
        <v>2018</v>
      </c>
      <c r="C2240" s="2" t="s">
        <v>48</v>
      </c>
      <c r="D2240" s="106">
        <v>1553968820519</v>
      </c>
      <c r="E2240" s="1">
        <v>1423968820519</v>
      </c>
      <c r="F2240" s="107">
        <v>1423968820519</v>
      </c>
      <c r="G2240" s="1">
        <v>51142837857.089996</v>
      </c>
      <c r="H2240" s="1">
        <v>10518510435.18</v>
      </c>
      <c r="I2240" s="1">
        <v>12347471813.57</v>
      </c>
      <c r="J2240" s="1">
        <v>19764393802.799999</v>
      </c>
      <c r="K2240" s="1">
        <v>140049346431.72</v>
      </c>
      <c r="L2240" s="1">
        <v>46850727085.029999</v>
      </c>
      <c r="M2240" s="107">
        <v>76010080371.490005</v>
      </c>
      <c r="N2240" s="107">
        <v>66722293249.029999</v>
      </c>
      <c r="O2240" s="107">
        <v>68480897841.440002</v>
      </c>
      <c r="P2240" s="107">
        <v>37755161746.43</v>
      </c>
      <c r="Q2240" s="107">
        <v>126759363329.58</v>
      </c>
      <c r="R2240" s="107">
        <v>461540394941.08002</v>
      </c>
    </row>
    <row r="2241" spans="1:18" x14ac:dyDescent="0.25">
      <c r="A2241" s="2" t="s">
        <v>47</v>
      </c>
      <c r="B2241" s="2">
        <v>2018</v>
      </c>
      <c r="C2241" s="2" t="s">
        <v>46</v>
      </c>
      <c r="D2241" s="106">
        <v>21275420916</v>
      </c>
      <c r="E2241" s="1">
        <v>20313204870</v>
      </c>
      <c r="F2241" s="107">
        <v>20313204870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07">
        <v>0</v>
      </c>
      <c r="N2241" s="107">
        <v>0</v>
      </c>
      <c r="O2241" s="107">
        <v>0</v>
      </c>
      <c r="P2241" s="107">
        <v>0</v>
      </c>
      <c r="Q2241" s="107">
        <v>0</v>
      </c>
      <c r="R2241" s="107">
        <v>0</v>
      </c>
    </row>
    <row r="2242" spans="1:18" x14ac:dyDescent="0.25">
      <c r="A2242" s="2" t="s">
        <v>45</v>
      </c>
      <c r="B2242" s="2">
        <v>2018</v>
      </c>
      <c r="C2242" s="2" t="s">
        <v>44</v>
      </c>
      <c r="D2242" s="106">
        <v>75000000000</v>
      </c>
      <c r="E2242" s="1">
        <v>0</v>
      </c>
      <c r="F2242" s="107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07">
        <v>0</v>
      </c>
      <c r="N2242" s="107">
        <v>0</v>
      </c>
      <c r="O2242" s="107">
        <v>0</v>
      </c>
      <c r="P2242" s="107">
        <v>0</v>
      </c>
      <c r="Q2242" s="107">
        <v>0</v>
      </c>
      <c r="R2242" s="107">
        <v>0</v>
      </c>
    </row>
    <row r="2243" spans="1:18" x14ac:dyDescent="0.25">
      <c r="A2243" s="2" t="s">
        <v>43</v>
      </c>
      <c r="B2243" s="2">
        <v>2018</v>
      </c>
      <c r="C2243" s="2" t="s">
        <v>42</v>
      </c>
      <c r="D2243" s="106">
        <v>2470089423214</v>
      </c>
      <c r="E2243" s="1">
        <v>3562739974018</v>
      </c>
      <c r="F2243" s="107">
        <v>3562739974018</v>
      </c>
      <c r="G2243" s="1">
        <v>271468845511.60001</v>
      </c>
      <c r="H2243" s="1">
        <v>117915851430.92999</v>
      </c>
      <c r="I2243" s="1">
        <v>596685263712.04004</v>
      </c>
      <c r="J2243" s="1">
        <v>103741069525.49001</v>
      </c>
      <c r="K2243" s="1">
        <v>251883993291.62</v>
      </c>
      <c r="L2243" s="1">
        <v>132185981890.06</v>
      </c>
      <c r="M2243" s="107">
        <v>196657641669.39999</v>
      </c>
      <c r="N2243" s="107">
        <v>155300623602.45001</v>
      </c>
      <c r="O2243" s="107">
        <v>155890848123.69</v>
      </c>
      <c r="P2243" s="107">
        <v>142213466229.01001</v>
      </c>
      <c r="Q2243" s="107">
        <v>216373810277.14001</v>
      </c>
      <c r="R2243" s="107">
        <v>556001678878.31006</v>
      </c>
    </row>
    <row r="2244" spans="1:18" x14ac:dyDescent="0.25">
      <c r="A2244" s="2" t="s">
        <v>41</v>
      </c>
      <c r="B2244" s="2">
        <v>2018</v>
      </c>
      <c r="C2244" s="2" t="s">
        <v>40</v>
      </c>
      <c r="D2244" s="106">
        <v>0</v>
      </c>
      <c r="E2244" s="1">
        <v>1795787361.1300001</v>
      </c>
      <c r="F2244" s="155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07">
        <v>0</v>
      </c>
      <c r="N2244" s="107">
        <v>0</v>
      </c>
      <c r="O2244" s="107">
        <v>0</v>
      </c>
      <c r="P2244" s="107">
        <v>0</v>
      </c>
      <c r="Q2244" s="107">
        <v>0</v>
      </c>
      <c r="R2244" s="107">
        <v>0</v>
      </c>
    </row>
    <row r="2245" spans="1:18" x14ac:dyDescent="0.25">
      <c r="A2245" s="2" t="s">
        <v>39</v>
      </c>
      <c r="B2245" s="2">
        <v>2018</v>
      </c>
      <c r="C2245" s="2" t="s">
        <v>38</v>
      </c>
      <c r="D2245" s="106">
        <v>0</v>
      </c>
      <c r="E2245" s="1">
        <v>22586301326.540001</v>
      </c>
      <c r="F2245" s="155">
        <v>12672671162.41</v>
      </c>
      <c r="G2245" s="1">
        <v>0</v>
      </c>
      <c r="H2245" s="1">
        <v>0</v>
      </c>
      <c r="I2245" s="1">
        <v>710708164.84000003</v>
      </c>
      <c r="J2245" s="1">
        <v>715176884.75999999</v>
      </c>
      <c r="K2245" s="1">
        <v>796355342.10000002</v>
      </c>
      <c r="L2245" s="1">
        <v>1078300362.1900001</v>
      </c>
      <c r="M2245" s="107">
        <v>1086244704.29</v>
      </c>
      <c r="N2245" s="107">
        <v>1625055526.0799999</v>
      </c>
      <c r="O2245" s="107">
        <v>2268879348.4000001</v>
      </c>
      <c r="P2245" s="107">
        <v>2190806835.3099999</v>
      </c>
      <c r="Q2245" s="107">
        <v>2201143994.4400001</v>
      </c>
      <c r="R2245" s="107">
        <v>0</v>
      </c>
    </row>
    <row r="2246" spans="1:18" x14ac:dyDescent="0.25">
      <c r="A2246" s="2" t="s">
        <v>37</v>
      </c>
      <c r="B2246" s="2">
        <v>2018</v>
      </c>
      <c r="C2246" s="2" t="s">
        <v>36</v>
      </c>
      <c r="D2246" s="106">
        <v>0</v>
      </c>
      <c r="E2246" s="1">
        <v>206128544.88</v>
      </c>
      <c r="F2246" s="155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07">
        <v>0</v>
      </c>
      <c r="N2246" s="107">
        <v>0</v>
      </c>
      <c r="O2246" s="107">
        <v>0</v>
      </c>
      <c r="P2246" s="107">
        <v>0</v>
      </c>
      <c r="Q2246" s="107">
        <v>0</v>
      </c>
      <c r="R2246" s="107">
        <v>0</v>
      </c>
    </row>
    <row r="2247" spans="1:18" x14ac:dyDescent="0.25">
      <c r="A2247" s="2" t="s">
        <v>35</v>
      </c>
      <c r="B2247" s="2">
        <v>2018</v>
      </c>
      <c r="C2247" s="2" t="s">
        <v>34</v>
      </c>
      <c r="D2247" s="106">
        <v>0</v>
      </c>
      <c r="E2247" s="1">
        <v>5579019748.1999998</v>
      </c>
      <c r="F2247" s="155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07">
        <v>0</v>
      </c>
      <c r="N2247" s="107">
        <v>0</v>
      </c>
      <c r="O2247" s="107">
        <v>0</v>
      </c>
      <c r="P2247" s="107">
        <v>0</v>
      </c>
      <c r="Q2247" s="107">
        <v>0</v>
      </c>
      <c r="R2247" s="107">
        <v>0</v>
      </c>
    </row>
    <row r="2248" spans="1:18" x14ac:dyDescent="0.25">
      <c r="A2248" s="2" t="s">
        <v>33</v>
      </c>
      <c r="B2248" s="2">
        <v>2018</v>
      </c>
      <c r="C2248" s="2" t="s">
        <v>32</v>
      </c>
      <c r="D2248" s="106">
        <v>0</v>
      </c>
      <c r="E2248" s="1">
        <v>2403900294.2800002</v>
      </c>
      <c r="F2248" s="155">
        <v>764212261.35000002</v>
      </c>
      <c r="G2248" s="1">
        <v>43752109</v>
      </c>
      <c r="H2248" s="1">
        <v>720460152.35000002</v>
      </c>
      <c r="I2248" s="1">
        <v>0</v>
      </c>
      <c r="J2248" s="1">
        <v>0</v>
      </c>
      <c r="K2248" s="1">
        <v>0</v>
      </c>
      <c r="L2248" s="1">
        <v>0</v>
      </c>
      <c r="M2248" s="107">
        <v>0</v>
      </c>
      <c r="N2248" s="107">
        <v>0</v>
      </c>
      <c r="O2248" s="107">
        <v>0</v>
      </c>
      <c r="P2248" s="107">
        <v>0</v>
      </c>
      <c r="Q2248" s="107">
        <v>0</v>
      </c>
      <c r="R2248" s="107">
        <v>0</v>
      </c>
    </row>
    <row r="2249" spans="1:18" x14ac:dyDescent="0.25">
      <c r="A2249" s="2" t="s">
        <v>31</v>
      </c>
      <c r="B2249" s="2">
        <v>2018</v>
      </c>
      <c r="C2249" s="2" t="s">
        <v>30</v>
      </c>
      <c r="D2249" s="106">
        <v>0</v>
      </c>
      <c r="E2249" s="1">
        <v>2935.87</v>
      </c>
      <c r="F2249" s="155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07">
        <v>0</v>
      </c>
      <c r="N2249" s="107">
        <v>0</v>
      </c>
      <c r="O2249" s="107">
        <v>0</v>
      </c>
      <c r="P2249" s="107">
        <v>0</v>
      </c>
      <c r="Q2249" s="107">
        <v>0</v>
      </c>
      <c r="R2249" s="107">
        <v>0</v>
      </c>
    </row>
    <row r="2250" spans="1:18" x14ac:dyDescent="0.25">
      <c r="A2250" s="2" t="s">
        <v>29</v>
      </c>
      <c r="B2250" s="2">
        <v>2018</v>
      </c>
      <c r="C2250" s="2" t="s">
        <v>28</v>
      </c>
      <c r="D2250" s="106">
        <v>6282097310</v>
      </c>
      <c r="E2250" s="1">
        <v>6288730048.8299999</v>
      </c>
      <c r="F2250" s="155">
        <v>6195263531.4099998</v>
      </c>
      <c r="G2250" s="1">
        <v>0</v>
      </c>
      <c r="H2250" s="1">
        <v>0</v>
      </c>
      <c r="I2250" s="1">
        <v>0</v>
      </c>
      <c r="J2250" s="1">
        <v>0</v>
      </c>
      <c r="K2250" s="1">
        <v>6195263531.4099998</v>
      </c>
      <c r="L2250" s="1">
        <v>0</v>
      </c>
      <c r="M2250" s="107">
        <v>0</v>
      </c>
      <c r="N2250" s="107">
        <v>0</v>
      </c>
      <c r="O2250" s="107">
        <v>0</v>
      </c>
      <c r="P2250" s="107">
        <v>0</v>
      </c>
      <c r="Q2250" s="107">
        <v>0</v>
      </c>
      <c r="R2250" s="107">
        <v>0</v>
      </c>
    </row>
    <row r="2251" spans="1:18" x14ac:dyDescent="0.25">
      <c r="A2251" s="2" t="s">
        <v>27</v>
      </c>
      <c r="B2251" s="2">
        <v>2018</v>
      </c>
      <c r="C2251" s="2" t="s">
        <v>26</v>
      </c>
      <c r="D2251" s="106">
        <v>0</v>
      </c>
      <c r="E2251" s="1">
        <v>14720435269.110001</v>
      </c>
      <c r="F2251" s="155">
        <v>1355374494.9000001</v>
      </c>
      <c r="G2251" s="1">
        <v>15761761.5</v>
      </c>
      <c r="H2251" s="1">
        <v>223073713.65000001</v>
      </c>
      <c r="I2251" s="1">
        <v>157646107.47</v>
      </c>
      <c r="J2251" s="1">
        <v>68905595.540000007</v>
      </c>
      <c r="K2251" s="1">
        <v>188885517.94</v>
      </c>
      <c r="L2251" s="1">
        <v>149279603.91999999</v>
      </c>
      <c r="M2251" s="107">
        <v>52822180.549999997</v>
      </c>
      <c r="N2251" s="107">
        <v>79008727.459999993</v>
      </c>
      <c r="O2251" s="107">
        <v>98371769.849999994</v>
      </c>
      <c r="P2251" s="107">
        <v>46960454.109999999</v>
      </c>
      <c r="Q2251" s="107">
        <v>130928246.25</v>
      </c>
      <c r="R2251" s="107">
        <v>143730816.66</v>
      </c>
    </row>
    <row r="2252" spans="1:18" x14ac:dyDescent="0.25">
      <c r="A2252" s="2" t="s">
        <v>25</v>
      </c>
      <c r="B2252" s="2">
        <v>2018</v>
      </c>
      <c r="C2252" s="2" t="s">
        <v>24</v>
      </c>
      <c r="D2252" s="106">
        <v>0</v>
      </c>
      <c r="E2252" s="1">
        <v>193815639600</v>
      </c>
      <c r="F2252" s="155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07">
        <v>0</v>
      </c>
      <c r="N2252" s="107">
        <v>0</v>
      </c>
      <c r="O2252" s="107">
        <v>0</v>
      </c>
      <c r="P2252" s="107">
        <v>0</v>
      </c>
      <c r="Q2252" s="107">
        <v>0</v>
      </c>
      <c r="R2252" s="107">
        <v>0</v>
      </c>
    </row>
    <row r="2253" spans="1:18" x14ac:dyDescent="0.25">
      <c r="A2253" s="2" t="s">
        <v>23</v>
      </c>
      <c r="B2253" s="2">
        <v>2018</v>
      </c>
      <c r="C2253" s="2" t="s">
        <v>22</v>
      </c>
      <c r="D2253" s="106">
        <v>0</v>
      </c>
      <c r="E2253" s="1">
        <v>27802000000</v>
      </c>
      <c r="F2253" s="155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07">
        <v>0</v>
      </c>
      <c r="N2253" s="107">
        <v>0</v>
      </c>
      <c r="O2253" s="107">
        <v>0</v>
      </c>
      <c r="P2253" s="107">
        <v>0</v>
      </c>
      <c r="Q2253" s="107">
        <v>0</v>
      </c>
      <c r="R2253" s="107">
        <v>0</v>
      </c>
    </row>
    <row r="2254" spans="1:18" x14ac:dyDescent="0.25">
      <c r="A2254" s="2" t="s">
        <v>21</v>
      </c>
      <c r="B2254" s="2">
        <v>2018</v>
      </c>
      <c r="C2254" s="2" t="s">
        <v>18</v>
      </c>
      <c r="D2254" s="106">
        <v>57645000000</v>
      </c>
      <c r="E2254" s="1">
        <v>57645000000</v>
      </c>
      <c r="F2254" s="156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07">
        <v>0</v>
      </c>
      <c r="N2254" s="107">
        <v>0</v>
      </c>
      <c r="O2254" s="107">
        <v>0</v>
      </c>
      <c r="P2254" s="107">
        <v>0</v>
      </c>
      <c r="Q2254" s="107">
        <v>0</v>
      </c>
      <c r="R2254" s="107">
        <v>0</v>
      </c>
    </row>
    <row r="2255" spans="1:18" x14ac:dyDescent="0.25">
      <c r="A2255" s="2" t="s">
        <v>1235</v>
      </c>
      <c r="B2255" s="2">
        <v>2018</v>
      </c>
      <c r="C2255" s="2" t="s">
        <v>1236</v>
      </c>
      <c r="D2255" s="106">
        <v>0</v>
      </c>
      <c r="E2255" s="1">
        <v>11386400000</v>
      </c>
      <c r="F2255" s="155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07">
        <v>0</v>
      </c>
      <c r="N2255" s="107">
        <v>0</v>
      </c>
      <c r="O2255" s="107">
        <v>0</v>
      </c>
      <c r="P2255" s="107">
        <v>0</v>
      </c>
      <c r="Q2255" s="107">
        <v>0</v>
      </c>
      <c r="R2255" s="107">
        <v>0</v>
      </c>
    </row>
    <row r="2256" spans="1:18" x14ac:dyDescent="0.25">
      <c r="A2256" s="2" t="s">
        <v>1241</v>
      </c>
      <c r="B2256" s="2">
        <v>2018</v>
      </c>
      <c r="C2256" s="2" t="s">
        <v>1242</v>
      </c>
      <c r="D2256" s="106">
        <v>0</v>
      </c>
      <c r="E2256" s="1">
        <v>83448696960</v>
      </c>
      <c r="F2256" s="155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07">
        <v>0</v>
      </c>
      <c r="N2256" s="107">
        <v>0</v>
      </c>
      <c r="O2256" s="107">
        <v>0</v>
      </c>
      <c r="P2256" s="107">
        <v>0</v>
      </c>
      <c r="Q2256" s="107">
        <v>0</v>
      </c>
      <c r="R2256" s="107">
        <v>0</v>
      </c>
    </row>
    <row r="2257" spans="1:18" x14ac:dyDescent="0.25">
      <c r="A2257" s="2" t="s">
        <v>17</v>
      </c>
      <c r="B2257" s="2">
        <v>2018</v>
      </c>
      <c r="C2257" s="2" t="s">
        <v>16</v>
      </c>
      <c r="D2257" s="106">
        <v>0</v>
      </c>
      <c r="E2257" s="1">
        <v>175083300000</v>
      </c>
      <c r="F2257" s="155">
        <v>17967900000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07">
        <v>0</v>
      </c>
      <c r="N2257" s="107">
        <v>0</v>
      </c>
      <c r="O2257" s="107">
        <v>0</v>
      </c>
      <c r="P2257" s="107">
        <v>0</v>
      </c>
      <c r="Q2257" s="107">
        <v>0</v>
      </c>
      <c r="R2257" s="107">
        <v>17967900000</v>
      </c>
    </row>
    <row r="2258" spans="1:18" x14ac:dyDescent="0.25">
      <c r="A2258" s="2" t="s">
        <v>15</v>
      </c>
      <c r="B2258" s="2">
        <v>2018</v>
      </c>
      <c r="C2258" s="2" t="s">
        <v>14</v>
      </c>
      <c r="D2258" s="106">
        <v>0</v>
      </c>
      <c r="E2258" s="1">
        <v>11577000000</v>
      </c>
      <c r="F2258" s="155">
        <v>3200000000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07">
        <v>0</v>
      </c>
      <c r="N2258" s="107">
        <v>0</v>
      </c>
      <c r="O2258" s="107">
        <v>0</v>
      </c>
      <c r="P2258" s="107">
        <v>0</v>
      </c>
      <c r="Q2258" s="107">
        <v>0</v>
      </c>
      <c r="R2258" s="107">
        <v>3200000000</v>
      </c>
    </row>
    <row r="2259" spans="1:18" x14ac:dyDescent="0.25">
      <c r="A2259" s="2" t="s">
        <v>13</v>
      </c>
      <c r="B2259" s="2">
        <v>2018</v>
      </c>
      <c r="C2259" s="2" t="s">
        <v>11</v>
      </c>
      <c r="D2259" s="106">
        <v>5400888669</v>
      </c>
      <c r="E2259" s="1">
        <v>32916844104.580002</v>
      </c>
      <c r="F2259" s="155">
        <v>17605194500</v>
      </c>
      <c r="G2259" s="1">
        <v>0</v>
      </c>
      <c r="H2259" s="1">
        <v>3863767500</v>
      </c>
      <c r="I2259" s="1">
        <v>7901818000</v>
      </c>
      <c r="J2259" s="1">
        <v>0</v>
      </c>
      <c r="K2259" s="1">
        <v>2559780000</v>
      </c>
      <c r="L2259" s="1">
        <v>0</v>
      </c>
      <c r="M2259" s="107">
        <v>0</v>
      </c>
      <c r="N2259" s="107">
        <v>1997275000</v>
      </c>
      <c r="O2259" s="107">
        <v>0</v>
      </c>
      <c r="P2259" s="107">
        <v>1282554000</v>
      </c>
      <c r="Q2259" s="107">
        <v>0</v>
      </c>
      <c r="R2259" s="107">
        <v>0</v>
      </c>
    </row>
    <row r="2260" spans="1:18" x14ac:dyDescent="0.25">
      <c r="A2260" s="2" t="s">
        <v>10</v>
      </c>
      <c r="B2260" s="2">
        <v>2018</v>
      </c>
      <c r="C2260" s="2" t="s">
        <v>9</v>
      </c>
      <c r="D2260" s="106">
        <v>0</v>
      </c>
      <c r="E2260" s="1">
        <v>8452454171.6199999</v>
      </c>
      <c r="F2260" s="155">
        <v>6061852797.6599998</v>
      </c>
      <c r="G2260" s="1">
        <v>0</v>
      </c>
      <c r="H2260" s="1">
        <v>0</v>
      </c>
      <c r="I2260" s="1">
        <v>563982517.26999998</v>
      </c>
      <c r="J2260" s="1">
        <v>786567386.75</v>
      </c>
      <c r="K2260" s="1">
        <v>0</v>
      </c>
      <c r="L2260" s="1">
        <v>970157034.61000001</v>
      </c>
      <c r="M2260" s="107">
        <v>131991659.11</v>
      </c>
      <c r="N2260" s="107">
        <v>422546404.50999999</v>
      </c>
      <c r="O2260" s="107">
        <v>223986427.97999999</v>
      </c>
      <c r="P2260" s="107">
        <v>177761330.16</v>
      </c>
      <c r="Q2260" s="107">
        <v>1134263315.8399999</v>
      </c>
      <c r="R2260" s="107">
        <v>1650596721.4300001</v>
      </c>
    </row>
    <row r="2261" spans="1:18" x14ac:dyDescent="0.25">
      <c r="A2261" s="2" t="s">
        <v>8</v>
      </c>
      <c r="B2261" s="2">
        <v>2018</v>
      </c>
      <c r="C2261" s="2" t="s">
        <v>7</v>
      </c>
      <c r="D2261" s="106">
        <v>0</v>
      </c>
      <c r="E2261" s="1">
        <v>4984809183.25</v>
      </c>
      <c r="F2261" s="155">
        <v>529377425.85000002</v>
      </c>
      <c r="G2261" s="1">
        <v>0</v>
      </c>
      <c r="H2261" s="1">
        <v>448920042.60000002</v>
      </c>
      <c r="I2261" s="1">
        <v>80457383.209999993</v>
      </c>
      <c r="J2261" s="1">
        <v>0</v>
      </c>
      <c r="K2261" s="1">
        <v>0</v>
      </c>
      <c r="L2261" s="1">
        <v>0</v>
      </c>
      <c r="M2261" s="107">
        <v>0</v>
      </c>
      <c r="N2261" s="107">
        <v>0</v>
      </c>
      <c r="O2261" s="107">
        <v>0</v>
      </c>
      <c r="P2261" s="107">
        <v>0</v>
      </c>
      <c r="Q2261" s="107">
        <v>0</v>
      </c>
      <c r="R2261" s="107">
        <v>0.04</v>
      </c>
    </row>
    <row r="2262" spans="1:18" x14ac:dyDescent="0.25">
      <c r="A2262" s="2" t="s">
        <v>6</v>
      </c>
      <c r="B2262" s="2">
        <v>2018</v>
      </c>
      <c r="C2262" s="2" t="s">
        <v>4</v>
      </c>
      <c r="D2262" s="106">
        <v>0</v>
      </c>
      <c r="E2262" s="1">
        <v>7915328277.5200005</v>
      </c>
      <c r="F2262" s="155">
        <v>3791007177.1799998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07">
        <v>0</v>
      </c>
      <c r="N2262" s="107">
        <v>3791007177.1799998</v>
      </c>
      <c r="O2262" s="107">
        <v>0</v>
      </c>
      <c r="P2262" s="107">
        <v>0</v>
      </c>
      <c r="Q2262" s="107">
        <v>0</v>
      </c>
      <c r="R2262" s="107">
        <v>0</v>
      </c>
    </row>
    <row r="2263" spans="1:18" x14ac:dyDescent="0.25">
      <c r="A2263" t="s">
        <v>5</v>
      </c>
      <c r="B2263">
        <v>2018</v>
      </c>
      <c r="C2263" t="s">
        <v>4</v>
      </c>
      <c r="D2263" s="106">
        <v>0</v>
      </c>
      <c r="E2263" s="1">
        <v>158937200000</v>
      </c>
      <c r="F2263" s="157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s="107">
        <v>0</v>
      </c>
      <c r="Q2263" s="107">
        <v>0</v>
      </c>
      <c r="R2263" s="107">
        <v>0</v>
      </c>
    </row>
    <row r="2264" spans="1:18" x14ac:dyDescent="0.25">
      <c r="A2264" t="s">
        <v>3</v>
      </c>
      <c r="B2264">
        <v>2018</v>
      </c>
      <c r="C2264" t="s">
        <v>0</v>
      </c>
      <c r="D2264" s="106">
        <v>0</v>
      </c>
      <c r="E2264" s="54">
        <v>287045976.54000002</v>
      </c>
      <c r="F2264" s="157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 t="s">
        <v>1237</v>
      </c>
      <c r="B2265">
        <v>2018</v>
      </c>
      <c r="C2265" t="s">
        <v>1238</v>
      </c>
      <c r="D2265" s="106">
        <v>0</v>
      </c>
      <c r="E2265" s="54">
        <v>118635653.31</v>
      </c>
      <c r="F2265" s="147">
        <v>118635653.31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118635653.31</v>
      </c>
    </row>
    <row r="2266" spans="1:18" x14ac:dyDescent="0.25">
      <c r="A2266" t="s">
        <v>360</v>
      </c>
      <c r="B2266">
        <v>2019</v>
      </c>
      <c r="C2266" t="s">
        <v>359</v>
      </c>
      <c r="D2266" s="54">
        <v>284200000000</v>
      </c>
      <c r="E2266" s="54">
        <v>284200000000</v>
      </c>
      <c r="F2266" s="54">
        <v>284200000000</v>
      </c>
      <c r="G2266" s="54">
        <v>19331118412.490002</v>
      </c>
      <c r="H2266" s="54">
        <v>19994283796.560001</v>
      </c>
      <c r="I2266" s="54">
        <v>20624719686.060001</v>
      </c>
      <c r="J2266" s="54">
        <v>23754953654.790001</v>
      </c>
      <c r="K2266" s="54">
        <v>20563382286.009998</v>
      </c>
      <c r="L2266" s="54">
        <v>20918220743.560001</v>
      </c>
      <c r="M2266" s="54">
        <v>21997625880.34</v>
      </c>
      <c r="N2266" s="54">
        <v>22064073994.77</v>
      </c>
      <c r="O2266" s="54">
        <v>25013223469.360001</v>
      </c>
      <c r="P2266" s="54">
        <v>25348352589.549999</v>
      </c>
      <c r="Q2266" s="54">
        <v>23774016453.389999</v>
      </c>
      <c r="R2266" s="54">
        <v>23362712901.669998</v>
      </c>
    </row>
    <row r="2267" spans="1:18" x14ac:dyDescent="0.25">
      <c r="A2267" t="s">
        <v>358</v>
      </c>
      <c r="B2267">
        <v>2019</v>
      </c>
      <c r="C2267" t="s">
        <v>357</v>
      </c>
      <c r="D2267" s="54">
        <v>192500000000</v>
      </c>
      <c r="E2267" s="54">
        <v>192500000000</v>
      </c>
      <c r="F2267" s="54">
        <v>192500000000</v>
      </c>
      <c r="G2267" s="54">
        <v>16304738230.129999</v>
      </c>
      <c r="H2267" s="54">
        <v>15201718470.860001</v>
      </c>
      <c r="I2267" s="54">
        <v>16300093807.57</v>
      </c>
      <c r="J2267" s="54">
        <v>19985464135.689999</v>
      </c>
      <c r="K2267" s="54">
        <v>16013384691.799999</v>
      </c>
      <c r="L2267" s="54">
        <v>15920488489.950001</v>
      </c>
      <c r="M2267" s="54">
        <v>16286653592.200001</v>
      </c>
      <c r="N2267" s="54">
        <v>17975885938.099998</v>
      </c>
      <c r="O2267" s="54">
        <v>18835795572.450001</v>
      </c>
      <c r="P2267" s="54">
        <v>21410662274.119999</v>
      </c>
      <c r="Q2267" s="54">
        <v>16427807660.6</v>
      </c>
      <c r="R2267" s="54">
        <v>18939898279.48</v>
      </c>
    </row>
    <row r="2268" spans="1:18" ht="15.75" customHeight="1" x14ac:dyDescent="0.25">
      <c r="A2268" t="s">
        <v>356</v>
      </c>
      <c r="B2268">
        <v>2019</v>
      </c>
      <c r="C2268" t="s">
        <v>355</v>
      </c>
      <c r="D2268" s="54">
        <v>58700000000</v>
      </c>
      <c r="E2268" s="54">
        <v>58700000000</v>
      </c>
      <c r="F2268" s="54">
        <v>58700000000</v>
      </c>
      <c r="G2268" s="54">
        <v>2870843466</v>
      </c>
      <c r="H2268" s="54">
        <v>1151640163.3499999</v>
      </c>
      <c r="I2268" s="54">
        <v>7336721482.3400002</v>
      </c>
      <c r="J2268" s="54">
        <v>3330020085.2399998</v>
      </c>
      <c r="K2268" s="54">
        <v>818778634.23000002</v>
      </c>
      <c r="L2268" s="54">
        <v>4339570435.7200003</v>
      </c>
      <c r="M2268" s="54">
        <v>3896722317.4400001</v>
      </c>
      <c r="N2268" s="54">
        <v>1374588783.1500001</v>
      </c>
      <c r="O2268" s="54">
        <v>5518898186.4700003</v>
      </c>
      <c r="P2268" s="54">
        <v>4185668472.04</v>
      </c>
      <c r="Q2268" s="54">
        <v>2384075292.1799998</v>
      </c>
      <c r="R2268" s="54">
        <v>21855391026.799999</v>
      </c>
    </row>
    <row r="2269" spans="1:18" ht="15.75" customHeight="1" x14ac:dyDescent="0.25">
      <c r="A2269" t="s">
        <v>1270</v>
      </c>
      <c r="B2269">
        <v>2019</v>
      </c>
      <c r="C2269" t="s">
        <v>1271</v>
      </c>
      <c r="D2269" s="54">
        <v>0</v>
      </c>
      <c r="E2269" s="54">
        <v>0</v>
      </c>
      <c r="F2269" s="54">
        <v>0</v>
      </c>
      <c r="G2269" s="54">
        <v>0</v>
      </c>
      <c r="H2269" s="54">
        <v>0</v>
      </c>
      <c r="I2269" s="54">
        <v>0</v>
      </c>
      <c r="J2269" s="54">
        <v>0</v>
      </c>
      <c r="K2269" s="54">
        <v>0</v>
      </c>
      <c r="L2269" s="54">
        <v>0</v>
      </c>
      <c r="M2269" s="54">
        <v>0</v>
      </c>
      <c r="N2269" s="54">
        <v>787612895</v>
      </c>
      <c r="O2269" s="54">
        <v>1010981281</v>
      </c>
      <c r="P2269" s="54">
        <v>818098568</v>
      </c>
      <c r="Q2269" s="54">
        <v>1052563734</v>
      </c>
      <c r="R2269" s="54">
        <v>1185491414</v>
      </c>
    </row>
    <row r="2270" spans="1:18" ht="15.75" customHeight="1" x14ac:dyDescent="0.25">
      <c r="A2270" t="s">
        <v>1272</v>
      </c>
      <c r="B2270">
        <v>2019</v>
      </c>
      <c r="C2270" t="s">
        <v>1273</v>
      </c>
      <c r="D2270" s="54">
        <v>0</v>
      </c>
      <c r="E2270" s="54">
        <v>0</v>
      </c>
      <c r="F2270" s="54">
        <v>0</v>
      </c>
      <c r="G2270" s="54">
        <v>0</v>
      </c>
      <c r="H2270" s="54">
        <v>0</v>
      </c>
      <c r="I2270" s="54">
        <v>0</v>
      </c>
      <c r="J2270" s="54">
        <v>0</v>
      </c>
      <c r="K2270" s="54">
        <v>0</v>
      </c>
      <c r="L2270" s="54">
        <v>0</v>
      </c>
      <c r="M2270" s="54">
        <v>0</v>
      </c>
      <c r="N2270" s="54">
        <v>33393828</v>
      </c>
      <c r="O2270" s="54">
        <v>1891497</v>
      </c>
      <c r="P2270" s="54">
        <v>72852084</v>
      </c>
      <c r="Q2270" s="54">
        <v>72166638</v>
      </c>
      <c r="R2270" s="54">
        <v>181534198</v>
      </c>
    </row>
    <row r="2271" spans="1:18" x14ac:dyDescent="0.25">
      <c r="A2271" t="s">
        <v>1274</v>
      </c>
      <c r="B2271">
        <v>2019</v>
      </c>
      <c r="C2271" t="s">
        <v>1275</v>
      </c>
      <c r="D2271" s="54">
        <v>0</v>
      </c>
      <c r="E2271" s="54">
        <v>0</v>
      </c>
      <c r="F2271" s="54">
        <v>0</v>
      </c>
      <c r="G2271" s="54">
        <v>0</v>
      </c>
      <c r="H2271" s="54">
        <v>0</v>
      </c>
      <c r="I2271" s="54">
        <v>0</v>
      </c>
      <c r="J2271" s="54">
        <v>0</v>
      </c>
      <c r="K2271" s="54">
        <v>0</v>
      </c>
      <c r="L2271" s="54">
        <v>0</v>
      </c>
      <c r="M2271" s="54">
        <v>0</v>
      </c>
      <c r="N2271" s="54">
        <v>26786916</v>
      </c>
      <c r="O2271" s="54">
        <v>52033493</v>
      </c>
      <c r="P2271" s="54">
        <v>85380409</v>
      </c>
      <c r="Q2271" s="54">
        <v>73465605</v>
      </c>
      <c r="R2271" s="54">
        <v>87721070</v>
      </c>
    </row>
    <row r="2272" spans="1:18" x14ac:dyDescent="0.25">
      <c r="A2272" t="s">
        <v>353</v>
      </c>
      <c r="B2272">
        <v>2019</v>
      </c>
      <c r="C2272" t="s">
        <v>352</v>
      </c>
      <c r="D2272" s="54">
        <v>125250000000</v>
      </c>
      <c r="E2272" s="54">
        <v>125250000000</v>
      </c>
      <c r="F2272" s="54">
        <v>125250000000</v>
      </c>
      <c r="G2272" s="54">
        <v>13745370134.91</v>
      </c>
      <c r="H2272" s="54">
        <v>5152955998.5</v>
      </c>
      <c r="I2272" s="54">
        <v>6850292698.8400002</v>
      </c>
      <c r="J2272" s="54">
        <v>5907400600.5</v>
      </c>
      <c r="K2272" s="54">
        <v>5756094721.8299999</v>
      </c>
      <c r="L2272" s="54">
        <v>13323940191.940001</v>
      </c>
      <c r="M2272" s="54">
        <v>6882067023.2200003</v>
      </c>
      <c r="N2272" s="54">
        <v>5894711833.2600002</v>
      </c>
      <c r="O2272" s="54">
        <v>13144967168.299999</v>
      </c>
      <c r="P2272" s="54">
        <v>0</v>
      </c>
      <c r="Q2272" s="54">
        <v>0</v>
      </c>
      <c r="R2272" s="54">
        <v>-13144967168.299999</v>
      </c>
    </row>
    <row r="2273" spans="1:18" x14ac:dyDescent="0.25">
      <c r="A2273" t="s">
        <v>835</v>
      </c>
      <c r="B2273">
        <v>2019</v>
      </c>
      <c r="C2273" t="s">
        <v>836</v>
      </c>
      <c r="D2273" s="54">
        <v>0</v>
      </c>
      <c r="E2273" s="54">
        <v>0</v>
      </c>
      <c r="F2273" s="54">
        <v>0</v>
      </c>
      <c r="G2273" s="54">
        <v>0</v>
      </c>
      <c r="H2273" s="54">
        <v>0</v>
      </c>
      <c r="I2273" s="54">
        <v>0</v>
      </c>
      <c r="J2273" s="54">
        <v>0</v>
      </c>
      <c r="K2273" s="54">
        <v>0</v>
      </c>
      <c r="L2273" s="54">
        <v>0</v>
      </c>
      <c r="M2273" s="54">
        <v>0</v>
      </c>
      <c r="N2273" s="54">
        <v>0</v>
      </c>
      <c r="O2273" s="54">
        <v>0</v>
      </c>
      <c r="P2273" s="54">
        <v>5265403025.8999996</v>
      </c>
      <c r="Q2273" s="54">
        <v>5263293639.0500002</v>
      </c>
      <c r="R2273" s="54">
        <v>26272137957.549999</v>
      </c>
    </row>
    <row r="2274" spans="1:18" x14ac:dyDescent="0.25">
      <c r="A2274" t="s">
        <v>1276</v>
      </c>
      <c r="B2274">
        <v>2019</v>
      </c>
      <c r="C2274" t="s">
        <v>1277</v>
      </c>
      <c r="D2274" s="54">
        <v>0</v>
      </c>
      <c r="E2274" s="54">
        <v>0</v>
      </c>
      <c r="F2274" s="54">
        <v>0</v>
      </c>
      <c r="G2274" s="54">
        <v>0</v>
      </c>
      <c r="H2274" s="54">
        <v>0</v>
      </c>
      <c r="I2274" s="54">
        <v>0</v>
      </c>
      <c r="J2274" s="54">
        <v>0</v>
      </c>
      <c r="K2274" s="54">
        <v>0</v>
      </c>
      <c r="L2274" s="54">
        <v>0</v>
      </c>
      <c r="M2274" s="54">
        <v>0</v>
      </c>
      <c r="N2274" s="54">
        <v>2356485</v>
      </c>
      <c r="O2274" s="54">
        <v>3852777</v>
      </c>
      <c r="P2274" s="54">
        <v>3626284</v>
      </c>
      <c r="Q2274" s="54">
        <v>5528332</v>
      </c>
      <c r="R2274" s="54">
        <v>83620650</v>
      </c>
    </row>
    <row r="2275" spans="1:18" x14ac:dyDescent="0.25">
      <c r="A2275" t="s">
        <v>1305</v>
      </c>
      <c r="B2275">
        <v>2019</v>
      </c>
      <c r="C2275" t="s">
        <v>1306</v>
      </c>
      <c r="D2275" s="54">
        <v>0</v>
      </c>
      <c r="E2275" s="54">
        <v>0</v>
      </c>
      <c r="F2275" s="54">
        <v>0</v>
      </c>
      <c r="G2275" s="54">
        <v>0</v>
      </c>
      <c r="H2275" s="54">
        <v>0</v>
      </c>
      <c r="I2275" s="54">
        <v>0</v>
      </c>
      <c r="J2275" s="54">
        <v>0</v>
      </c>
      <c r="K2275" s="54">
        <v>0</v>
      </c>
      <c r="L2275" s="54">
        <v>0</v>
      </c>
      <c r="M2275" s="54">
        <v>0</v>
      </c>
      <c r="N2275" s="54">
        <v>0</v>
      </c>
      <c r="O2275" s="54">
        <v>0</v>
      </c>
      <c r="P2275" s="54">
        <v>797009</v>
      </c>
      <c r="Q2275" s="54">
        <v>0</v>
      </c>
      <c r="R2275" s="54">
        <v>34697305704.010002</v>
      </c>
    </row>
    <row r="2276" spans="1:18" x14ac:dyDescent="0.25">
      <c r="A2276" t="s">
        <v>351</v>
      </c>
      <c r="B2276">
        <v>2019</v>
      </c>
      <c r="C2276" t="s">
        <v>350</v>
      </c>
      <c r="D2276" s="54">
        <v>785650000000</v>
      </c>
      <c r="E2276" s="54">
        <v>785650000000</v>
      </c>
      <c r="F2276" s="54">
        <v>785650000000</v>
      </c>
      <c r="G2276" s="54">
        <v>90350715686.619995</v>
      </c>
      <c r="H2276" s="54">
        <v>19560599001.5</v>
      </c>
      <c r="I2276" s="54">
        <v>178653641269.47</v>
      </c>
      <c r="J2276" s="54">
        <v>25639447542.189999</v>
      </c>
      <c r="K2276" s="54">
        <v>11354720212.049999</v>
      </c>
      <c r="L2276" s="54">
        <v>130250451847.23</v>
      </c>
      <c r="M2276" s="54">
        <v>34804681593.309998</v>
      </c>
      <c r="N2276" s="54">
        <v>13696541689.52</v>
      </c>
      <c r="O2276" s="54">
        <v>121203183574.49001</v>
      </c>
      <c r="P2276" s="54">
        <v>-12849</v>
      </c>
      <c r="Q2276" s="54">
        <v>12849</v>
      </c>
      <c r="R2276" s="54">
        <v>-121202458605.49001</v>
      </c>
    </row>
    <row r="2277" spans="1:18" x14ac:dyDescent="0.25">
      <c r="A2277" t="s">
        <v>837</v>
      </c>
      <c r="B2277">
        <v>2019</v>
      </c>
      <c r="C2277" t="s">
        <v>838</v>
      </c>
      <c r="D2277" s="54">
        <v>0</v>
      </c>
      <c r="E2277" s="54">
        <v>0</v>
      </c>
      <c r="F2277" s="54">
        <v>0</v>
      </c>
      <c r="G2277" s="54">
        <v>0</v>
      </c>
      <c r="H2277" s="54">
        <v>0</v>
      </c>
      <c r="I2277" s="54">
        <v>0</v>
      </c>
      <c r="J2277" s="54">
        <v>0</v>
      </c>
      <c r="K2277" s="54">
        <v>0</v>
      </c>
      <c r="L2277" s="54">
        <v>0</v>
      </c>
      <c r="M2277" s="54">
        <v>0</v>
      </c>
      <c r="N2277" s="54">
        <v>0</v>
      </c>
      <c r="O2277" s="54">
        <v>0</v>
      </c>
      <c r="P2277" s="54">
        <v>45617043601.5</v>
      </c>
      <c r="Q2277" s="54">
        <v>15321582368.92</v>
      </c>
      <c r="R2277" s="54">
        <v>290344627166.42999</v>
      </c>
    </row>
    <row r="2278" spans="1:18" x14ac:dyDescent="0.25">
      <c r="A2278" t="s">
        <v>1278</v>
      </c>
      <c r="B2278">
        <v>2019</v>
      </c>
      <c r="C2278" t="s">
        <v>1279</v>
      </c>
      <c r="D2278" s="54">
        <v>0</v>
      </c>
      <c r="E2278" s="54">
        <v>0</v>
      </c>
      <c r="F2278" s="54">
        <v>0</v>
      </c>
      <c r="G2278" s="54">
        <v>0</v>
      </c>
      <c r="H2278" s="54">
        <v>0</v>
      </c>
      <c r="I2278" s="54">
        <v>0</v>
      </c>
      <c r="J2278" s="54">
        <v>0</v>
      </c>
      <c r="K2278" s="54">
        <v>0</v>
      </c>
      <c r="L2278" s="54">
        <v>0</v>
      </c>
      <c r="M2278" s="54">
        <v>0</v>
      </c>
      <c r="N2278" s="54">
        <v>4141199490</v>
      </c>
      <c r="O2278" s="54">
        <v>5187033078</v>
      </c>
      <c r="P2278" s="54">
        <v>3692672929</v>
      </c>
      <c r="Q2278" s="54">
        <v>4885026969</v>
      </c>
      <c r="R2278" s="54">
        <v>5098983949</v>
      </c>
    </row>
    <row r="2279" spans="1:18" x14ac:dyDescent="0.25">
      <c r="A2279" t="s">
        <v>1280</v>
      </c>
      <c r="B2279">
        <v>2019</v>
      </c>
      <c r="C2279" t="s">
        <v>1281</v>
      </c>
      <c r="D2279" s="54">
        <v>0</v>
      </c>
      <c r="E2279" s="54">
        <v>0</v>
      </c>
      <c r="F2279" s="54">
        <v>0</v>
      </c>
      <c r="G2279" s="54">
        <v>0</v>
      </c>
      <c r="H2279" s="54">
        <v>0</v>
      </c>
      <c r="I2279" s="54">
        <v>0</v>
      </c>
      <c r="J2279" s="54">
        <v>0</v>
      </c>
      <c r="K2279" s="54">
        <v>0</v>
      </c>
      <c r="L2279" s="54">
        <v>0</v>
      </c>
      <c r="M2279" s="54">
        <v>0</v>
      </c>
      <c r="N2279" s="54">
        <v>42554280</v>
      </c>
      <c r="O2279" s="54">
        <v>347109</v>
      </c>
      <c r="P2279" s="54">
        <v>283063616</v>
      </c>
      <c r="Q2279" s="54">
        <v>120402040</v>
      </c>
      <c r="R2279" s="54">
        <v>41920234933.050003</v>
      </c>
    </row>
    <row r="2280" spans="1:18" x14ac:dyDescent="0.25">
      <c r="A2280" t="s">
        <v>1282</v>
      </c>
      <c r="B2280">
        <v>2019</v>
      </c>
      <c r="C2280" t="s">
        <v>1283</v>
      </c>
      <c r="D2280" s="54">
        <v>0</v>
      </c>
      <c r="E2280" s="54">
        <v>0</v>
      </c>
      <c r="F2280" s="54">
        <v>0</v>
      </c>
      <c r="G2280" s="54">
        <v>0</v>
      </c>
      <c r="H2280" s="54">
        <v>0</v>
      </c>
      <c r="I2280" s="54">
        <v>0</v>
      </c>
      <c r="J2280" s="54">
        <v>0</v>
      </c>
      <c r="K2280" s="54">
        <v>0</v>
      </c>
      <c r="L2280" s="54">
        <v>0</v>
      </c>
      <c r="M2280" s="54">
        <v>0</v>
      </c>
      <c r="N2280" s="54">
        <v>109103284</v>
      </c>
      <c r="O2280" s="54">
        <v>736651536</v>
      </c>
      <c r="P2280" s="54">
        <v>238147092</v>
      </c>
      <c r="Q2280" s="54">
        <v>341940534</v>
      </c>
      <c r="R2280" s="54">
        <v>582735366</v>
      </c>
    </row>
    <row r="2281" spans="1:18" x14ac:dyDescent="0.25">
      <c r="A2281" t="s">
        <v>1251</v>
      </c>
      <c r="B2281">
        <v>2019</v>
      </c>
      <c r="C2281" t="s">
        <v>346</v>
      </c>
      <c r="D2281" s="54">
        <v>40000000000</v>
      </c>
      <c r="E2281" s="54">
        <v>40000000000</v>
      </c>
      <c r="F2281" s="54">
        <v>40000000000</v>
      </c>
      <c r="G2281" s="54">
        <v>4691731505.4499998</v>
      </c>
      <c r="H2281" s="54">
        <v>2641023481.1900001</v>
      </c>
      <c r="I2281" s="54">
        <v>2500625138.2399998</v>
      </c>
      <c r="J2281" s="54">
        <v>2721867313</v>
      </c>
      <c r="K2281" s="54">
        <v>3197647783.9400001</v>
      </c>
      <c r="L2281" s="54">
        <v>2838312325.54</v>
      </c>
      <c r="M2281" s="54">
        <v>5697655568.8900003</v>
      </c>
      <c r="N2281" s="54">
        <v>2591672932.8600001</v>
      </c>
      <c r="O2281" s="54">
        <v>1896129315</v>
      </c>
      <c r="P2281" s="54">
        <v>3307807934.6500001</v>
      </c>
      <c r="Q2281" s="54">
        <v>5925193421</v>
      </c>
      <c r="R2281" s="54">
        <v>-19418459172.400002</v>
      </c>
    </row>
    <row r="2282" spans="1:18" x14ac:dyDescent="0.25">
      <c r="A2282" t="s">
        <v>1252</v>
      </c>
      <c r="B2282">
        <v>2019</v>
      </c>
      <c r="C2282" t="s">
        <v>341</v>
      </c>
      <c r="D2282" s="54">
        <v>89400000000</v>
      </c>
      <c r="E2282" s="54">
        <v>89400000000</v>
      </c>
      <c r="F2282" s="54">
        <v>89400000000</v>
      </c>
      <c r="G2282" s="54">
        <v>6872105893.1400003</v>
      </c>
      <c r="H2282" s="54">
        <v>5054396198.21</v>
      </c>
      <c r="I2282" s="54">
        <v>4865248563.75</v>
      </c>
      <c r="J2282" s="54">
        <v>8973516333.7900009</v>
      </c>
      <c r="K2282" s="54">
        <v>5476148345.04</v>
      </c>
      <c r="L2282" s="54">
        <v>8569917260.75</v>
      </c>
      <c r="M2282" s="54">
        <v>7214920473.2799997</v>
      </c>
      <c r="N2282" s="54">
        <v>8099546926.29</v>
      </c>
      <c r="O2282" s="54">
        <v>5124821594.8199997</v>
      </c>
      <c r="P2282" s="54">
        <v>10839519554.27</v>
      </c>
      <c r="Q2282" s="54">
        <v>7003149304.6400003</v>
      </c>
      <c r="R2282" s="54">
        <v>-38281957853.300003</v>
      </c>
    </row>
    <row r="2283" spans="1:18" x14ac:dyDescent="0.25">
      <c r="A2283" t="s">
        <v>340</v>
      </c>
      <c r="B2283">
        <v>2019</v>
      </c>
      <c r="C2283" t="s">
        <v>339</v>
      </c>
      <c r="D2283" s="54">
        <v>171280000000</v>
      </c>
      <c r="E2283" s="54">
        <v>171280000000</v>
      </c>
      <c r="F2283" s="54">
        <v>171280000000</v>
      </c>
      <c r="G2283" s="54">
        <v>31788055396.540001</v>
      </c>
      <c r="H2283" s="54">
        <v>11573731184.32</v>
      </c>
      <c r="I2283" s="54">
        <v>16907205260.540001</v>
      </c>
      <c r="J2283" s="54">
        <v>19232337561.709999</v>
      </c>
      <c r="K2283" s="54">
        <v>12606417782.639999</v>
      </c>
      <c r="L2283" s="54">
        <v>13929786036.559999</v>
      </c>
      <c r="M2283" s="54">
        <v>20002457599.209999</v>
      </c>
      <c r="N2283" s="54">
        <v>10818711378.969999</v>
      </c>
      <c r="O2283" s="54">
        <v>10679088097.24</v>
      </c>
      <c r="P2283" s="54">
        <v>16597599983.77</v>
      </c>
      <c r="Q2283" s="54">
        <v>13193777222.709999</v>
      </c>
      <c r="R2283" s="54">
        <v>20094814017.84</v>
      </c>
    </row>
    <row r="2284" spans="1:18" x14ac:dyDescent="0.25">
      <c r="A2284" t="s">
        <v>335</v>
      </c>
      <c r="B2284">
        <v>2019</v>
      </c>
      <c r="C2284" t="s">
        <v>334</v>
      </c>
      <c r="D2284" s="54">
        <v>4600000000</v>
      </c>
      <c r="E2284" s="54">
        <v>4600000000</v>
      </c>
      <c r="F2284" s="54">
        <v>4600000000</v>
      </c>
      <c r="G2284" s="54">
        <v>3653515972</v>
      </c>
      <c r="H2284" s="54">
        <v>373590606.14999998</v>
      </c>
      <c r="I2284" s="54">
        <v>138136734</v>
      </c>
      <c r="J2284" s="54">
        <v>68509301</v>
      </c>
      <c r="K2284" s="54">
        <v>79269734</v>
      </c>
      <c r="L2284" s="54">
        <v>51785177</v>
      </c>
      <c r="M2284" s="54">
        <v>61459137</v>
      </c>
      <c r="N2284" s="54">
        <v>31520396</v>
      </c>
      <c r="O2284" s="54">
        <v>64754842</v>
      </c>
      <c r="P2284" s="54">
        <v>48034090</v>
      </c>
      <c r="Q2284" s="54">
        <v>36110247</v>
      </c>
      <c r="R2284" s="54">
        <v>92657454</v>
      </c>
    </row>
    <row r="2285" spans="1:18" x14ac:dyDescent="0.25">
      <c r="A2285" t="s">
        <v>332</v>
      </c>
      <c r="B2285">
        <v>2019</v>
      </c>
      <c r="C2285" t="s">
        <v>331</v>
      </c>
      <c r="D2285" s="54">
        <v>176000000000</v>
      </c>
      <c r="E2285" s="54">
        <v>176000000000</v>
      </c>
      <c r="F2285" s="54">
        <v>176000000000</v>
      </c>
      <c r="G2285" s="54">
        <v>12237510574.790001</v>
      </c>
      <c r="H2285" s="54">
        <v>2791306335.4899998</v>
      </c>
      <c r="I2285" s="54">
        <v>1809652420.6800001</v>
      </c>
      <c r="J2285" s="54">
        <v>2134301792.45</v>
      </c>
      <c r="K2285" s="54">
        <v>1648686637.0899999</v>
      </c>
      <c r="L2285" s="54">
        <v>1603478475.3299999</v>
      </c>
      <c r="M2285" s="54">
        <v>1113117335.25</v>
      </c>
      <c r="N2285" s="54">
        <v>866078713.34000003</v>
      </c>
      <c r="O2285" s="54">
        <v>744749394.25</v>
      </c>
      <c r="P2285" s="54">
        <v>599546974</v>
      </c>
      <c r="Q2285" s="54">
        <v>18844720676</v>
      </c>
      <c r="R2285" s="54">
        <v>136804846623.58</v>
      </c>
    </row>
    <row r="2286" spans="1:18" x14ac:dyDescent="0.25">
      <c r="A2286" t="s">
        <v>329</v>
      </c>
      <c r="B2286">
        <v>2019</v>
      </c>
      <c r="C2286" t="s">
        <v>328</v>
      </c>
      <c r="D2286" s="54">
        <v>1675000000</v>
      </c>
      <c r="E2286" s="54">
        <v>1675000000</v>
      </c>
      <c r="F2286" s="54">
        <v>1675000000</v>
      </c>
      <c r="G2286" s="54">
        <v>327572616</v>
      </c>
      <c r="H2286" s="54">
        <v>28199474</v>
      </c>
      <c r="I2286" s="54">
        <v>23960810</v>
      </c>
      <c r="J2286" s="54">
        <v>16108035</v>
      </c>
      <c r="K2286" s="54">
        <v>11217760</v>
      </c>
      <c r="L2286" s="54">
        <v>10266986</v>
      </c>
      <c r="M2286" s="54">
        <v>8542335</v>
      </c>
      <c r="N2286" s="54">
        <v>7483212</v>
      </c>
      <c r="O2286" s="54">
        <v>6955161</v>
      </c>
      <c r="P2286" s="54">
        <v>6333819</v>
      </c>
      <c r="Q2286" s="54">
        <v>132382533</v>
      </c>
      <c r="R2286" s="54">
        <v>1241020631.6500001</v>
      </c>
    </row>
    <row r="2287" spans="1:18" x14ac:dyDescent="0.25">
      <c r="A2287" t="s">
        <v>325</v>
      </c>
      <c r="B2287">
        <v>2019</v>
      </c>
      <c r="C2287" t="s">
        <v>324</v>
      </c>
      <c r="D2287" s="54">
        <v>480000000</v>
      </c>
      <c r="E2287" s="54">
        <v>480000000</v>
      </c>
      <c r="F2287" s="54">
        <v>480000000</v>
      </c>
      <c r="G2287" s="54">
        <v>5736935.9900000002</v>
      </c>
      <c r="H2287" s="54">
        <v>45023376.5</v>
      </c>
      <c r="I2287" s="54">
        <v>114306069.03</v>
      </c>
      <c r="J2287" s="54">
        <v>23041522.260000002</v>
      </c>
      <c r="K2287" s="54">
        <v>200692188.88</v>
      </c>
      <c r="L2287" s="54">
        <v>30429534.280000001</v>
      </c>
      <c r="M2287" s="54">
        <v>39021671.859999999</v>
      </c>
      <c r="N2287" s="54">
        <v>33444989.32</v>
      </c>
      <c r="O2287" s="54">
        <v>0</v>
      </c>
      <c r="P2287" s="54">
        <v>0</v>
      </c>
      <c r="Q2287" s="54">
        <v>0</v>
      </c>
      <c r="R2287" s="54">
        <v>0</v>
      </c>
    </row>
    <row r="2288" spans="1:18" x14ac:dyDescent="0.25">
      <c r="A2288" t="s">
        <v>323</v>
      </c>
      <c r="B2288">
        <v>2019</v>
      </c>
      <c r="C2288" t="s">
        <v>321</v>
      </c>
      <c r="D2288" s="54">
        <v>25400000000</v>
      </c>
      <c r="E2288" s="54">
        <v>25400000000</v>
      </c>
      <c r="F2288" s="54">
        <v>25400000000</v>
      </c>
      <c r="G2288" s="54">
        <v>11748031235.120001</v>
      </c>
      <c r="H2288" s="54">
        <v>5708708984.1300001</v>
      </c>
      <c r="I2288" s="54">
        <v>1993451461.0599999</v>
      </c>
      <c r="J2288" s="54">
        <v>1096473436.9400001</v>
      </c>
      <c r="K2288" s="54">
        <v>1030609099.59</v>
      </c>
      <c r="L2288" s="54">
        <v>918355624.04999995</v>
      </c>
      <c r="M2288" s="54">
        <v>805829877.20000005</v>
      </c>
      <c r="N2288" s="54">
        <v>806234956.22000003</v>
      </c>
      <c r="O2288" s="54">
        <v>1060833923.08</v>
      </c>
      <c r="P2288" s="54">
        <v>881923711.23000002</v>
      </c>
      <c r="Q2288" s="54">
        <v>710517982.64999998</v>
      </c>
      <c r="R2288" s="54">
        <v>756302591.38999999</v>
      </c>
    </row>
    <row r="2289" spans="1:18" x14ac:dyDescent="0.25">
      <c r="A2289" t="s">
        <v>320</v>
      </c>
      <c r="B2289">
        <v>2019</v>
      </c>
      <c r="C2289" t="s">
        <v>319</v>
      </c>
      <c r="D2289" s="54">
        <v>38000000000</v>
      </c>
      <c r="E2289" s="54">
        <v>38000000000</v>
      </c>
      <c r="F2289" s="54">
        <v>38000000000</v>
      </c>
      <c r="G2289" s="54">
        <v>2429715634</v>
      </c>
      <c r="H2289" s="54">
        <v>2601224218</v>
      </c>
      <c r="I2289" s="54">
        <v>3369140665</v>
      </c>
      <c r="J2289" s="54">
        <v>2817842323</v>
      </c>
      <c r="K2289" s="54">
        <v>3937208792.5</v>
      </c>
      <c r="L2289" s="54">
        <v>6512902139.5</v>
      </c>
      <c r="M2289" s="54">
        <v>5875002513</v>
      </c>
      <c r="N2289" s="54">
        <v>2944749991</v>
      </c>
      <c r="O2289" s="54">
        <v>3181540981.52</v>
      </c>
      <c r="P2289" s="54">
        <v>2924889591</v>
      </c>
      <c r="Q2289" s="54">
        <v>2990374351.3200002</v>
      </c>
      <c r="R2289" s="54">
        <v>2969827026</v>
      </c>
    </row>
    <row r="2290" spans="1:18" x14ac:dyDescent="0.25">
      <c r="A2290" t="s">
        <v>317</v>
      </c>
      <c r="B2290">
        <v>2019</v>
      </c>
      <c r="C2290" t="s">
        <v>316</v>
      </c>
      <c r="D2290" s="54">
        <v>23300000000</v>
      </c>
      <c r="E2290" s="54">
        <v>23300000000</v>
      </c>
      <c r="F2290" s="54">
        <v>23300000000</v>
      </c>
      <c r="G2290" s="54">
        <v>2100176038</v>
      </c>
      <c r="H2290" s="54">
        <v>2021850592</v>
      </c>
      <c r="I2290" s="54">
        <v>2068296478</v>
      </c>
      <c r="J2290" s="54">
        <v>1708733682</v>
      </c>
      <c r="K2290" s="54">
        <v>2142786462</v>
      </c>
      <c r="L2290" s="54">
        <v>2077372977</v>
      </c>
      <c r="M2290" s="54">
        <v>2127995866</v>
      </c>
      <c r="N2290" s="54">
        <v>1787045613</v>
      </c>
      <c r="O2290" s="54">
        <v>1786705173</v>
      </c>
      <c r="P2290" s="54">
        <v>2085319600</v>
      </c>
      <c r="Q2290" s="54">
        <v>1858353298</v>
      </c>
      <c r="R2290" s="54">
        <v>1458078238</v>
      </c>
    </row>
    <row r="2291" spans="1:18" x14ac:dyDescent="0.25">
      <c r="A2291" t="s">
        <v>313</v>
      </c>
      <c r="B2291">
        <v>2019</v>
      </c>
      <c r="C2291" t="s">
        <v>312</v>
      </c>
      <c r="D2291" s="54">
        <v>817100000000</v>
      </c>
      <c r="E2291" s="54">
        <v>817100000000</v>
      </c>
      <c r="F2291" s="54">
        <v>817100000000</v>
      </c>
      <c r="G2291" s="54">
        <v>89003899513.880005</v>
      </c>
      <c r="H2291" s="54">
        <v>67979772273.080002</v>
      </c>
      <c r="I2291" s="54">
        <v>64988540995.010002</v>
      </c>
      <c r="J2291" s="54">
        <v>65146291425.110001</v>
      </c>
      <c r="K2291" s="54">
        <v>67528773604.610001</v>
      </c>
      <c r="L2291" s="54">
        <v>62407881452.169998</v>
      </c>
      <c r="M2291" s="54">
        <v>70319897654.830002</v>
      </c>
      <c r="N2291" s="54">
        <v>89098977789.440002</v>
      </c>
      <c r="O2291" s="54">
        <v>95804930385.880005</v>
      </c>
      <c r="P2291" s="54">
        <v>95192218189.639999</v>
      </c>
      <c r="Q2291" s="54">
        <v>89254386967.399994</v>
      </c>
      <c r="R2291" s="54">
        <v>102024548327.25</v>
      </c>
    </row>
    <row r="2292" spans="1:18" x14ac:dyDescent="0.25">
      <c r="A2292" t="s">
        <v>310</v>
      </c>
      <c r="B2292">
        <v>2019</v>
      </c>
      <c r="C2292" t="s">
        <v>309</v>
      </c>
      <c r="D2292" s="54">
        <v>752300000000</v>
      </c>
      <c r="E2292" s="54">
        <v>752300000000</v>
      </c>
      <c r="F2292" s="54">
        <v>752300000000</v>
      </c>
      <c r="G2292" s="54">
        <v>60078610327.879997</v>
      </c>
      <c r="H2292" s="54">
        <v>50979747873.510002</v>
      </c>
      <c r="I2292" s="54">
        <v>58755060176.269997</v>
      </c>
      <c r="J2292" s="54">
        <v>52200885139.940002</v>
      </c>
      <c r="K2292" s="54">
        <v>56581723072.089996</v>
      </c>
      <c r="L2292" s="54">
        <v>51692873100.589996</v>
      </c>
      <c r="M2292" s="54">
        <v>58620406175.129997</v>
      </c>
      <c r="N2292" s="54">
        <v>52136228134.019997</v>
      </c>
      <c r="O2292" s="54">
        <v>53936817549.620003</v>
      </c>
      <c r="P2292" s="54">
        <v>64462669908.580002</v>
      </c>
      <c r="Q2292" s="54">
        <v>62683780937.389999</v>
      </c>
      <c r="R2292" s="54">
        <v>54107017025.589996</v>
      </c>
    </row>
    <row r="2293" spans="1:18" x14ac:dyDescent="0.25">
      <c r="A2293" t="s">
        <v>306</v>
      </c>
      <c r="B2293">
        <v>2019</v>
      </c>
      <c r="C2293" t="s">
        <v>305</v>
      </c>
      <c r="D2293" s="54">
        <v>20006000000</v>
      </c>
      <c r="E2293" s="54">
        <v>20006000000</v>
      </c>
      <c r="F2293" s="54">
        <v>20006000000</v>
      </c>
      <c r="G2293" s="54">
        <v>1015649375.45</v>
      </c>
      <c r="H2293" s="54">
        <v>721200898.44000006</v>
      </c>
      <c r="I2293" s="54">
        <v>663662658.17999995</v>
      </c>
      <c r="J2293" s="54">
        <v>811736526.69000006</v>
      </c>
      <c r="K2293" s="54">
        <v>956372925.49000001</v>
      </c>
      <c r="L2293" s="54">
        <v>841157498.36000001</v>
      </c>
      <c r="M2293" s="54">
        <v>747808582.88999999</v>
      </c>
      <c r="N2293" s="54">
        <v>715364580.12</v>
      </c>
      <c r="O2293" s="54">
        <v>898429423.94000006</v>
      </c>
      <c r="P2293" s="54">
        <v>985540867</v>
      </c>
      <c r="Q2293" s="54">
        <v>820584712.80999994</v>
      </c>
      <c r="R2293" s="54">
        <v>1013429527</v>
      </c>
    </row>
    <row r="2294" spans="1:18" x14ac:dyDescent="0.25">
      <c r="A2294" t="s">
        <v>303</v>
      </c>
      <c r="B2294">
        <v>2019</v>
      </c>
      <c r="C2294" t="s">
        <v>302</v>
      </c>
      <c r="D2294" s="54">
        <v>202286000000</v>
      </c>
      <c r="E2294" s="54">
        <v>202286000000</v>
      </c>
      <c r="F2294" s="54">
        <v>202286000000</v>
      </c>
      <c r="G2294" s="54">
        <v>17716687899.580002</v>
      </c>
      <c r="H2294" s="54">
        <v>13708557904.09</v>
      </c>
      <c r="I2294" s="54">
        <v>18599699045.93</v>
      </c>
      <c r="J2294" s="54">
        <v>15372475957.84</v>
      </c>
      <c r="K2294" s="54">
        <v>15034988857.299999</v>
      </c>
      <c r="L2294" s="54">
        <v>13854892927.610001</v>
      </c>
      <c r="M2294" s="54">
        <v>14053560503.99</v>
      </c>
      <c r="N2294" s="54">
        <v>12379893926.33</v>
      </c>
      <c r="O2294" s="54">
        <v>15409209893.469999</v>
      </c>
      <c r="P2294" s="54">
        <v>18614489233.810001</v>
      </c>
      <c r="Q2294" s="54">
        <v>18813597764.139999</v>
      </c>
      <c r="R2294" s="54">
        <v>13702956998.809999</v>
      </c>
    </row>
    <row r="2295" spans="1:18" x14ac:dyDescent="0.25">
      <c r="A2295" t="s">
        <v>298</v>
      </c>
      <c r="B2295">
        <v>2019</v>
      </c>
      <c r="C2295" t="s">
        <v>281</v>
      </c>
      <c r="D2295" s="54">
        <v>320118000000</v>
      </c>
      <c r="E2295" s="54">
        <v>320118000000</v>
      </c>
      <c r="F2295" s="54">
        <v>320118000000</v>
      </c>
      <c r="G2295" s="54">
        <v>13922621944</v>
      </c>
      <c r="H2295" s="54">
        <v>33802511456</v>
      </c>
      <c r="I2295" s="54">
        <v>10255405303</v>
      </c>
      <c r="J2295" s="54">
        <v>47665297931</v>
      </c>
      <c r="K2295" s="54">
        <v>35797265177</v>
      </c>
      <c r="L2295" s="54">
        <v>24299275702</v>
      </c>
      <c r="M2295" s="54">
        <v>12182350002</v>
      </c>
      <c r="N2295" s="54">
        <v>41135703224</v>
      </c>
      <c r="O2295" s="54">
        <v>25064952607</v>
      </c>
      <c r="P2295" s="54">
        <v>38238382883</v>
      </c>
      <c r="Q2295" s="54">
        <v>24042311240</v>
      </c>
      <c r="R2295" s="54">
        <v>25187184647</v>
      </c>
    </row>
    <row r="2296" spans="1:18" x14ac:dyDescent="0.25">
      <c r="A2296" t="s">
        <v>297</v>
      </c>
      <c r="B2296">
        <v>2019</v>
      </c>
      <c r="C2296" t="s">
        <v>287</v>
      </c>
      <c r="D2296" s="54">
        <v>209882000000</v>
      </c>
      <c r="E2296" s="54">
        <v>209882000000</v>
      </c>
      <c r="F2296" s="54">
        <v>209882000000</v>
      </c>
      <c r="G2296" s="54">
        <v>18384545321.360001</v>
      </c>
      <c r="H2296" s="54">
        <v>12791965585.040001</v>
      </c>
      <c r="I2296" s="54">
        <v>27044172577.549999</v>
      </c>
      <c r="J2296" s="54">
        <v>20153872764</v>
      </c>
      <c r="K2296" s="54">
        <v>14584654284.389999</v>
      </c>
      <c r="L2296" s="54">
        <v>19262245952.009998</v>
      </c>
      <c r="M2296" s="54">
        <v>12132223242.889999</v>
      </c>
      <c r="N2296" s="54">
        <v>20103419555.040001</v>
      </c>
      <c r="O2296" s="54">
        <v>14496481270.469999</v>
      </c>
      <c r="P2296" s="54">
        <v>20740986597.619999</v>
      </c>
      <c r="Q2296" s="54">
        <v>19572902042.68</v>
      </c>
      <c r="R2296" s="54">
        <v>21156107989.43</v>
      </c>
    </row>
    <row r="2297" spans="1:18" x14ac:dyDescent="0.25">
      <c r="A2297" t="s">
        <v>295</v>
      </c>
      <c r="B2297">
        <v>2019</v>
      </c>
      <c r="C2297" t="s">
        <v>281</v>
      </c>
      <c r="D2297" s="54">
        <v>35173000000</v>
      </c>
      <c r="E2297" s="54">
        <v>35173000000</v>
      </c>
      <c r="F2297" s="54">
        <v>35173000000</v>
      </c>
      <c r="G2297" s="54">
        <v>3594779927.21</v>
      </c>
      <c r="H2297" s="54">
        <v>2169824699.96</v>
      </c>
      <c r="I2297" s="54">
        <v>2791533394.1799998</v>
      </c>
      <c r="J2297" s="54">
        <v>2525527688.1100001</v>
      </c>
      <c r="K2297" s="54">
        <v>2849248069.98</v>
      </c>
      <c r="L2297" s="54">
        <v>2921901884.1599998</v>
      </c>
      <c r="M2297" s="54">
        <v>2091594550.7</v>
      </c>
      <c r="N2297" s="54">
        <v>1856126203.3499999</v>
      </c>
      <c r="O2297" s="54">
        <v>2750989477.5300002</v>
      </c>
      <c r="P2297" s="54">
        <v>2762773518.4699998</v>
      </c>
      <c r="Q2297" s="54">
        <v>2264223761</v>
      </c>
      <c r="R2297" s="54">
        <v>3116415159</v>
      </c>
    </row>
    <row r="2298" spans="1:18" x14ac:dyDescent="0.25">
      <c r="A2298" t="s">
        <v>294</v>
      </c>
      <c r="B2298">
        <v>2019</v>
      </c>
      <c r="C2298" t="s">
        <v>287</v>
      </c>
      <c r="D2298" s="54">
        <v>11327000000</v>
      </c>
      <c r="E2298" s="54">
        <v>11327000000</v>
      </c>
      <c r="F2298" s="54">
        <v>11327000000</v>
      </c>
      <c r="G2298" s="54">
        <v>912095558.38999999</v>
      </c>
      <c r="H2298" s="54">
        <v>936569012.72000003</v>
      </c>
      <c r="I2298" s="54">
        <v>1013742379.62</v>
      </c>
      <c r="J2298" s="54">
        <v>927515462.33000004</v>
      </c>
      <c r="K2298" s="54">
        <v>883719036.09000003</v>
      </c>
      <c r="L2298" s="54">
        <v>762395915.87</v>
      </c>
      <c r="M2298" s="54">
        <v>904227763.82000005</v>
      </c>
      <c r="N2298" s="54">
        <v>827196143.07000005</v>
      </c>
      <c r="O2298" s="54">
        <v>821805819.23000002</v>
      </c>
      <c r="P2298" s="54">
        <v>1299008061.9000001</v>
      </c>
      <c r="Q2298" s="54">
        <v>1362148950.8199999</v>
      </c>
      <c r="R2298" s="54">
        <v>1503680810.5599999</v>
      </c>
    </row>
    <row r="2299" spans="1:18" x14ac:dyDescent="0.25">
      <c r="A2299" t="s">
        <v>292</v>
      </c>
      <c r="B2299">
        <v>2019</v>
      </c>
      <c r="C2299" t="s">
        <v>281</v>
      </c>
      <c r="D2299" s="54">
        <v>38698000000</v>
      </c>
      <c r="E2299" s="54">
        <v>38698000000</v>
      </c>
      <c r="F2299" s="54">
        <v>38698000000</v>
      </c>
      <c r="G2299" s="54">
        <v>3711177857.1700001</v>
      </c>
      <c r="H2299" s="54">
        <v>3271345427.8200002</v>
      </c>
      <c r="I2299" s="54">
        <v>3023053175.96</v>
      </c>
      <c r="J2299" s="54">
        <v>3511477520.1199999</v>
      </c>
      <c r="K2299" s="54">
        <v>3466006440.3200002</v>
      </c>
      <c r="L2299" s="54">
        <v>3039346784.5500002</v>
      </c>
      <c r="M2299" s="54">
        <v>2983211032.1300001</v>
      </c>
      <c r="N2299" s="54">
        <v>2669243032</v>
      </c>
      <c r="O2299" s="54">
        <v>3098514723.8899999</v>
      </c>
      <c r="P2299" s="54">
        <v>3049620435.8699999</v>
      </c>
      <c r="Q2299" s="54">
        <v>2851598630</v>
      </c>
      <c r="R2299" s="54">
        <v>3245732506.4099998</v>
      </c>
    </row>
    <row r="2300" spans="1:18" x14ac:dyDescent="0.25">
      <c r="A2300" t="s">
        <v>291</v>
      </c>
      <c r="B2300">
        <v>2019</v>
      </c>
      <c r="C2300" t="s">
        <v>287</v>
      </c>
      <c r="D2300" s="54">
        <v>3993000000</v>
      </c>
      <c r="E2300" s="54">
        <v>3993000000</v>
      </c>
      <c r="F2300" s="54">
        <v>3993000000</v>
      </c>
      <c r="G2300" s="54">
        <v>284134351.05000001</v>
      </c>
      <c r="H2300" s="54">
        <v>249405027.69999999</v>
      </c>
      <c r="I2300" s="54">
        <v>288063093.74000001</v>
      </c>
      <c r="J2300" s="54">
        <v>398389529.80000001</v>
      </c>
      <c r="K2300" s="54">
        <v>277687601.30000001</v>
      </c>
      <c r="L2300" s="54">
        <v>304405243.44</v>
      </c>
      <c r="M2300" s="54">
        <v>257816322.69</v>
      </c>
      <c r="N2300" s="54">
        <v>291523418.79000002</v>
      </c>
      <c r="O2300" s="54">
        <v>212896493.99000001</v>
      </c>
      <c r="P2300" s="54">
        <v>287480381.05000001</v>
      </c>
      <c r="Q2300" s="54">
        <v>248753763.08000001</v>
      </c>
      <c r="R2300" s="54">
        <v>225613448.12</v>
      </c>
    </row>
    <row r="2301" spans="1:18" x14ac:dyDescent="0.25">
      <c r="A2301" t="s">
        <v>289</v>
      </c>
      <c r="B2301">
        <v>2019</v>
      </c>
      <c r="C2301" t="s">
        <v>287</v>
      </c>
      <c r="D2301" s="54">
        <v>2405000000</v>
      </c>
      <c r="E2301" s="54">
        <v>2405000000</v>
      </c>
      <c r="F2301" s="54">
        <v>2405000000</v>
      </c>
      <c r="G2301" s="54">
        <v>265165421.25999999</v>
      </c>
      <c r="H2301" s="54">
        <v>-56446535.57</v>
      </c>
      <c r="I2301" s="54">
        <v>201664203.53999999</v>
      </c>
      <c r="J2301" s="54">
        <v>550656916.61000001</v>
      </c>
      <c r="K2301" s="54">
        <v>218386958.94999999</v>
      </c>
      <c r="L2301" s="54">
        <v>275931896.19999999</v>
      </c>
      <c r="M2301" s="54">
        <v>241744866.56</v>
      </c>
      <c r="N2301" s="54">
        <v>243877573.74000001</v>
      </c>
      <c r="O2301" s="54">
        <v>303935281.32999998</v>
      </c>
      <c r="P2301" s="54">
        <v>259087310.47</v>
      </c>
      <c r="Q2301" s="54">
        <v>263516932.63</v>
      </c>
      <c r="R2301" s="54">
        <v>252847701.15000001</v>
      </c>
    </row>
    <row r="2302" spans="1:18" x14ac:dyDescent="0.25">
      <c r="A2302" t="s">
        <v>286</v>
      </c>
      <c r="B2302">
        <v>2019</v>
      </c>
      <c r="C2302" t="s">
        <v>285</v>
      </c>
      <c r="D2302" s="54">
        <v>330000000</v>
      </c>
      <c r="E2302" s="54">
        <v>330000000</v>
      </c>
      <c r="F2302" s="54">
        <v>330000000</v>
      </c>
      <c r="G2302" s="54">
        <v>18116019.41</v>
      </c>
      <c r="H2302" s="54">
        <v>0</v>
      </c>
      <c r="I2302" s="54">
        <v>39523637.960000001</v>
      </c>
      <c r="J2302" s="54">
        <v>22583365.690000001</v>
      </c>
      <c r="K2302" s="54">
        <v>21220680.359999999</v>
      </c>
      <c r="L2302" s="54">
        <v>21217819.550000001</v>
      </c>
      <c r="M2302" s="54">
        <v>18905322.170000002</v>
      </c>
      <c r="N2302" s="54">
        <v>19829238.050000001</v>
      </c>
      <c r="O2302" s="54">
        <v>0</v>
      </c>
      <c r="P2302" s="54">
        <v>36246756.539999999</v>
      </c>
      <c r="Q2302" s="54">
        <v>18590118.27</v>
      </c>
      <c r="R2302" s="54">
        <v>0</v>
      </c>
    </row>
    <row r="2303" spans="1:18" x14ac:dyDescent="0.25">
      <c r="A2303" t="s">
        <v>283</v>
      </c>
      <c r="B2303">
        <v>2019</v>
      </c>
      <c r="C2303" t="s">
        <v>1262</v>
      </c>
      <c r="D2303" s="54">
        <v>0</v>
      </c>
      <c r="E2303" s="54">
        <v>0</v>
      </c>
      <c r="F2303" s="54">
        <v>0</v>
      </c>
      <c r="G2303" s="54">
        <v>0</v>
      </c>
      <c r="H2303" s="54">
        <v>0</v>
      </c>
      <c r="I2303" s="54">
        <v>0</v>
      </c>
      <c r="J2303" s="54">
        <v>0</v>
      </c>
      <c r="K2303" s="54">
        <v>6687</v>
      </c>
      <c r="L2303" s="54">
        <v>0</v>
      </c>
      <c r="M2303" s="54">
        <v>0</v>
      </c>
      <c r="N2303" s="54">
        <v>0</v>
      </c>
      <c r="O2303" s="54">
        <v>0</v>
      </c>
      <c r="P2303" s="54">
        <v>0</v>
      </c>
      <c r="Q2303" s="54">
        <v>0</v>
      </c>
      <c r="R2303" s="54">
        <v>-6687</v>
      </c>
    </row>
    <row r="2304" spans="1:18" x14ac:dyDescent="0.25">
      <c r="A2304" t="s">
        <v>280</v>
      </c>
      <c r="B2304">
        <v>2019</v>
      </c>
      <c r="C2304" t="s">
        <v>279</v>
      </c>
      <c r="D2304" s="54">
        <v>31800000000</v>
      </c>
      <c r="E2304" s="54">
        <v>31800000000</v>
      </c>
      <c r="F2304" s="54">
        <v>31800000000</v>
      </c>
      <c r="G2304" s="54">
        <v>5546011004.5900002</v>
      </c>
      <c r="H2304" s="54">
        <v>1081750177.3399999</v>
      </c>
      <c r="I2304" s="54">
        <v>1472907351.9000001</v>
      </c>
      <c r="J2304" s="54">
        <v>1524666263.03</v>
      </c>
      <c r="K2304" s="54">
        <v>1628025713</v>
      </c>
      <c r="L2304" s="54">
        <v>1847389509.6500001</v>
      </c>
      <c r="M2304" s="54">
        <v>1962770270.3699999</v>
      </c>
      <c r="N2304" s="54">
        <v>1896680614.9200001</v>
      </c>
      <c r="O2304" s="54">
        <v>2744774883.5500002</v>
      </c>
      <c r="P2304" s="54">
        <v>2591704241.6199999</v>
      </c>
      <c r="Q2304" s="54">
        <v>2703938952.5</v>
      </c>
      <c r="R2304" s="54">
        <v>2184003850.7800002</v>
      </c>
    </row>
    <row r="2305" spans="1:18" x14ac:dyDescent="0.25">
      <c r="A2305" t="s">
        <v>276</v>
      </c>
      <c r="B2305">
        <v>2019</v>
      </c>
      <c r="C2305" t="s">
        <v>275</v>
      </c>
      <c r="D2305" s="54">
        <v>814000000</v>
      </c>
      <c r="E2305" s="54">
        <v>814000000</v>
      </c>
      <c r="F2305" s="54">
        <v>814000000</v>
      </c>
      <c r="G2305" s="54">
        <v>121450899.40000001</v>
      </c>
      <c r="H2305" s="54">
        <v>135272542.38999999</v>
      </c>
      <c r="I2305" s="54">
        <v>85410393.170000002</v>
      </c>
      <c r="J2305" s="54">
        <v>132046469.58</v>
      </c>
      <c r="K2305" s="54">
        <v>91608467.370000005</v>
      </c>
      <c r="L2305" s="54">
        <v>109660773.5</v>
      </c>
      <c r="M2305" s="54">
        <v>123258617.45</v>
      </c>
      <c r="N2305" s="54">
        <v>145317644</v>
      </c>
      <c r="O2305" s="54">
        <v>62211818</v>
      </c>
      <c r="P2305" s="54">
        <v>61311076</v>
      </c>
      <c r="Q2305" s="54">
        <v>46988692</v>
      </c>
      <c r="R2305" s="54">
        <v>70263642.349999994</v>
      </c>
    </row>
    <row r="2306" spans="1:18" x14ac:dyDescent="0.25">
      <c r="A2306" t="s">
        <v>274</v>
      </c>
      <c r="B2306">
        <v>2019</v>
      </c>
      <c r="C2306" t="s">
        <v>273</v>
      </c>
      <c r="D2306" s="54">
        <v>57000000</v>
      </c>
      <c r="E2306" s="54">
        <v>57000000</v>
      </c>
      <c r="F2306" s="54">
        <v>57000000</v>
      </c>
      <c r="G2306" s="54">
        <v>0</v>
      </c>
      <c r="H2306" s="54">
        <v>0</v>
      </c>
      <c r="I2306" s="54">
        <v>18425250</v>
      </c>
      <c r="J2306" s="54">
        <v>0</v>
      </c>
      <c r="K2306" s="54">
        <v>0</v>
      </c>
      <c r="L2306" s="54">
        <v>12716700</v>
      </c>
      <c r="M2306" s="54">
        <v>0</v>
      </c>
      <c r="N2306" s="54">
        <v>0</v>
      </c>
      <c r="O2306" s="54">
        <v>12716700</v>
      </c>
      <c r="P2306" s="54">
        <v>0</v>
      </c>
      <c r="Q2306" s="54">
        <v>0</v>
      </c>
      <c r="R2306" s="54">
        <v>12716700</v>
      </c>
    </row>
    <row r="2307" spans="1:18" x14ac:dyDescent="0.25">
      <c r="A2307" t="s">
        <v>268</v>
      </c>
      <c r="B2307">
        <v>2019</v>
      </c>
      <c r="C2307" t="s">
        <v>267</v>
      </c>
      <c r="D2307" s="54">
        <v>155000000000</v>
      </c>
      <c r="E2307" s="54">
        <v>155000000000</v>
      </c>
      <c r="F2307" s="54">
        <v>155000000000</v>
      </c>
      <c r="G2307" s="54">
        <v>11541367757.889999</v>
      </c>
      <c r="H2307" s="54">
        <v>12177652950.27</v>
      </c>
      <c r="I2307" s="54">
        <v>11048528016.190001</v>
      </c>
      <c r="J2307" s="54">
        <v>10291000284.4</v>
      </c>
      <c r="K2307" s="54">
        <v>11909555248.110001</v>
      </c>
      <c r="L2307" s="54">
        <v>11102550801.639999</v>
      </c>
      <c r="M2307" s="54">
        <v>12255835888.879999</v>
      </c>
      <c r="N2307" s="54">
        <v>11274808094.440001</v>
      </c>
      <c r="O2307" s="54">
        <v>11018664976.84</v>
      </c>
      <c r="P2307" s="54">
        <v>13412526361.07</v>
      </c>
      <c r="Q2307" s="54">
        <v>13376816873.450001</v>
      </c>
      <c r="R2307" s="54">
        <v>11509568658.860001</v>
      </c>
    </row>
    <row r="2308" spans="1:18" x14ac:dyDescent="0.25">
      <c r="A2308" t="s">
        <v>264</v>
      </c>
      <c r="B2308">
        <v>2019</v>
      </c>
      <c r="C2308" t="s">
        <v>263</v>
      </c>
      <c r="D2308" s="54">
        <v>27000000000</v>
      </c>
      <c r="E2308" s="54">
        <v>27000000000</v>
      </c>
      <c r="F2308" s="54">
        <v>27000000000</v>
      </c>
      <c r="G2308" s="54">
        <v>2095596351.6400001</v>
      </c>
      <c r="H2308" s="54">
        <v>1863960738.95</v>
      </c>
      <c r="I2308" s="54">
        <v>2076180742.0799999</v>
      </c>
      <c r="J2308" s="54">
        <v>1909440282.26</v>
      </c>
      <c r="K2308" s="54">
        <v>2085819669.2</v>
      </c>
      <c r="L2308" s="54">
        <v>1877773037.8499999</v>
      </c>
      <c r="M2308" s="54">
        <v>1970123640.4400001</v>
      </c>
      <c r="N2308" s="54">
        <v>1737621082.1400001</v>
      </c>
      <c r="O2308" s="54">
        <v>1804262017.1400001</v>
      </c>
      <c r="P2308" s="54">
        <v>2126866154.48</v>
      </c>
      <c r="Q2308" s="54">
        <v>2026160259.23</v>
      </c>
      <c r="R2308" s="54">
        <v>1731334487.2</v>
      </c>
    </row>
    <row r="2309" spans="1:18" x14ac:dyDescent="0.25">
      <c r="A2309" t="s">
        <v>260</v>
      </c>
      <c r="B2309">
        <v>2019</v>
      </c>
      <c r="C2309" t="s">
        <v>259</v>
      </c>
      <c r="D2309" s="54">
        <v>3639000000</v>
      </c>
      <c r="E2309" s="54">
        <v>3639000000</v>
      </c>
      <c r="F2309" s="54">
        <v>3639000000</v>
      </c>
      <c r="G2309" s="54">
        <v>296139701.39999998</v>
      </c>
      <c r="H2309" s="54">
        <v>212413168.46000001</v>
      </c>
      <c r="I2309" s="54">
        <v>210699459.66</v>
      </c>
      <c r="J2309" s="54">
        <v>250333959.58000001</v>
      </c>
      <c r="K2309" s="54">
        <v>302535013.92000002</v>
      </c>
      <c r="L2309" s="54">
        <v>391351762.92000002</v>
      </c>
      <c r="M2309" s="54">
        <v>365947310.38</v>
      </c>
      <c r="N2309" s="54">
        <v>243402277.05000001</v>
      </c>
      <c r="O2309" s="54">
        <v>329271447.45999998</v>
      </c>
      <c r="P2309" s="54">
        <v>363170426.41000003</v>
      </c>
      <c r="Q2309" s="54">
        <v>291902843.5</v>
      </c>
      <c r="R2309" s="54">
        <v>244721549.50999999</v>
      </c>
    </row>
    <row r="2310" spans="1:18" x14ac:dyDescent="0.25">
      <c r="A2310" t="s">
        <v>258</v>
      </c>
      <c r="B2310">
        <v>2019</v>
      </c>
      <c r="C2310" t="s">
        <v>257</v>
      </c>
      <c r="D2310" s="54">
        <v>186000000</v>
      </c>
      <c r="E2310" s="54">
        <v>186000000</v>
      </c>
      <c r="F2310" s="54">
        <v>186000000</v>
      </c>
      <c r="G2310" s="54">
        <v>15163450.5</v>
      </c>
      <c r="H2310" s="54">
        <v>10773345</v>
      </c>
      <c r="I2310" s="54">
        <v>10959307.5</v>
      </c>
      <c r="J2310" s="54">
        <v>12950775</v>
      </c>
      <c r="K2310" s="54">
        <v>15659259</v>
      </c>
      <c r="L2310" s="54">
        <v>20344021.5</v>
      </c>
      <c r="M2310" s="54">
        <v>19324875</v>
      </c>
      <c r="N2310" s="54">
        <v>13168549.5</v>
      </c>
      <c r="O2310" s="54">
        <v>17686642.5</v>
      </c>
      <c r="P2310" s="54">
        <v>19448389.5</v>
      </c>
      <c r="Q2310" s="54">
        <v>15517690.5</v>
      </c>
      <c r="R2310" s="54">
        <v>13162116</v>
      </c>
    </row>
    <row r="2311" spans="1:18" x14ac:dyDescent="0.25">
      <c r="A2311" t="s">
        <v>256</v>
      </c>
      <c r="B2311">
        <v>2019</v>
      </c>
      <c r="C2311" t="s">
        <v>255</v>
      </c>
      <c r="D2311" s="54">
        <v>1805000000</v>
      </c>
      <c r="E2311" s="54">
        <v>1805000000</v>
      </c>
      <c r="F2311" s="54">
        <v>1805000000</v>
      </c>
      <c r="G2311" s="54">
        <v>150111167.25</v>
      </c>
      <c r="H2311" s="54">
        <v>143778263</v>
      </c>
      <c r="I2311" s="54">
        <v>153859056.25</v>
      </c>
      <c r="J2311" s="54">
        <v>138872752.75</v>
      </c>
      <c r="K2311" s="54">
        <v>152260430.25</v>
      </c>
      <c r="L2311" s="54">
        <v>141749993.5</v>
      </c>
      <c r="M2311" s="54">
        <v>153109075.5</v>
      </c>
      <c r="N2311" s="54">
        <v>142149041</v>
      </c>
      <c r="O2311" s="54">
        <v>130673319.25</v>
      </c>
      <c r="P2311" s="54">
        <v>152728303.25</v>
      </c>
      <c r="Q2311" s="54">
        <v>146742315.25</v>
      </c>
      <c r="R2311" s="54">
        <v>119804912</v>
      </c>
    </row>
    <row r="2312" spans="1:18" x14ac:dyDescent="0.25">
      <c r="A2312" t="s">
        <v>253</v>
      </c>
      <c r="B2312">
        <v>2019</v>
      </c>
      <c r="C2312" t="s">
        <v>252</v>
      </c>
      <c r="D2312" s="54">
        <v>51900000000</v>
      </c>
      <c r="E2312" s="54">
        <v>51900000000</v>
      </c>
      <c r="F2312" s="54">
        <v>51900000000</v>
      </c>
      <c r="G2312" s="54">
        <v>6235877903.7799997</v>
      </c>
      <c r="H2312" s="54">
        <v>4795496047.1700001</v>
      </c>
      <c r="I2312" s="54">
        <v>5145986122.7700005</v>
      </c>
      <c r="J2312" s="54">
        <v>5304902289.71</v>
      </c>
      <c r="K2312" s="54">
        <v>3700238168.98</v>
      </c>
      <c r="L2312" s="54">
        <v>3487097550.79</v>
      </c>
      <c r="M2312" s="54">
        <v>4579648295.6000004</v>
      </c>
      <c r="N2312" s="54">
        <v>3849328380.0799999</v>
      </c>
      <c r="O2312" s="54">
        <v>2970411674.4000001</v>
      </c>
      <c r="P2312" s="54">
        <v>3252157880.2600002</v>
      </c>
      <c r="Q2312" s="54">
        <v>3379309919.5599999</v>
      </c>
      <c r="R2312" s="54">
        <v>4307892098.9499998</v>
      </c>
    </row>
    <row r="2313" spans="1:18" x14ac:dyDescent="0.25">
      <c r="A2313" t="s">
        <v>251</v>
      </c>
      <c r="B2313">
        <v>2019</v>
      </c>
      <c r="C2313" t="s">
        <v>250</v>
      </c>
      <c r="D2313" s="54">
        <v>2311000000</v>
      </c>
      <c r="E2313" s="54">
        <v>2311000000</v>
      </c>
      <c r="F2313" s="54">
        <v>2311000000</v>
      </c>
      <c r="G2313" s="54">
        <v>325334224.35000002</v>
      </c>
      <c r="H2313" s="54">
        <v>160042358.05000001</v>
      </c>
      <c r="I2313" s="54">
        <v>158326912.09999999</v>
      </c>
      <c r="J2313" s="54">
        <v>250809081.15000001</v>
      </c>
      <c r="K2313" s="54">
        <v>147351566.09999999</v>
      </c>
      <c r="L2313" s="54">
        <v>125366141.7</v>
      </c>
      <c r="M2313" s="54">
        <v>198618389.69999999</v>
      </c>
      <c r="N2313" s="54">
        <v>144352831.90000001</v>
      </c>
      <c r="O2313" s="54">
        <v>139502012.05000001</v>
      </c>
      <c r="P2313" s="54">
        <v>149445911.15000001</v>
      </c>
      <c r="Q2313" s="54">
        <v>151130392.24000001</v>
      </c>
      <c r="R2313" s="54">
        <v>356379042.35000002</v>
      </c>
    </row>
    <row r="2314" spans="1:18" x14ac:dyDescent="0.25">
      <c r="A2314" t="s">
        <v>249</v>
      </c>
      <c r="B2314">
        <v>2019</v>
      </c>
      <c r="C2314" t="s">
        <v>248</v>
      </c>
      <c r="D2314" s="54">
        <v>3375000000</v>
      </c>
      <c r="E2314" s="54">
        <v>3375000000</v>
      </c>
      <c r="F2314" s="54">
        <v>3375000000</v>
      </c>
      <c r="G2314" s="54">
        <v>64258236.399999999</v>
      </c>
      <c r="H2314" s="54">
        <v>361786376.97000003</v>
      </c>
      <c r="I2314" s="54">
        <v>971740245.65999997</v>
      </c>
      <c r="J2314" s="54">
        <v>316739398.82999998</v>
      </c>
      <c r="K2314" s="54">
        <v>279790375.63999999</v>
      </c>
      <c r="L2314" s="54">
        <v>282941459.58999997</v>
      </c>
      <c r="M2314" s="54">
        <v>264128646.87</v>
      </c>
      <c r="N2314" s="54">
        <v>252536347.90000001</v>
      </c>
      <c r="O2314" s="54">
        <v>277813219.00999999</v>
      </c>
      <c r="P2314" s="54">
        <v>236622629.21000001</v>
      </c>
      <c r="Q2314" s="54">
        <v>230810145.44999999</v>
      </c>
      <c r="R2314" s="54">
        <v>239986329.24000001</v>
      </c>
    </row>
    <row r="2315" spans="1:18" x14ac:dyDescent="0.25">
      <c r="A2315" t="s">
        <v>246</v>
      </c>
      <c r="B2315">
        <v>2019</v>
      </c>
      <c r="C2315" t="s">
        <v>245</v>
      </c>
      <c r="D2315" s="54">
        <v>1119000000</v>
      </c>
      <c r="E2315" s="54">
        <v>1119000000</v>
      </c>
      <c r="F2315" s="54">
        <v>1119000000</v>
      </c>
      <c r="G2315" s="54">
        <v>67945143.950000003</v>
      </c>
      <c r="H2315" s="54">
        <v>99384285.480000004</v>
      </c>
      <c r="I2315" s="54">
        <v>90044546.969999999</v>
      </c>
      <c r="J2315" s="54">
        <v>96601575.239999995</v>
      </c>
      <c r="K2315" s="54">
        <v>80135318.079999998</v>
      </c>
      <c r="L2315" s="54">
        <v>96039965.159999996</v>
      </c>
      <c r="M2315" s="54">
        <v>80598478.5</v>
      </c>
      <c r="N2315" s="54">
        <v>98455529.390000001</v>
      </c>
      <c r="O2315" s="54">
        <v>88051502.840000004</v>
      </c>
      <c r="P2315" s="54">
        <v>102759846.45</v>
      </c>
      <c r="Q2315" s="54">
        <v>112100439.13</v>
      </c>
      <c r="R2315" s="54">
        <v>97644051.480000004</v>
      </c>
    </row>
    <row r="2316" spans="1:18" x14ac:dyDescent="0.25">
      <c r="A2316" t="s">
        <v>244</v>
      </c>
      <c r="B2316">
        <v>2019</v>
      </c>
      <c r="C2316" t="s">
        <v>243</v>
      </c>
      <c r="D2316" s="54">
        <v>5934000000</v>
      </c>
      <c r="E2316" s="54">
        <v>5934000000</v>
      </c>
      <c r="F2316" s="54">
        <v>5934000000</v>
      </c>
      <c r="G2316" s="54">
        <v>445928673.39999998</v>
      </c>
      <c r="H2316" s="54">
        <v>632520894.92999995</v>
      </c>
      <c r="I2316" s="54">
        <v>565842108.75</v>
      </c>
      <c r="J2316" s="54">
        <v>592549572.51999998</v>
      </c>
      <c r="K2316" s="54">
        <v>480690169.55000001</v>
      </c>
      <c r="L2316" s="54">
        <v>528105130.24000001</v>
      </c>
      <c r="M2316" s="54">
        <v>482447583.86000001</v>
      </c>
      <c r="N2316" s="54">
        <v>546226156.20000005</v>
      </c>
      <c r="O2316" s="54">
        <v>499043065.08999997</v>
      </c>
      <c r="P2316" s="54">
        <v>527691984.14999998</v>
      </c>
      <c r="Q2316" s="54">
        <v>610814362.41999996</v>
      </c>
      <c r="R2316" s="54">
        <v>600244266.25</v>
      </c>
    </row>
    <row r="2317" spans="1:18" x14ac:dyDescent="0.25">
      <c r="A2317" t="s">
        <v>242</v>
      </c>
      <c r="B2317">
        <v>2019</v>
      </c>
      <c r="C2317" t="s">
        <v>241</v>
      </c>
      <c r="D2317" s="54">
        <v>10947000000</v>
      </c>
      <c r="E2317" s="54">
        <v>10947000000</v>
      </c>
      <c r="F2317" s="54">
        <v>10947000000</v>
      </c>
      <c r="G2317" s="54">
        <v>491987369.82999998</v>
      </c>
      <c r="H2317" s="54">
        <v>1202196971.4400001</v>
      </c>
      <c r="I2317" s="54">
        <v>912706412.55999994</v>
      </c>
      <c r="J2317" s="54">
        <v>943580850.10000002</v>
      </c>
      <c r="K2317" s="54">
        <v>767054257.58000004</v>
      </c>
      <c r="L2317" s="54">
        <v>847249341.63999999</v>
      </c>
      <c r="M2317" s="54">
        <v>776915132.19000006</v>
      </c>
      <c r="N2317" s="54">
        <v>883766211.79999995</v>
      </c>
      <c r="O2317" s="54">
        <v>808059897.75999999</v>
      </c>
      <c r="P2317" s="54">
        <v>834270505.29999995</v>
      </c>
      <c r="Q2317" s="54">
        <v>933247958.36000001</v>
      </c>
      <c r="R2317" s="54">
        <v>973029694.97000003</v>
      </c>
    </row>
    <row r="2318" spans="1:18" x14ac:dyDescent="0.25">
      <c r="A2318" t="s">
        <v>240</v>
      </c>
      <c r="B2318">
        <v>2019</v>
      </c>
      <c r="C2318" t="s">
        <v>239</v>
      </c>
      <c r="D2318" s="54">
        <v>1450000000</v>
      </c>
      <c r="E2318" s="54">
        <v>1450000000</v>
      </c>
      <c r="F2318" s="54">
        <v>1450000000</v>
      </c>
      <c r="G2318" s="54">
        <v>123035612.44</v>
      </c>
      <c r="H2318" s="54">
        <v>103741023.63</v>
      </c>
      <c r="I2318" s="54">
        <v>99468297.390000001</v>
      </c>
      <c r="J2318" s="54">
        <v>79152489.540000007</v>
      </c>
      <c r="K2318" s="54">
        <v>87460860.549999997</v>
      </c>
      <c r="L2318" s="54">
        <v>112000989.05</v>
      </c>
      <c r="M2318" s="54">
        <v>121052962.39</v>
      </c>
      <c r="N2318" s="54">
        <v>116187525.06</v>
      </c>
      <c r="O2318" s="54">
        <v>99860076.049999997</v>
      </c>
      <c r="P2318" s="54">
        <v>91935151.829999998</v>
      </c>
      <c r="Q2318" s="54">
        <v>97672818.920000002</v>
      </c>
      <c r="R2318" s="54">
        <v>106003446.48999999</v>
      </c>
    </row>
    <row r="2319" spans="1:18" x14ac:dyDescent="0.25">
      <c r="A2319" t="s">
        <v>236</v>
      </c>
      <c r="B2319">
        <v>2019</v>
      </c>
      <c r="C2319" t="s">
        <v>235</v>
      </c>
      <c r="D2319" s="54">
        <v>6000000000</v>
      </c>
      <c r="E2319" s="54">
        <v>6000000000</v>
      </c>
      <c r="F2319" s="54">
        <v>6000000000</v>
      </c>
      <c r="G2319" s="54">
        <v>304922159.13999999</v>
      </c>
      <c r="H2319" s="54">
        <v>301319638.54000002</v>
      </c>
      <c r="I2319" s="54">
        <v>314400264.75999999</v>
      </c>
      <c r="J2319" s="54">
        <v>371058454.52999997</v>
      </c>
      <c r="K2319" s="54">
        <v>603535727.66999996</v>
      </c>
      <c r="L2319" s="54">
        <v>577178196.02999997</v>
      </c>
      <c r="M2319" s="54">
        <v>465243900.36000001</v>
      </c>
      <c r="N2319" s="54">
        <v>370289996.06999999</v>
      </c>
      <c r="O2319" s="54">
        <v>491233316.60000002</v>
      </c>
      <c r="P2319" s="54">
        <v>642454390.27999997</v>
      </c>
      <c r="Q2319" s="54">
        <v>828098610.29999995</v>
      </c>
      <c r="R2319" s="54">
        <v>734683170.63</v>
      </c>
    </row>
    <row r="2320" spans="1:18" x14ac:dyDescent="0.25">
      <c r="A2320" t="s">
        <v>234</v>
      </c>
      <c r="B2320">
        <v>2019</v>
      </c>
      <c r="C2320" t="s">
        <v>233</v>
      </c>
      <c r="D2320" s="54">
        <v>1000000</v>
      </c>
      <c r="E2320" s="54">
        <v>1000000</v>
      </c>
      <c r="F2320" s="54">
        <v>1000000</v>
      </c>
      <c r="G2320" s="54">
        <v>31147.75</v>
      </c>
      <c r="H2320" s="54">
        <v>53560.3</v>
      </c>
      <c r="I2320" s="54">
        <v>37499</v>
      </c>
      <c r="J2320" s="54">
        <v>62248.25</v>
      </c>
      <c r="K2320" s="54">
        <v>139851.53</v>
      </c>
      <c r="L2320" s="54">
        <v>791686.84</v>
      </c>
      <c r="M2320" s="54">
        <v>676904.77</v>
      </c>
      <c r="N2320" s="54">
        <v>1127164.93</v>
      </c>
      <c r="O2320" s="54">
        <v>2741557.87</v>
      </c>
      <c r="P2320" s="54">
        <v>5193535.1500000004</v>
      </c>
      <c r="Q2320" s="54">
        <v>6141135.2300000004</v>
      </c>
      <c r="R2320" s="54">
        <v>2074994.56</v>
      </c>
    </row>
    <row r="2321" spans="1:18" x14ac:dyDescent="0.25">
      <c r="A2321" t="s">
        <v>230</v>
      </c>
      <c r="B2321">
        <v>2019</v>
      </c>
      <c r="C2321" t="s">
        <v>229</v>
      </c>
      <c r="D2321" s="54">
        <v>20688000000</v>
      </c>
      <c r="E2321" s="54">
        <v>20688000000</v>
      </c>
      <c r="F2321" s="54">
        <v>20688000000</v>
      </c>
      <c r="G2321" s="54">
        <v>2300867230.6500001</v>
      </c>
      <c r="H2321" s="54">
        <v>965535198.22000003</v>
      </c>
      <c r="I2321" s="54">
        <v>1447062214.8199999</v>
      </c>
      <c r="J2321" s="54">
        <v>981102429.85000002</v>
      </c>
      <c r="K2321" s="54">
        <v>1674458423.29</v>
      </c>
      <c r="L2321" s="54">
        <v>1579957343.3299999</v>
      </c>
      <c r="M2321" s="54">
        <v>1576548707.5599999</v>
      </c>
      <c r="N2321" s="54">
        <v>1008482404.23</v>
      </c>
      <c r="O2321" s="54">
        <v>1298600641.79</v>
      </c>
      <c r="P2321" s="54">
        <v>1783142586.0799999</v>
      </c>
      <c r="Q2321" s="54">
        <v>1356128335.26</v>
      </c>
      <c r="R2321" s="54">
        <v>1636239477.1300001</v>
      </c>
    </row>
    <row r="2322" spans="1:18" x14ac:dyDescent="0.25">
      <c r="A2322" t="s">
        <v>377</v>
      </c>
      <c r="B2322">
        <v>2019</v>
      </c>
      <c r="C2322" t="s">
        <v>410</v>
      </c>
      <c r="D2322" s="54">
        <v>5757000000</v>
      </c>
      <c r="E2322" s="54">
        <v>5757000000</v>
      </c>
      <c r="F2322" s="54">
        <v>5757000000</v>
      </c>
      <c r="G2322" s="54">
        <v>545655197.86000001</v>
      </c>
      <c r="H2322" s="54">
        <v>465091493.04000002</v>
      </c>
      <c r="I2322" s="54">
        <v>506598085.87</v>
      </c>
      <c r="J2322" s="54">
        <v>644486743.52999997</v>
      </c>
      <c r="K2322" s="54">
        <v>480688194.22000003</v>
      </c>
      <c r="L2322" s="54">
        <v>382801782.07999998</v>
      </c>
      <c r="M2322" s="54">
        <v>744308416.07000005</v>
      </c>
      <c r="N2322" s="54">
        <v>824768940.96000004</v>
      </c>
      <c r="O2322" s="54">
        <v>764765782.70000005</v>
      </c>
      <c r="P2322" s="54">
        <v>902617485.46000004</v>
      </c>
      <c r="Q2322" s="54">
        <v>618212026.91999996</v>
      </c>
      <c r="R2322" s="54">
        <v>1043619084.9</v>
      </c>
    </row>
    <row r="2323" spans="1:18" x14ac:dyDescent="0.25">
      <c r="A2323" t="s">
        <v>228</v>
      </c>
      <c r="B2323">
        <v>2019</v>
      </c>
      <c r="C2323" t="s">
        <v>227</v>
      </c>
      <c r="D2323" s="54">
        <v>30033000000</v>
      </c>
      <c r="E2323" s="54">
        <v>30033000000</v>
      </c>
      <c r="F2323" s="54">
        <v>30033000000</v>
      </c>
      <c r="G2323" s="54">
        <v>2612639644.27</v>
      </c>
      <c r="H2323" s="54">
        <v>2634717473.5700002</v>
      </c>
      <c r="I2323" s="54">
        <v>2722259530.3699999</v>
      </c>
      <c r="J2323" s="54">
        <v>2821801984.77</v>
      </c>
      <c r="K2323" s="54">
        <v>2717551001.4299998</v>
      </c>
      <c r="L2323" s="54">
        <v>2714493383.9699998</v>
      </c>
      <c r="M2323" s="54">
        <v>2733097356.0999999</v>
      </c>
      <c r="N2323" s="54">
        <v>2760062796.3499999</v>
      </c>
      <c r="O2323" s="54">
        <v>2770289930.3600001</v>
      </c>
      <c r="P2323" s="54">
        <v>2834459095.2399998</v>
      </c>
      <c r="Q2323" s="54">
        <v>2787818936.6700001</v>
      </c>
      <c r="R2323" s="54">
        <v>2812863517.4899998</v>
      </c>
    </row>
    <row r="2324" spans="1:18" x14ac:dyDescent="0.25">
      <c r="A2324" t="s">
        <v>226</v>
      </c>
      <c r="B2324">
        <v>2019</v>
      </c>
      <c r="C2324" t="s">
        <v>225</v>
      </c>
      <c r="D2324" s="54">
        <v>13050000000</v>
      </c>
      <c r="E2324" s="54">
        <v>13050000000</v>
      </c>
      <c r="F2324" s="54">
        <v>13050000000</v>
      </c>
      <c r="G2324" s="54">
        <v>1452446455.29</v>
      </c>
      <c r="H2324" s="54">
        <v>1413380876.0599999</v>
      </c>
      <c r="I2324" s="54">
        <v>1322012953.1099999</v>
      </c>
      <c r="J2324" s="54">
        <v>1390150050.24</v>
      </c>
      <c r="K2324" s="54">
        <v>1295083354.99</v>
      </c>
      <c r="L2324" s="54">
        <v>1278131494.1099999</v>
      </c>
      <c r="M2324" s="54">
        <v>1326976585.53</v>
      </c>
      <c r="N2324" s="54">
        <v>1400952837.8199999</v>
      </c>
      <c r="O2324" s="54">
        <v>1426866912.99</v>
      </c>
      <c r="P2324" s="54">
        <v>1298539820.8499999</v>
      </c>
      <c r="Q2324" s="54">
        <v>1284888914.45</v>
      </c>
      <c r="R2324" s="54">
        <v>1281571238.5899999</v>
      </c>
    </row>
    <row r="2325" spans="1:18" x14ac:dyDescent="0.25">
      <c r="A2325" t="s">
        <v>224</v>
      </c>
      <c r="B2325">
        <v>2019</v>
      </c>
      <c r="C2325" t="s">
        <v>223</v>
      </c>
      <c r="D2325" s="54">
        <v>4472000000</v>
      </c>
      <c r="E2325" s="54">
        <v>4472000000</v>
      </c>
      <c r="F2325" s="54">
        <v>4472000000</v>
      </c>
      <c r="G2325" s="54">
        <v>272962163.10000002</v>
      </c>
      <c r="H2325" s="54">
        <v>270937823.69999999</v>
      </c>
      <c r="I2325" s="54">
        <v>270624034.79000002</v>
      </c>
      <c r="J2325" s="54">
        <v>261749729.16</v>
      </c>
      <c r="K2325" s="54">
        <v>264456104.30000001</v>
      </c>
      <c r="L2325" s="54">
        <v>259507789.47999999</v>
      </c>
      <c r="M2325" s="54">
        <v>212449637.19999999</v>
      </c>
      <c r="N2325" s="54">
        <v>210693748.37</v>
      </c>
      <c r="O2325" s="54">
        <v>207650052.06999999</v>
      </c>
      <c r="P2325" s="54">
        <v>209814652.21000001</v>
      </c>
      <c r="Q2325" s="54">
        <v>204074762.19999999</v>
      </c>
      <c r="R2325" s="54">
        <v>202651910.16999999</v>
      </c>
    </row>
    <row r="2326" spans="1:18" x14ac:dyDescent="0.25">
      <c r="A2326" t="s">
        <v>222</v>
      </c>
      <c r="B2326">
        <v>2019</v>
      </c>
      <c r="C2326" t="s">
        <v>221</v>
      </c>
      <c r="D2326" s="54">
        <v>3000000</v>
      </c>
      <c r="E2326" s="54">
        <v>3000000</v>
      </c>
      <c r="F2326" s="54">
        <v>3000000</v>
      </c>
      <c r="G2326" s="54">
        <v>162755.04999999999</v>
      </c>
      <c r="H2326" s="54">
        <v>198450.31</v>
      </c>
      <c r="I2326" s="54">
        <v>245363.85</v>
      </c>
      <c r="J2326" s="54">
        <v>219626.91</v>
      </c>
      <c r="K2326" s="54">
        <v>265729.5</v>
      </c>
      <c r="L2326" s="54">
        <v>211193.63</v>
      </c>
      <c r="M2326" s="54">
        <v>240249.63</v>
      </c>
      <c r="N2326" s="54">
        <v>230136.56</v>
      </c>
      <c r="O2326" s="54">
        <v>230169.78</v>
      </c>
      <c r="P2326" s="54">
        <v>236702.41</v>
      </c>
      <c r="Q2326" s="54">
        <v>207562.2</v>
      </c>
      <c r="R2326" s="54">
        <v>240815.78</v>
      </c>
    </row>
    <row r="2327" spans="1:18" x14ac:dyDescent="0.25">
      <c r="A2327" t="s">
        <v>219</v>
      </c>
      <c r="B2327">
        <v>2019</v>
      </c>
      <c r="C2327" t="s">
        <v>408</v>
      </c>
      <c r="D2327" s="54">
        <v>44000000</v>
      </c>
      <c r="E2327" s="54">
        <v>44000000</v>
      </c>
      <c r="F2327" s="54">
        <v>44000000</v>
      </c>
      <c r="G2327" s="54">
        <v>3675188.18</v>
      </c>
      <c r="H2327" s="54">
        <v>5304912.63</v>
      </c>
      <c r="I2327" s="54">
        <v>3389429.86</v>
      </c>
      <c r="J2327" s="54">
        <v>2876476.36</v>
      </c>
      <c r="K2327" s="54">
        <v>3354449.01</v>
      </c>
      <c r="L2327" s="54">
        <v>3095811.16</v>
      </c>
      <c r="M2327" s="54">
        <v>5264735.32</v>
      </c>
      <c r="N2327" s="54">
        <v>3175183.34</v>
      </c>
      <c r="O2327" s="54">
        <v>3296630.8</v>
      </c>
      <c r="P2327" s="54">
        <v>3709225.33</v>
      </c>
      <c r="Q2327" s="54">
        <v>4017156.42</v>
      </c>
      <c r="R2327" s="54">
        <v>5014095.17</v>
      </c>
    </row>
    <row r="2328" spans="1:18" x14ac:dyDescent="0.25">
      <c r="A2328" t="s">
        <v>217</v>
      </c>
      <c r="B2328">
        <v>2019</v>
      </c>
      <c r="C2328" t="s">
        <v>216</v>
      </c>
      <c r="D2328" s="54">
        <v>17500000</v>
      </c>
      <c r="E2328" s="54">
        <v>17500000</v>
      </c>
      <c r="F2328" s="54">
        <v>17500000</v>
      </c>
      <c r="G2328" s="54">
        <v>1565066.59</v>
      </c>
      <c r="H2328" s="54">
        <v>1013763</v>
      </c>
      <c r="I2328" s="54">
        <v>1435535.4</v>
      </c>
      <c r="J2328" s="54">
        <v>995310.56</v>
      </c>
      <c r="K2328" s="54">
        <v>1494896.01</v>
      </c>
      <c r="L2328" s="54">
        <v>935652.67</v>
      </c>
      <c r="M2328" s="54">
        <v>1173459.73</v>
      </c>
      <c r="N2328" s="54">
        <v>974306.47</v>
      </c>
      <c r="O2328" s="54">
        <v>1410562.34</v>
      </c>
      <c r="P2328" s="54">
        <v>1172456.08</v>
      </c>
      <c r="Q2328" s="54">
        <v>0.01</v>
      </c>
      <c r="R2328" s="54">
        <v>1065911.3899999999</v>
      </c>
    </row>
    <row r="2329" spans="1:18" x14ac:dyDescent="0.25">
      <c r="A2329" t="s">
        <v>215</v>
      </c>
      <c r="B2329">
        <v>2019</v>
      </c>
      <c r="C2329" t="s">
        <v>214</v>
      </c>
      <c r="D2329" s="54">
        <v>15000000</v>
      </c>
      <c r="E2329" s="54">
        <v>15000000</v>
      </c>
      <c r="F2329" s="54">
        <v>15000000</v>
      </c>
      <c r="G2329" s="54">
        <v>1593706</v>
      </c>
      <c r="H2329" s="54">
        <v>1719268.27</v>
      </c>
      <c r="I2329" s="54">
        <v>0</v>
      </c>
      <c r="J2329" s="54">
        <v>1873999.89</v>
      </c>
      <c r="K2329" s="54">
        <v>6893804.21</v>
      </c>
      <c r="L2329" s="54">
        <v>6479963.3300000001</v>
      </c>
      <c r="M2329" s="54">
        <v>261348.57</v>
      </c>
      <c r="N2329" s="54">
        <v>2333706</v>
      </c>
      <c r="O2329" s="54">
        <v>5013208.28</v>
      </c>
      <c r="P2329" s="54">
        <v>4582128</v>
      </c>
      <c r="Q2329" s="54">
        <v>4769046.3899999997</v>
      </c>
      <c r="R2329" s="54">
        <v>6136046.9500000002</v>
      </c>
    </row>
    <row r="2330" spans="1:18" x14ac:dyDescent="0.25">
      <c r="A2330" t="s">
        <v>213</v>
      </c>
      <c r="B2330">
        <v>2019</v>
      </c>
      <c r="C2330" t="s">
        <v>212</v>
      </c>
      <c r="D2330" s="54">
        <v>88000000</v>
      </c>
      <c r="E2330" s="54">
        <v>88000000</v>
      </c>
      <c r="F2330" s="54">
        <v>88000000</v>
      </c>
      <c r="G2330" s="54">
        <v>5214307.3499999996</v>
      </c>
      <c r="H2330" s="54">
        <v>4083753.89</v>
      </c>
      <c r="I2330" s="54">
        <v>7380897.1799999997</v>
      </c>
      <c r="J2330" s="54">
        <v>6107620.96</v>
      </c>
      <c r="K2330" s="54">
        <v>3326377.41</v>
      </c>
      <c r="L2330" s="54">
        <v>4686703.96</v>
      </c>
      <c r="M2330" s="54">
        <v>4698411.9800000004</v>
      </c>
      <c r="N2330" s="54">
        <v>2525386.0699999998</v>
      </c>
      <c r="O2330" s="54">
        <v>7381820.7999999998</v>
      </c>
      <c r="P2330" s="54">
        <v>3124071.93</v>
      </c>
      <c r="Q2330" s="54">
        <v>11833619.189999999</v>
      </c>
      <c r="R2330" s="54">
        <v>4423854.55</v>
      </c>
    </row>
    <row r="2331" spans="1:18" x14ac:dyDescent="0.25">
      <c r="A2331" t="s">
        <v>211</v>
      </c>
      <c r="B2331">
        <v>2019</v>
      </c>
      <c r="C2331" t="s">
        <v>210</v>
      </c>
      <c r="D2331" s="54">
        <v>176000000</v>
      </c>
      <c r="E2331" s="54">
        <v>176000000</v>
      </c>
      <c r="F2331" s="54">
        <v>176000000</v>
      </c>
      <c r="G2331" s="54">
        <v>0</v>
      </c>
      <c r="H2331" s="54">
        <v>0</v>
      </c>
      <c r="I2331" s="54">
        <v>48237208.340000004</v>
      </c>
      <c r="J2331" s="54">
        <v>0</v>
      </c>
      <c r="K2331" s="54">
        <v>4680072</v>
      </c>
      <c r="L2331" s="54">
        <v>235561.73</v>
      </c>
      <c r="M2331" s="54">
        <v>0</v>
      </c>
      <c r="N2331" s="54">
        <v>-81150.73</v>
      </c>
      <c r="O2331" s="54">
        <v>0</v>
      </c>
      <c r="P2331" s="54">
        <v>0</v>
      </c>
      <c r="Q2331" s="54">
        <v>14925133.34</v>
      </c>
      <c r="R2331" s="54">
        <v>0</v>
      </c>
    </row>
    <row r="2332" spans="1:18" x14ac:dyDescent="0.25">
      <c r="A2332" t="s">
        <v>209</v>
      </c>
      <c r="B2332">
        <v>2019</v>
      </c>
      <c r="C2332" t="s">
        <v>208</v>
      </c>
      <c r="D2332" s="54">
        <v>14000000</v>
      </c>
      <c r="E2332" s="54">
        <v>14000000</v>
      </c>
      <c r="F2332" s="54">
        <v>14000000</v>
      </c>
      <c r="G2332" s="54">
        <v>46464.5</v>
      </c>
      <c r="H2332" s="54">
        <v>39526.199999999997</v>
      </c>
      <c r="I2332" s="54">
        <v>43529.67</v>
      </c>
      <c r="J2332" s="54">
        <v>720574.2</v>
      </c>
      <c r="K2332" s="54">
        <v>8337076.8300000001</v>
      </c>
      <c r="L2332" s="54">
        <v>1618912.44</v>
      </c>
      <c r="M2332" s="54">
        <v>1406280.86</v>
      </c>
      <c r="N2332" s="54">
        <v>532499.62</v>
      </c>
      <c r="O2332" s="54">
        <v>3435281.57</v>
      </c>
      <c r="P2332" s="54">
        <v>3698338.59</v>
      </c>
      <c r="Q2332" s="54">
        <v>14645251.43</v>
      </c>
      <c r="R2332" s="54">
        <v>7707699</v>
      </c>
    </row>
    <row r="2333" spans="1:18" x14ac:dyDescent="0.25">
      <c r="A2333" t="s">
        <v>407</v>
      </c>
      <c r="B2333">
        <v>2019</v>
      </c>
      <c r="C2333" t="s">
        <v>406</v>
      </c>
      <c r="D2333" s="54">
        <v>0</v>
      </c>
      <c r="E2333" s="54">
        <v>0</v>
      </c>
      <c r="F2333" s="54">
        <v>0</v>
      </c>
      <c r="G2333" s="54">
        <v>0</v>
      </c>
      <c r="H2333" s="54">
        <v>0</v>
      </c>
      <c r="I2333" s="54">
        <v>0</v>
      </c>
      <c r="J2333" s="54">
        <v>0</v>
      </c>
      <c r="K2333" s="54">
        <v>0</v>
      </c>
      <c r="L2333" s="54">
        <v>0</v>
      </c>
      <c r="M2333" s="54">
        <v>84715</v>
      </c>
      <c r="N2333" s="54">
        <v>0</v>
      </c>
      <c r="O2333" s="54">
        <v>0</v>
      </c>
      <c r="P2333" s="54">
        <v>0</v>
      </c>
      <c r="Q2333" s="54">
        <v>0</v>
      </c>
      <c r="R2333" s="54">
        <v>0</v>
      </c>
    </row>
    <row r="2334" spans="1:18" x14ac:dyDescent="0.25">
      <c r="A2334" t="s">
        <v>207</v>
      </c>
      <c r="B2334">
        <v>2019</v>
      </c>
      <c r="C2334" t="s">
        <v>206</v>
      </c>
      <c r="D2334" s="54">
        <v>27520120</v>
      </c>
      <c r="E2334" s="54">
        <v>27520120</v>
      </c>
      <c r="F2334" s="54">
        <v>27520120</v>
      </c>
      <c r="G2334" s="54">
        <v>27520120</v>
      </c>
      <c r="H2334" s="54">
        <v>0</v>
      </c>
      <c r="I2334" s="54">
        <v>0</v>
      </c>
      <c r="J2334" s="54">
        <v>0</v>
      </c>
      <c r="K2334" s="54">
        <v>0</v>
      </c>
      <c r="L2334" s="54">
        <v>0</v>
      </c>
      <c r="M2334" s="54">
        <v>0</v>
      </c>
      <c r="N2334" s="54">
        <v>0</v>
      </c>
      <c r="O2334" s="54">
        <v>0</v>
      </c>
      <c r="P2334" s="54">
        <v>0</v>
      </c>
      <c r="Q2334" s="54">
        <v>0</v>
      </c>
      <c r="R2334" s="54">
        <v>0</v>
      </c>
    </row>
    <row r="2335" spans="1:18" x14ac:dyDescent="0.25">
      <c r="A2335" t="s">
        <v>205</v>
      </c>
      <c r="B2335">
        <v>2019</v>
      </c>
      <c r="C2335" t="s">
        <v>204</v>
      </c>
      <c r="D2335" s="54">
        <v>1340000000</v>
      </c>
      <c r="E2335" s="54">
        <v>1340000000</v>
      </c>
      <c r="F2335" s="54">
        <v>1340000000</v>
      </c>
      <c r="G2335" s="54">
        <v>157967000</v>
      </c>
      <c r="H2335" s="54">
        <v>110821600</v>
      </c>
      <c r="I2335" s="54">
        <v>100844800</v>
      </c>
      <c r="J2335" s="54">
        <v>168313600</v>
      </c>
      <c r="K2335" s="54">
        <v>101551600</v>
      </c>
      <c r="L2335" s="54">
        <v>112570400</v>
      </c>
      <c r="M2335" s="54">
        <v>101578000</v>
      </c>
      <c r="N2335" s="54">
        <v>213180800</v>
      </c>
      <c r="O2335" s="54">
        <v>113075800</v>
      </c>
      <c r="P2335" s="54">
        <v>121256965.5</v>
      </c>
      <c r="Q2335" s="54">
        <v>139805097.5</v>
      </c>
      <c r="R2335" s="54">
        <v>135467854.83000001</v>
      </c>
    </row>
    <row r="2336" spans="1:18" x14ac:dyDescent="0.25">
      <c r="A2336" t="s">
        <v>374</v>
      </c>
      <c r="B2336">
        <v>2019</v>
      </c>
      <c r="C2336" t="s">
        <v>405</v>
      </c>
      <c r="D2336" s="54">
        <v>0</v>
      </c>
      <c r="E2336" s="54">
        <v>0</v>
      </c>
      <c r="F2336" s="54">
        <v>0</v>
      </c>
      <c r="G2336" s="54">
        <v>0</v>
      </c>
      <c r="H2336" s="54">
        <v>0</v>
      </c>
      <c r="I2336" s="54">
        <v>0</v>
      </c>
      <c r="J2336" s="54">
        <v>0</v>
      </c>
      <c r="K2336" s="54">
        <v>0</v>
      </c>
      <c r="L2336" s="54">
        <v>500</v>
      </c>
      <c r="M2336" s="54">
        <v>0</v>
      </c>
      <c r="N2336" s="54">
        <v>0</v>
      </c>
      <c r="O2336" s="54">
        <v>0</v>
      </c>
      <c r="P2336" s="54">
        <v>0</v>
      </c>
      <c r="Q2336" s="54">
        <v>0</v>
      </c>
      <c r="R2336" s="54">
        <v>0</v>
      </c>
    </row>
    <row r="2337" spans="1:18" x14ac:dyDescent="0.25">
      <c r="A2337" t="s">
        <v>203</v>
      </c>
      <c r="B2337">
        <v>2019</v>
      </c>
      <c r="C2337" t="s">
        <v>202</v>
      </c>
      <c r="D2337" s="54">
        <v>6087672078</v>
      </c>
      <c r="E2337" s="54">
        <v>6087672078</v>
      </c>
      <c r="F2337" s="54">
        <v>6087672078</v>
      </c>
      <c r="G2337" s="54">
        <v>302363387.27999997</v>
      </c>
      <c r="H2337" s="54">
        <v>186342253.69</v>
      </c>
      <c r="I2337" s="54">
        <v>26404427.5</v>
      </c>
      <c r="J2337" s="54">
        <v>134880709</v>
      </c>
      <c r="K2337" s="54">
        <v>75732079.219999999</v>
      </c>
      <c r="L2337" s="54">
        <v>322433855.81999999</v>
      </c>
      <c r="M2337" s="54">
        <v>81228601.209999993</v>
      </c>
      <c r="N2337" s="54">
        <v>60087646.32</v>
      </c>
      <c r="O2337" s="54">
        <v>6944207.9199999999</v>
      </c>
      <c r="P2337" s="54">
        <v>65786429.740000002</v>
      </c>
      <c r="Q2337" s="54">
        <v>479443127.18000001</v>
      </c>
      <c r="R2337" s="54">
        <v>3603995087.8600001</v>
      </c>
    </row>
    <row r="2338" spans="1:18" x14ac:dyDescent="0.25">
      <c r="A2338" t="s">
        <v>200</v>
      </c>
      <c r="B2338">
        <v>2019</v>
      </c>
      <c r="C2338" t="s">
        <v>199</v>
      </c>
      <c r="D2338" s="54">
        <v>45000000</v>
      </c>
      <c r="E2338" s="54">
        <v>45000000</v>
      </c>
      <c r="F2338" s="54">
        <v>45000000</v>
      </c>
      <c r="G2338" s="54">
        <v>648108</v>
      </c>
      <c r="H2338" s="54">
        <v>119100</v>
      </c>
      <c r="I2338" s="54">
        <v>1216759</v>
      </c>
      <c r="J2338" s="54">
        <v>449640</v>
      </c>
      <c r="K2338" s="54">
        <v>2640310.5</v>
      </c>
      <c r="L2338" s="54">
        <v>2546615</v>
      </c>
      <c r="M2338" s="54">
        <v>849191</v>
      </c>
      <c r="N2338" s="54">
        <v>1462976</v>
      </c>
      <c r="O2338" s="54">
        <v>1514846</v>
      </c>
      <c r="P2338" s="54">
        <v>2472084</v>
      </c>
      <c r="Q2338" s="54">
        <v>2298914</v>
      </c>
      <c r="R2338" s="54">
        <v>2313688</v>
      </c>
    </row>
    <row r="2339" spans="1:18" x14ac:dyDescent="0.25">
      <c r="A2339" t="s">
        <v>198</v>
      </c>
      <c r="B2339">
        <v>2019</v>
      </c>
      <c r="C2339" t="s">
        <v>197</v>
      </c>
      <c r="D2339" s="54">
        <v>4000000</v>
      </c>
      <c r="E2339" s="54">
        <v>4000000</v>
      </c>
      <c r="F2339" s="54">
        <v>4000000</v>
      </c>
      <c r="G2339" s="54">
        <v>0</v>
      </c>
      <c r="H2339" s="54">
        <v>21530</v>
      </c>
      <c r="I2339" s="54">
        <v>22310</v>
      </c>
      <c r="J2339" s="54">
        <v>268680</v>
      </c>
      <c r="K2339" s="54">
        <v>443290</v>
      </c>
      <c r="L2339" s="54">
        <v>466925.5</v>
      </c>
      <c r="M2339" s="54">
        <v>232100</v>
      </c>
      <c r="N2339" s="54">
        <v>391010</v>
      </c>
      <c r="O2339" s="54">
        <v>753730</v>
      </c>
      <c r="P2339" s="54">
        <v>664650</v>
      </c>
      <c r="Q2339" s="54">
        <v>374400</v>
      </c>
      <c r="R2339" s="54">
        <v>638836</v>
      </c>
    </row>
    <row r="2340" spans="1:18" x14ac:dyDescent="0.25">
      <c r="A2340" t="s">
        <v>196</v>
      </c>
      <c r="B2340">
        <v>2019</v>
      </c>
      <c r="C2340" t="s">
        <v>195</v>
      </c>
      <c r="D2340" s="54">
        <v>88000000</v>
      </c>
      <c r="E2340" s="54">
        <v>88000000</v>
      </c>
      <c r="F2340" s="54">
        <v>88000000</v>
      </c>
      <c r="G2340" s="54">
        <v>3568581</v>
      </c>
      <c r="H2340" s="54">
        <v>2338648</v>
      </c>
      <c r="I2340" s="54">
        <v>2917342.48</v>
      </c>
      <c r="J2340" s="54">
        <v>4209444</v>
      </c>
      <c r="K2340" s="54">
        <v>11985584.85</v>
      </c>
      <c r="L2340" s="54">
        <v>10357868.5</v>
      </c>
      <c r="M2340" s="54">
        <v>5033130.5</v>
      </c>
      <c r="N2340" s="54">
        <v>5791424</v>
      </c>
      <c r="O2340" s="54">
        <v>8047520.5</v>
      </c>
      <c r="P2340" s="54">
        <v>11499993.75</v>
      </c>
      <c r="Q2340" s="54">
        <v>15424364.9</v>
      </c>
      <c r="R2340" s="54">
        <v>10813181.199999999</v>
      </c>
    </row>
    <row r="2341" spans="1:18" x14ac:dyDescent="0.25">
      <c r="A2341" t="s">
        <v>194</v>
      </c>
      <c r="B2341">
        <v>2019</v>
      </c>
      <c r="C2341" t="s">
        <v>193</v>
      </c>
      <c r="D2341" s="54">
        <v>56000000</v>
      </c>
      <c r="E2341" s="54">
        <v>56000000</v>
      </c>
      <c r="F2341" s="54">
        <v>56000000</v>
      </c>
      <c r="G2341" s="54">
        <v>548760</v>
      </c>
      <c r="H2341" s="54">
        <v>460760</v>
      </c>
      <c r="I2341" s="54">
        <v>1000082</v>
      </c>
      <c r="J2341" s="54">
        <v>1568383</v>
      </c>
      <c r="K2341" s="54">
        <v>5423076</v>
      </c>
      <c r="L2341" s="54">
        <v>4956503</v>
      </c>
      <c r="M2341" s="54">
        <v>3368620</v>
      </c>
      <c r="N2341" s="54">
        <v>6145778</v>
      </c>
      <c r="O2341" s="54">
        <v>8989174.5</v>
      </c>
      <c r="P2341" s="54">
        <v>12494918.300000001</v>
      </c>
      <c r="Q2341" s="54">
        <v>13637523</v>
      </c>
      <c r="R2341" s="54">
        <v>8826542</v>
      </c>
    </row>
    <row r="2342" spans="1:18" x14ac:dyDescent="0.25">
      <c r="A2342" t="s">
        <v>191</v>
      </c>
      <c r="B2342">
        <v>2019</v>
      </c>
      <c r="C2342" t="s">
        <v>190</v>
      </c>
      <c r="D2342" s="54">
        <v>6102192655</v>
      </c>
      <c r="E2342" s="54">
        <v>6102192655</v>
      </c>
      <c r="F2342" s="54">
        <v>6102192655</v>
      </c>
      <c r="G2342" s="54">
        <v>0</v>
      </c>
      <c r="H2342" s="54">
        <v>0</v>
      </c>
      <c r="I2342" s="54">
        <v>1093999593.1500001</v>
      </c>
      <c r="J2342" s="54">
        <v>57303855.310000002</v>
      </c>
      <c r="K2342" s="54">
        <v>0</v>
      </c>
      <c r="L2342" s="54">
        <v>0</v>
      </c>
      <c r="M2342" s="54">
        <v>0</v>
      </c>
      <c r="N2342" s="54">
        <v>2187100038.9699998</v>
      </c>
      <c r="O2342" s="54">
        <v>0</v>
      </c>
      <c r="P2342" s="54">
        <v>0</v>
      </c>
      <c r="Q2342" s="54">
        <v>1388287620.3900001</v>
      </c>
      <c r="R2342" s="54">
        <v>0</v>
      </c>
    </row>
    <row r="2343" spans="1:18" x14ac:dyDescent="0.25">
      <c r="A2343" t="s">
        <v>189</v>
      </c>
      <c r="B2343">
        <v>2019</v>
      </c>
      <c r="C2343" t="s">
        <v>188</v>
      </c>
      <c r="D2343" s="54">
        <v>374119797</v>
      </c>
      <c r="E2343" s="54">
        <v>374119797</v>
      </c>
      <c r="F2343" s="54">
        <v>374119797</v>
      </c>
      <c r="G2343" s="54">
        <v>0</v>
      </c>
      <c r="H2343" s="54">
        <v>0</v>
      </c>
      <c r="I2343" s="54">
        <v>65045521.009999998</v>
      </c>
      <c r="J2343" s="54">
        <v>0</v>
      </c>
      <c r="K2343" s="54">
        <v>0</v>
      </c>
      <c r="L2343" s="54">
        <v>0</v>
      </c>
      <c r="M2343" s="54">
        <v>0</v>
      </c>
      <c r="N2343" s="54">
        <v>144710886.52000001</v>
      </c>
      <c r="O2343" s="54">
        <v>0</v>
      </c>
      <c r="P2343" s="54">
        <v>0</v>
      </c>
      <c r="Q2343" s="54">
        <v>80614405.920000002</v>
      </c>
      <c r="R2343" s="54">
        <v>0</v>
      </c>
    </row>
    <row r="2344" spans="1:18" x14ac:dyDescent="0.25">
      <c r="A2344" t="s">
        <v>187</v>
      </c>
      <c r="B2344">
        <v>2019</v>
      </c>
      <c r="C2344" t="s">
        <v>186</v>
      </c>
      <c r="D2344" s="54">
        <v>23000000</v>
      </c>
      <c r="E2344" s="54">
        <v>23000000</v>
      </c>
      <c r="F2344" s="54">
        <v>23000000</v>
      </c>
      <c r="G2344" s="54">
        <v>409000</v>
      </c>
      <c r="H2344" s="54">
        <v>306000</v>
      </c>
      <c r="I2344" s="54">
        <v>867000</v>
      </c>
      <c r="J2344" s="54">
        <v>255000</v>
      </c>
      <c r="K2344" s="54">
        <v>1737000</v>
      </c>
      <c r="L2344" s="54">
        <v>1378000</v>
      </c>
      <c r="M2344" s="54">
        <v>511000</v>
      </c>
      <c r="N2344" s="54">
        <v>805777</v>
      </c>
      <c r="O2344" s="54">
        <v>1381000</v>
      </c>
      <c r="P2344" s="54">
        <v>2307000</v>
      </c>
      <c r="Q2344" s="54">
        <v>2259000</v>
      </c>
      <c r="R2344" s="54">
        <v>2642000</v>
      </c>
    </row>
    <row r="2345" spans="1:18" x14ac:dyDescent="0.25">
      <c r="A2345" t="s">
        <v>185</v>
      </c>
      <c r="B2345">
        <v>2019</v>
      </c>
      <c r="C2345" t="s">
        <v>184</v>
      </c>
      <c r="D2345" s="54">
        <v>50000000</v>
      </c>
      <c r="E2345" s="54">
        <v>50000000</v>
      </c>
      <c r="F2345" s="54">
        <v>50000000</v>
      </c>
      <c r="G2345" s="54">
        <v>0</v>
      </c>
      <c r="H2345" s="54">
        <v>0</v>
      </c>
      <c r="I2345" s="54">
        <v>0</v>
      </c>
      <c r="J2345" s="54">
        <v>4275000</v>
      </c>
      <c r="K2345" s="54">
        <v>114783</v>
      </c>
      <c r="L2345" s="54">
        <v>10225700</v>
      </c>
      <c r="M2345" s="54">
        <v>740000</v>
      </c>
      <c r="N2345" s="54">
        <v>166500</v>
      </c>
      <c r="O2345" s="54">
        <v>3795000</v>
      </c>
      <c r="P2345" s="54">
        <v>13000</v>
      </c>
      <c r="Q2345" s="54">
        <v>5440000</v>
      </c>
      <c r="R2345" s="54">
        <v>1879000</v>
      </c>
    </row>
    <row r="2346" spans="1:18" x14ac:dyDescent="0.25">
      <c r="A2346" t="s">
        <v>183</v>
      </c>
      <c r="B2346">
        <v>2019</v>
      </c>
      <c r="C2346" t="s">
        <v>182</v>
      </c>
      <c r="D2346" s="54">
        <v>708000000</v>
      </c>
      <c r="E2346" s="54">
        <v>708000000</v>
      </c>
      <c r="F2346" s="54">
        <v>708000000</v>
      </c>
      <c r="G2346" s="54">
        <v>1293000</v>
      </c>
      <c r="H2346" s="54">
        <v>0</v>
      </c>
      <c r="I2346" s="54">
        <v>493284961.44999999</v>
      </c>
      <c r="J2346" s="54">
        <v>0</v>
      </c>
      <c r="K2346" s="54">
        <v>0</v>
      </c>
      <c r="L2346" s="54">
        <v>0</v>
      </c>
      <c r="M2346" s="54">
        <v>313125</v>
      </c>
      <c r="N2346" s="54">
        <v>0</v>
      </c>
      <c r="O2346" s="54">
        <v>0</v>
      </c>
      <c r="P2346" s="54">
        <v>0</v>
      </c>
      <c r="Q2346" s="54">
        <v>6458655.9800000004</v>
      </c>
      <c r="R2346" s="54">
        <v>2677200</v>
      </c>
    </row>
    <row r="2347" spans="1:18" x14ac:dyDescent="0.25">
      <c r="A2347" t="s">
        <v>181</v>
      </c>
      <c r="B2347">
        <v>2019</v>
      </c>
      <c r="C2347" t="s">
        <v>179</v>
      </c>
      <c r="D2347" s="54">
        <v>2000000</v>
      </c>
      <c r="E2347" s="54">
        <v>2000000</v>
      </c>
      <c r="F2347" s="54">
        <v>2000000</v>
      </c>
      <c r="G2347" s="54">
        <v>24070.5</v>
      </c>
      <c r="H2347" s="54">
        <v>2474125</v>
      </c>
      <c r="I2347" s="54">
        <v>1950775</v>
      </c>
      <c r="J2347" s="54">
        <v>2540800</v>
      </c>
      <c r="K2347" s="54">
        <v>2331343.63</v>
      </c>
      <c r="L2347" s="54">
        <v>267772.75</v>
      </c>
      <c r="M2347" s="54">
        <v>2133430.5</v>
      </c>
      <c r="N2347" s="54">
        <v>20000.080000000002</v>
      </c>
      <c r="O2347" s="54">
        <v>2763125.4</v>
      </c>
      <c r="P2347" s="54">
        <v>3188624.5</v>
      </c>
      <c r="Q2347" s="54">
        <v>6385861.25</v>
      </c>
      <c r="R2347" s="54">
        <v>3969043.5</v>
      </c>
    </row>
    <row r="2348" spans="1:18" x14ac:dyDescent="0.25">
      <c r="A2348" t="s">
        <v>178</v>
      </c>
      <c r="B2348">
        <v>2019</v>
      </c>
      <c r="C2348" t="s">
        <v>177</v>
      </c>
      <c r="D2348" s="54">
        <v>24032000000</v>
      </c>
      <c r="E2348" s="54">
        <v>24032000000</v>
      </c>
      <c r="F2348" s="54">
        <v>24032000000</v>
      </c>
      <c r="G2348" s="54">
        <v>0</v>
      </c>
      <c r="H2348" s="54">
        <v>0</v>
      </c>
      <c r="I2348" s="54">
        <v>19100590949.060001</v>
      </c>
      <c r="J2348" s="54">
        <v>-501505722.67000002</v>
      </c>
      <c r="K2348" s="54">
        <v>0</v>
      </c>
      <c r="L2348" s="54">
        <v>0</v>
      </c>
      <c r="M2348" s="54">
        <v>0</v>
      </c>
      <c r="N2348" s="54">
        <v>0</v>
      </c>
      <c r="O2348" s="54">
        <v>0</v>
      </c>
      <c r="P2348" s="54">
        <v>0</v>
      </c>
      <c r="Q2348" s="54">
        <v>0</v>
      </c>
      <c r="R2348" s="54">
        <v>0</v>
      </c>
    </row>
    <row r="2349" spans="1:18" x14ac:dyDescent="0.25">
      <c r="A2349" t="s">
        <v>1243</v>
      </c>
      <c r="B2349">
        <v>2019</v>
      </c>
      <c r="C2349" t="s">
        <v>1244</v>
      </c>
      <c r="D2349" s="54">
        <v>0</v>
      </c>
      <c r="E2349" s="54">
        <v>4566866096.6899996</v>
      </c>
      <c r="F2349" s="54">
        <v>4566866096.6899996</v>
      </c>
      <c r="G2349" s="54">
        <v>0</v>
      </c>
      <c r="H2349" s="54">
        <v>15456600.85</v>
      </c>
      <c r="I2349" s="54">
        <v>791382763.35000002</v>
      </c>
      <c r="J2349" s="54">
        <v>0</v>
      </c>
      <c r="K2349" s="54">
        <v>0</v>
      </c>
      <c r="L2349" s="54">
        <v>0</v>
      </c>
      <c r="M2349" s="54">
        <v>1215200000</v>
      </c>
      <c r="N2349" s="54">
        <v>2560283333.3400002</v>
      </c>
      <c r="O2349" s="54">
        <v>0</v>
      </c>
      <c r="P2349" s="54">
        <v>0</v>
      </c>
      <c r="Q2349" s="54">
        <v>0</v>
      </c>
      <c r="R2349" s="54">
        <v>0</v>
      </c>
    </row>
    <row r="2350" spans="1:18" x14ac:dyDescent="0.25">
      <c r="A2350" t="s">
        <v>176</v>
      </c>
      <c r="B2350">
        <v>2019</v>
      </c>
      <c r="C2350" t="s">
        <v>175</v>
      </c>
      <c r="D2350" s="54">
        <v>159000000</v>
      </c>
      <c r="E2350" s="54">
        <v>159000000</v>
      </c>
      <c r="F2350" s="54">
        <v>159000000</v>
      </c>
      <c r="G2350" s="54">
        <v>13457550.32</v>
      </c>
      <c r="H2350" s="54">
        <v>10170504.17</v>
      </c>
      <c r="I2350" s="54">
        <v>82167555.260000005</v>
      </c>
      <c r="J2350" s="54">
        <v>-48546794.210000001</v>
      </c>
      <c r="K2350" s="54">
        <v>116075651.16</v>
      </c>
      <c r="L2350" s="54">
        <v>13395421.130000001</v>
      </c>
      <c r="M2350" s="54">
        <v>17355937.68</v>
      </c>
      <c r="N2350" s="54">
        <v>9828882.8200000003</v>
      </c>
      <c r="O2350" s="54">
        <v>12752631.359999999</v>
      </c>
      <c r="P2350" s="54">
        <v>4772296.49</v>
      </c>
      <c r="Q2350" s="54">
        <v>6434100.2999999998</v>
      </c>
      <c r="R2350" s="54">
        <v>50230600.280000001</v>
      </c>
    </row>
    <row r="2351" spans="1:18" x14ac:dyDescent="0.25">
      <c r="A2351" t="s">
        <v>174</v>
      </c>
      <c r="B2351">
        <v>2019</v>
      </c>
      <c r="C2351" t="s">
        <v>173</v>
      </c>
      <c r="D2351" s="54">
        <v>400000000</v>
      </c>
      <c r="E2351" s="54">
        <v>400000000</v>
      </c>
      <c r="F2351" s="54">
        <v>400000000</v>
      </c>
      <c r="G2351" s="54">
        <v>0</v>
      </c>
      <c r="H2351" s="54">
        <v>0</v>
      </c>
      <c r="I2351" s="54">
        <v>26456272.66</v>
      </c>
      <c r="J2351" s="54">
        <v>0</v>
      </c>
      <c r="K2351" s="54">
        <v>0</v>
      </c>
      <c r="L2351" s="54">
        <v>0</v>
      </c>
      <c r="M2351" s="54">
        <v>165163363.94999999</v>
      </c>
      <c r="N2351" s="54">
        <v>0</v>
      </c>
      <c r="O2351" s="54">
        <v>0</v>
      </c>
      <c r="P2351" s="54">
        <v>0</v>
      </c>
      <c r="Q2351" s="54">
        <v>30446.17</v>
      </c>
      <c r="R2351" s="54">
        <v>119042649.31999999</v>
      </c>
    </row>
    <row r="2352" spans="1:18" x14ac:dyDescent="0.25">
      <c r="A2352" t="s">
        <v>172</v>
      </c>
      <c r="B2352">
        <v>2019</v>
      </c>
      <c r="C2352" t="s">
        <v>171</v>
      </c>
      <c r="D2352" s="54">
        <v>5495000000</v>
      </c>
      <c r="E2352" s="54">
        <v>5495000000</v>
      </c>
      <c r="F2352" s="54">
        <v>5495000000</v>
      </c>
      <c r="G2352" s="54">
        <v>678312190</v>
      </c>
      <c r="H2352" s="54">
        <v>1905138306</v>
      </c>
      <c r="I2352" s="54">
        <v>1158275275</v>
      </c>
      <c r="J2352" s="54">
        <v>341163085</v>
      </c>
      <c r="K2352" s="54">
        <v>349843082</v>
      </c>
      <c r="L2352" s="54">
        <v>426186523</v>
      </c>
      <c r="M2352" s="54">
        <v>737891890</v>
      </c>
      <c r="N2352" s="54">
        <v>336592091</v>
      </c>
      <c r="O2352" s="54">
        <v>66872315</v>
      </c>
      <c r="P2352" s="54">
        <v>396742564</v>
      </c>
      <c r="Q2352" s="54">
        <v>501752017</v>
      </c>
      <c r="R2352" s="54">
        <v>735408096</v>
      </c>
    </row>
    <row r="2353" spans="1:18" x14ac:dyDescent="0.25">
      <c r="A2353" t="s">
        <v>170</v>
      </c>
      <c r="B2353">
        <v>2019</v>
      </c>
      <c r="C2353" t="s">
        <v>168</v>
      </c>
      <c r="D2353" s="54">
        <v>795000000</v>
      </c>
      <c r="E2353" s="54">
        <v>795000000</v>
      </c>
      <c r="F2353" s="54">
        <v>795000000</v>
      </c>
      <c r="G2353" s="54">
        <v>132020000.95999999</v>
      </c>
      <c r="H2353" s="54">
        <v>182589978.09</v>
      </c>
      <c r="I2353" s="54">
        <v>177569122.97</v>
      </c>
      <c r="J2353" s="54">
        <v>177714814.66999999</v>
      </c>
      <c r="K2353" s="54">
        <v>151770313.88999999</v>
      </c>
      <c r="L2353" s="54">
        <v>132946176.54000001</v>
      </c>
      <c r="M2353" s="54">
        <v>147861798.28999999</v>
      </c>
      <c r="N2353" s="54">
        <v>237550075.06999999</v>
      </c>
      <c r="O2353" s="54">
        <v>260630927.55000001</v>
      </c>
      <c r="P2353" s="54">
        <v>123891449.38</v>
      </c>
      <c r="Q2353" s="54">
        <v>132285737.27</v>
      </c>
      <c r="R2353" s="54">
        <v>103748138.58</v>
      </c>
    </row>
    <row r="2354" spans="1:18" x14ac:dyDescent="0.25">
      <c r="A2354" t="s">
        <v>167</v>
      </c>
      <c r="B2354">
        <v>2019</v>
      </c>
      <c r="C2354" t="s">
        <v>166</v>
      </c>
      <c r="D2354" s="54">
        <v>4275000000</v>
      </c>
      <c r="E2354" s="54">
        <v>4275000000</v>
      </c>
      <c r="F2354" s="54">
        <v>4275000000</v>
      </c>
      <c r="G2354" s="54">
        <v>6498560384.5200005</v>
      </c>
      <c r="H2354" s="54">
        <v>10732278</v>
      </c>
      <c r="I2354" s="54">
        <v>2028091248</v>
      </c>
      <c r="J2354" s="54">
        <v>258047246</v>
      </c>
      <c r="K2354" s="54">
        <v>573765804</v>
      </c>
      <c r="L2354" s="54">
        <v>505367726.02999997</v>
      </c>
      <c r="M2354" s="54">
        <v>410546751</v>
      </c>
      <c r="N2354" s="54">
        <v>499416747</v>
      </c>
      <c r="O2354" s="54">
        <v>563603983</v>
      </c>
      <c r="P2354" s="54">
        <v>575525751</v>
      </c>
      <c r="Q2354" s="54">
        <v>389195275</v>
      </c>
      <c r="R2354" s="54">
        <v>306131646</v>
      </c>
    </row>
    <row r="2355" spans="1:18" x14ac:dyDescent="0.25">
      <c r="A2355" t="s">
        <v>165</v>
      </c>
      <c r="B2355">
        <v>2019</v>
      </c>
      <c r="C2355" t="s">
        <v>164</v>
      </c>
      <c r="D2355" s="54">
        <v>175000000</v>
      </c>
      <c r="E2355" s="54">
        <v>175000000</v>
      </c>
      <c r="F2355" s="54">
        <v>175000000</v>
      </c>
      <c r="G2355" s="54">
        <v>301757.87</v>
      </c>
      <c r="H2355" s="54">
        <v>2721000</v>
      </c>
      <c r="I2355" s="54">
        <v>2203937.5</v>
      </c>
      <c r="J2355" s="54">
        <v>3562634.78</v>
      </c>
      <c r="K2355" s="54">
        <v>8824206.0600000005</v>
      </c>
      <c r="L2355" s="54">
        <v>3690218.1</v>
      </c>
      <c r="M2355" s="54">
        <v>1964869.94</v>
      </c>
      <c r="N2355" s="54">
        <v>238266.77</v>
      </c>
      <c r="O2355" s="54">
        <v>50879444.07</v>
      </c>
      <c r="P2355" s="54">
        <v>23028855.25</v>
      </c>
      <c r="Q2355" s="54">
        <v>4700000</v>
      </c>
      <c r="R2355" s="54">
        <v>-790000</v>
      </c>
    </row>
    <row r="2356" spans="1:18" x14ac:dyDescent="0.25">
      <c r="A2356" t="s">
        <v>445</v>
      </c>
      <c r="B2356">
        <v>2019</v>
      </c>
      <c r="C2356" t="s">
        <v>444</v>
      </c>
      <c r="D2356" s="54">
        <v>0</v>
      </c>
      <c r="E2356" s="54">
        <v>0</v>
      </c>
      <c r="F2356" s="54">
        <v>0</v>
      </c>
      <c r="G2356" s="54">
        <v>144600600</v>
      </c>
      <c r="H2356" s="54">
        <v>83468000</v>
      </c>
      <c r="I2356" s="54">
        <v>2163600</v>
      </c>
      <c r="J2356" s="54">
        <v>107920000</v>
      </c>
      <c r="K2356" s="54">
        <v>0</v>
      </c>
      <c r="L2356" s="54">
        <v>0</v>
      </c>
      <c r="M2356" s="54">
        <v>0</v>
      </c>
      <c r="N2356" s="54">
        <v>0</v>
      </c>
      <c r="O2356" s="54">
        <v>0</v>
      </c>
      <c r="P2356" s="54">
        <v>0</v>
      </c>
      <c r="Q2356" s="54">
        <v>0</v>
      </c>
      <c r="R2356" s="54">
        <v>0</v>
      </c>
    </row>
    <row r="2357" spans="1:18" x14ac:dyDescent="0.25">
      <c r="A2357" t="s">
        <v>163</v>
      </c>
      <c r="B2357">
        <v>2019</v>
      </c>
      <c r="C2357" t="s">
        <v>162</v>
      </c>
      <c r="D2357" s="54">
        <v>157000000</v>
      </c>
      <c r="E2357" s="54">
        <v>157000000</v>
      </c>
      <c r="F2357" s="54">
        <v>157000000</v>
      </c>
      <c r="G2357" s="54">
        <v>2602500</v>
      </c>
      <c r="H2357" s="54">
        <v>5063000</v>
      </c>
      <c r="I2357" s="54">
        <v>9822500</v>
      </c>
      <c r="J2357" s="54">
        <v>12754000</v>
      </c>
      <c r="K2357" s="54">
        <v>52624343.130000003</v>
      </c>
      <c r="L2357" s="54">
        <v>24003203.75</v>
      </c>
      <c r="M2357" s="54">
        <v>7738500</v>
      </c>
      <c r="N2357" s="54">
        <v>39460000</v>
      </c>
      <c r="O2357" s="54">
        <v>29088002.329999998</v>
      </c>
      <c r="P2357" s="54">
        <v>29672500</v>
      </c>
      <c r="Q2357" s="54">
        <v>35198000</v>
      </c>
      <c r="R2357" s="54">
        <v>7099000</v>
      </c>
    </row>
    <row r="2358" spans="1:18" x14ac:dyDescent="0.25">
      <c r="A2358" t="s">
        <v>161</v>
      </c>
      <c r="B2358">
        <v>2019</v>
      </c>
      <c r="C2358" t="s">
        <v>160</v>
      </c>
      <c r="D2358" s="54">
        <v>79000000</v>
      </c>
      <c r="E2358" s="54">
        <v>79000000</v>
      </c>
      <c r="F2358" s="54">
        <v>79000000</v>
      </c>
      <c r="G2358" s="54">
        <v>407408.73</v>
      </c>
      <c r="H2358" s="54">
        <v>29247489.27</v>
      </c>
      <c r="I2358" s="54">
        <v>9850563.2100000009</v>
      </c>
      <c r="J2358" s="54">
        <v>60289508.810000002</v>
      </c>
      <c r="K2358" s="54">
        <v>30004759.73</v>
      </c>
      <c r="L2358" s="54">
        <v>7337725.3499999996</v>
      </c>
      <c r="M2358" s="54">
        <v>34936391.990000002</v>
      </c>
      <c r="N2358" s="54">
        <v>23179598.41</v>
      </c>
      <c r="O2358" s="54">
        <v>3338210.69</v>
      </c>
      <c r="P2358" s="54">
        <v>9014702.0600000005</v>
      </c>
      <c r="Q2358" s="54">
        <v>8258244.3399999999</v>
      </c>
      <c r="R2358" s="54">
        <v>25141851.350000001</v>
      </c>
    </row>
    <row r="2359" spans="1:18" x14ac:dyDescent="0.25">
      <c r="A2359" t="s">
        <v>159</v>
      </c>
      <c r="B2359">
        <v>2019</v>
      </c>
      <c r="C2359" t="s">
        <v>158</v>
      </c>
      <c r="D2359" s="54">
        <v>200000000</v>
      </c>
      <c r="E2359" s="54">
        <v>200000000</v>
      </c>
      <c r="F2359" s="54">
        <v>200000000</v>
      </c>
      <c r="G2359" s="54">
        <v>0</v>
      </c>
      <c r="H2359" s="54">
        <v>0</v>
      </c>
      <c r="I2359" s="54">
        <v>0</v>
      </c>
      <c r="J2359" s="54">
        <v>0</v>
      </c>
      <c r="K2359" s="54">
        <v>0</v>
      </c>
      <c r="L2359" s="54">
        <v>0</v>
      </c>
      <c r="M2359" s="54">
        <v>0</v>
      </c>
      <c r="N2359" s="54">
        <v>115195855.95999999</v>
      </c>
      <c r="O2359" s="54">
        <v>0</v>
      </c>
      <c r="P2359" s="54">
        <v>0</v>
      </c>
      <c r="Q2359" s="54">
        <v>0</v>
      </c>
      <c r="R2359" s="54">
        <v>0</v>
      </c>
    </row>
    <row r="2360" spans="1:18" x14ac:dyDescent="0.25">
      <c r="A2360" t="s">
        <v>157</v>
      </c>
      <c r="B2360">
        <v>2019</v>
      </c>
      <c r="C2360" t="s">
        <v>156</v>
      </c>
      <c r="D2360" s="54">
        <v>32000000</v>
      </c>
      <c r="E2360" s="54">
        <v>32000000</v>
      </c>
      <c r="F2360" s="54">
        <v>32000000</v>
      </c>
      <c r="G2360" s="54">
        <v>0</v>
      </c>
      <c r="H2360" s="54">
        <v>0</v>
      </c>
      <c r="I2360" s="54">
        <v>3886800</v>
      </c>
      <c r="J2360" s="54">
        <v>0</v>
      </c>
      <c r="K2360" s="54">
        <v>0</v>
      </c>
      <c r="L2360" s="54">
        <v>0</v>
      </c>
      <c r="M2360" s="54">
        <v>0</v>
      </c>
      <c r="N2360" s="54">
        <v>0</v>
      </c>
      <c r="O2360" s="54">
        <v>0</v>
      </c>
      <c r="P2360" s="54">
        <v>0</v>
      </c>
      <c r="Q2360" s="54">
        <v>9526500</v>
      </c>
      <c r="R2360" s="54">
        <v>0</v>
      </c>
    </row>
    <row r="2361" spans="1:18" x14ac:dyDescent="0.25">
      <c r="A2361" t="s">
        <v>155</v>
      </c>
      <c r="B2361">
        <v>2019</v>
      </c>
      <c r="C2361" t="s">
        <v>154</v>
      </c>
      <c r="D2361" s="54">
        <v>30000000</v>
      </c>
      <c r="E2361" s="54">
        <v>30000000</v>
      </c>
      <c r="F2361" s="54">
        <v>30000000</v>
      </c>
      <c r="G2361" s="54">
        <v>0</v>
      </c>
      <c r="H2361" s="54">
        <v>0</v>
      </c>
      <c r="I2361" s="54">
        <v>0</v>
      </c>
      <c r="J2361" s="54">
        <v>0</v>
      </c>
      <c r="K2361" s="54">
        <v>0</v>
      </c>
      <c r="L2361" s="54">
        <v>0</v>
      </c>
      <c r="M2361" s="54">
        <v>0</v>
      </c>
      <c r="N2361" s="54">
        <v>0</v>
      </c>
      <c r="O2361" s="54">
        <v>0</v>
      </c>
      <c r="P2361" s="54">
        <v>0</v>
      </c>
      <c r="Q2361" s="54">
        <v>0</v>
      </c>
      <c r="R2361" s="54">
        <v>0</v>
      </c>
    </row>
    <row r="2362" spans="1:18" x14ac:dyDescent="0.25">
      <c r="A2362" t="s">
        <v>153</v>
      </c>
      <c r="B2362">
        <v>2019</v>
      </c>
      <c r="C2362" t="s">
        <v>151</v>
      </c>
      <c r="D2362" s="54">
        <v>157000000</v>
      </c>
      <c r="E2362" s="54">
        <v>157000000</v>
      </c>
      <c r="F2362" s="54">
        <v>157000000</v>
      </c>
      <c r="G2362" s="54">
        <v>0</v>
      </c>
      <c r="H2362" s="54">
        <v>54851400</v>
      </c>
      <c r="I2362" s="54">
        <v>16694429.939999999</v>
      </c>
      <c r="J2362" s="54">
        <v>1867989.1</v>
      </c>
      <c r="K2362" s="54">
        <v>200</v>
      </c>
      <c r="L2362" s="54">
        <v>0</v>
      </c>
      <c r="M2362" s="54">
        <v>917757</v>
      </c>
      <c r="N2362" s="54">
        <v>1138724.3</v>
      </c>
      <c r="O2362" s="54">
        <v>85554375.120000005</v>
      </c>
      <c r="P2362" s="54">
        <v>65862187.100000001</v>
      </c>
      <c r="Q2362" s="54">
        <v>64151</v>
      </c>
      <c r="R2362" s="54">
        <v>31252505.539999999</v>
      </c>
    </row>
    <row r="2363" spans="1:18" x14ac:dyDescent="0.25">
      <c r="A2363" t="s">
        <v>150</v>
      </c>
      <c r="B2363">
        <v>2019</v>
      </c>
      <c r="C2363" t="s">
        <v>149</v>
      </c>
      <c r="D2363" s="54">
        <v>62000000</v>
      </c>
      <c r="E2363" s="54">
        <v>62000000</v>
      </c>
      <c r="F2363" s="54">
        <v>62000000</v>
      </c>
      <c r="G2363" s="54">
        <v>224720</v>
      </c>
      <c r="H2363" s="54">
        <v>0</v>
      </c>
      <c r="I2363" s="54">
        <v>0</v>
      </c>
      <c r="J2363" s="54">
        <v>0</v>
      </c>
      <c r="K2363" s="54">
        <v>1493</v>
      </c>
      <c r="L2363" s="54">
        <v>12817935.58</v>
      </c>
      <c r="M2363" s="54">
        <v>92868</v>
      </c>
      <c r="N2363" s="54">
        <v>10660064.789999999</v>
      </c>
      <c r="O2363" s="54">
        <v>2302461.11</v>
      </c>
      <c r="P2363" s="54">
        <v>24747617.149999999</v>
      </c>
      <c r="Q2363" s="54">
        <v>24421399.870000001</v>
      </c>
      <c r="R2363" s="54">
        <v>4890676.2699999996</v>
      </c>
    </row>
    <row r="2364" spans="1:18" x14ac:dyDescent="0.25">
      <c r="A2364" t="s">
        <v>147</v>
      </c>
      <c r="B2364">
        <v>2019</v>
      </c>
      <c r="C2364" t="s">
        <v>146</v>
      </c>
      <c r="D2364" s="54">
        <v>502000000</v>
      </c>
      <c r="E2364" s="54">
        <v>502000000</v>
      </c>
      <c r="F2364" s="54">
        <v>502000000</v>
      </c>
      <c r="G2364" s="54">
        <v>5969783.1399999997</v>
      </c>
      <c r="H2364" s="54">
        <v>-27444257.75</v>
      </c>
      <c r="I2364" s="54">
        <v>-2092729.66</v>
      </c>
      <c r="J2364" s="54">
        <v>43461743.100000001</v>
      </c>
      <c r="K2364" s="54">
        <v>35441806.560000002</v>
      </c>
      <c r="L2364" s="54">
        <v>39373075.880000003</v>
      </c>
      <c r="M2364" s="54">
        <v>39753202.07</v>
      </c>
      <c r="N2364" s="54">
        <v>40106725.240000002</v>
      </c>
      <c r="O2364" s="54">
        <v>37149421.789999999</v>
      </c>
      <c r="P2364" s="54">
        <v>36567029.520000003</v>
      </c>
      <c r="Q2364" s="54">
        <v>48331106.340000004</v>
      </c>
      <c r="R2364" s="54">
        <v>63423892.460000001</v>
      </c>
    </row>
    <row r="2365" spans="1:18" x14ac:dyDescent="0.25">
      <c r="A2365" t="s">
        <v>144</v>
      </c>
      <c r="B2365">
        <v>2019</v>
      </c>
      <c r="C2365" t="s">
        <v>143</v>
      </c>
      <c r="D2365" s="54">
        <v>5350000000</v>
      </c>
      <c r="E2365" s="54">
        <v>5350000000</v>
      </c>
      <c r="F2365" s="54">
        <v>5350000000</v>
      </c>
      <c r="G2365" s="54">
        <v>235174767.09999999</v>
      </c>
      <c r="H2365" s="54">
        <v>116124213.06999999</v>
      </c>
      <c r="I2365" s="54">
        <v>1515752167.49</v>
      </c>
      <c r="J2365" s="54">
        <v>104087490.64</v>
      </c>
      <c r="K2365" s="54">
        <v>569471718.82000005</v>
      </c>
      <c r="L2365" s="54">
        <v>4282324666.5500002</v>
      </c>
      <c r="M2365" s="54">
        <v>179462861.72999999</v>
      </c>
      <c r="N2365" s="54">
        <v>234494915.31999999</v>
      </c>
      <c r="O2365" s="54">
        <v>184686752.06999999</v>
      </c>
      <c r="P2365" s="54">
        <v>176572969.81</v>
      </c>
      <c r="Q2365" s="54">
        <v>238894719.19999999</v>
      </c>
      <c r="R2365" s="54">
        <v>272285432.20999998</v>
      </c>
    </row>
    <row r="2366" spans="1:18" x14ac:dyDescent="0.25">
      <c r="A2366" t="s">
        <v>142</v>
      </c>
      <c r="B2366">
        <v>2019</v>
      </c>
      <c r="C2366" t="s">
        <v>141</v>
      </c>
      <c r="D2366" s="54">
        <v>4017000000</v>
      </c>
      <c r="E2366" s="54">
        <v>4017000000</v>
      </c>
      <c r="F2366" s="54">
        <v>4017000000</v>
      </c>
      <c r="G2366" s="54">
        <v>832599842.87</v>
      </c>
      <c r="H2366" s="54">
        <v>1045979010.5700001</v>
      </c>
      <c r="I2366" s="54">
        <v>956215988.83000004</v>
      </c>
      <c r="J2366" s="54">
        <v>832598973.67999995</v>
      </c>
      <c r="K2366" s="54">
        <v>2118296137.9100001</v>
      </c>
      <c r="L2366" s="54">
        <v>-148019827.68000001</v>
      </c>
      <c r="M2366" s="54">
        <v>-256830083.34</v>
      </c>
      <c r="N2366" s="54">
        <v>468966896.50999999</v>
      </c>
      <c r="O2366" s="54">
        <v>841816887.38</v>
      </c>
      <c r="P2366" s="54">
        <v>2077524884.8599999</v>
      </c>
      <c r="Q2366" s="54">
        <v>1273060504.6199999</v>
      </c>
      <c r="R2366" s="54">
        <v>1310736637.55</v>
      </c>
    </row>
    <row r="2367" spans="1:18" x14ac:dyDescent="0.25">
      <c r="A2367" t="s">
        <v>1288</v>
      </c>
      <c r="B2367">
        <v>2019</v>
      </c>
      <c r="C2367" t="s">
        <v>1289</v>
      </c>
      <c r="D2367" s="54">
        <v>0</v>
      </c>
      <c r="E2367" s="54">
        <v>218803632.18000001</v>
      </c>
      <c r="F2367" s="54">
        <v>218803632.18000001</v>
      </c>
      <c r="G2367" s="54">
        <v>0</v>
      </c>
      <c r="H2367" s="54">
        <v>0</v>
      </c>
      <c r="I2367" s="54">
        <v>0</v>
      </c>
      <c r="J2367" s="54">
        <v>0</v>
      </c>
      <c r="K2367" s="54">
        <v>0</v>
      </c>
      <c r="L2367" s="54">
        <v>0</v>
      </c>
      <c r="M2367" s="54">
        <v>0</v>
      </c>
      <c r="N2367" s="54">
        <v>0</v>
      </c>
      <c r="O2367" s="54">
        <v>0</v>
      </c>
      <c r="P2367" s="54">
        <v>0</v>
      </c>
      <c r="Q2367" s="54">
        <v>0</v>
      </c>
      <c r="R2367" s="54">
        <v>218803632.18000001</v>
      </c>
    </row>
    <row r="2368" spans="1:18" x14ac:dyDescent="0.25">
      <c r="A2368" t="s">
        <v>140</v>
      </c>
      <c r="B2368">
        <v>2019</v>
      </c>
      <c r="C2368" t="s">
        <v>139</v>
      </c>
      <c r="D2368" s="54">
        <v>32731041084</v>
      </c>
      <c r="E2368" s="54">
        <v>34540160548.379997</v>
      </c>
      <c r="F2368" s="54">
        <v>34540160548.379997</v>
      </c>
      <c r="G2368" s="54">
        <v>0</v>
      </c>
      <c r="H2368" s="54">
        <v>0</v>
      </c>
      <c r="I2368" s="54">
        <v>642510949</v>
      </c>
      <c r="J2368" s="54">
        <v>0</v>
      </c>
      <c r="K2368" s="54">
        <v>11907576997.129999</v>
      </c>
      <c r="L2368" s="54">
        <v>0</v>
      </c>
      <c r="M2368" s="54">
        <v>0</v>
      </c>
      <c r="N2368" s="54">
        <v>20180953137.669998</v>
      </c>
      <c r="O2368" s="54">
        <v>0</v>
      </c>
      <c r="P2368" s="54">
        <v>0</v>
      </c>
      <c r="Q2368" s="54">
        <v>0</v>
      </c>
      <c r="R2368" s="54">
        <v>0</v>
      </c>
    </row>
    <row r="2369" spans="1:18" x14ac:dyDescent="0.25">
      <c r="A2369" t="s">
        <v>138</v>
      </c>
      <c r="B2369">
        <v>2019</v>
      </c>
      <c r="C2369" t="s">
        <v>137</v>
      </c>
      <c r="D2369" s="54">
        <v>12453308774</v>
      </c>
      <c r="E2369" s="54">
        <v>13533636472.23</v>
      </c>
      <c r="F2369" s="54">
        <v>13533636472.23</v>
      </c>
      <c r="G2369" s="54">
        <v>0</v>
      </c>
      <c r="H2369" s="54">
        <v>0</v>
      </c>
      <c r="I2369" s="54">
        <v>0</v>
      </c>
      <c r="J2369" s="54">
        <v>0</v>
      </c>
      <c r="K2369" s="54">
        <v>1884670000</v>
      </c>
      <c r="L2369" s="54">
        <v>1091265000</v>
      </c>
      <c r="M2369" s="54">
        <v>1235712500</v>
      </c>
      <c r="N2369" s="54">
        <v>1261362500</v>
      </c>
      <c r="O2369" s="54">
        <v>1178237500</v>
      </c>
      <c r="P2369" s="54">
        <v>991990000</v>
      </c>
      <c r="Q2369" s="54">
        <v>899513500</v>
      </c>
      <c r="R2369" s="54">
        <v>851342500</v>
      </c>
    </row>
    <row r="2370" spans="1:18" x14ac:dyDescent="0.25">
      <c r="A2370" t="s">
        <v>134</v>
      </c>
      <c r="B2370">
        <v>2019</v>
      </c>
      <c r="C2370" t="s">
        <v>133</v>
      </c>
      <c r="D2370" s="54">
        <v>80344636375</v>
      </c>
      <c r="E2370" s="54">
        <v>80839184985</v>
      </c>
      <c r="F2370" s="54">
        <v>80839184985</v>
      </c>
      <c r="G2370" s="54">
        <v>0</v>
      </c>
      <c r="H2370" s="54">
        <v>6695386364.5799999</v>
      </c>
      <c r="I2370" s="54">
        <v>6695386364.5799999</v>
      </c>
      <c r="J2370" s="54">
        <v>0</v>
      </c>
      <c r="K2370" s="54">
        <v>13390772729.34</v>
      </c>
      <c r="L2370" s="54">
        <v>6695386364.4200001</v>
      </c>
      <c r="M2370" s="54">
        <v>6695386364.0799999</v>
      </c>
      <c r="N2370" s="54">
        <v>6695386365.0799999</v>
      </c>
      <c r="O2370" s="54">
        <v>0</v>
      </c>
      <c r="P2370" s="54">
        <v>6695386364.5</v>
      </c>
      <c r="Q2370" s="54">
        <v>13390772405.17</v>
      </c>
      <c r="R2370" s="54">
        <v>6695300000</v>
      </c>
    </row>
    <row r="2371" spans="1:18" x14ac:dyDescent="0.25">
      <c r="A2371" t="s">
        <v>132</v>
      </c>
      <c r="B2371">
        <v>2019</v>
      </c>
      <c r="C2371" t="s">
        <v>131</v>
      </c>
      <c r="D2371" s="54">
        <v>17738274829</v>
      </c>
      <c r="E2371" s="54">
        <v>17738274829</v>
      </c>
      <c r="F2371" s="54">
        <v>17738274829</v>
      </c>
      <c r="G2371" s="54">
        <v>0</v>
      </c>
      <c r="H2371" s="54">
        <v>0</v>
      </c>
      <c r="I2371" s="54">
        <v>7960529344.0600004</v>
      </c>
      <c r="J2371" s="54">
        <v>0</v>
      </c>
      <c r="K2371" s="54">
        <v>9777745484.9400005</v>
      </c>
      <c r="L2371" s="54">
        <v>0</v>
      </c>
      <c r="M2371" s="54">
        <v>0</v>
      </c>
      <c r="N2371" s="54">
        <v>0</v>
      </c>
      <c r="O2371" s="54">
        <v>0</v>
      </c>
      <c r="P2371" s="54">
        <v>0</v>
      </c>
      <c r="Q2371" s="54">
        <v>0</v>
      </c>
      <c r="R2371" s="54">
        <v>0</v>
      </c>
    </row>
    <row r="2372" spans="1:18" x14ac:dyDescent="0.25">
      <c r="A2372" t="s">
        <v>130</v>
      </c>
      <c r="B2372">
        <v>2019</v>
      </c>
      <c r="C2372" t="s">
        <v>129</v>
      </c>
      <c r="D2372" s="54">
        <v>50000000000</v>
      </c>
      <c r="E2372" s="54">
        <v>50000000000</v>
      </c>
      <c r="F2372" s="54">
        <v>50000000000</v>
      </c>
      <c r="G2372" s="54">
        <v>0</v>
      </c>
      <c r="H2372" s="54">
        <v>4305035000</v>
      </c>
      <c r="I2372" s="54">
        <v>4448426228.8900003</v>
      </c>
      <c r="J2372" s="54">
        <v>0</v>
      </c>
      <c r="K2372" s="54">
        <v>8794219364.1700001</v>
      </c>
      <c r="L2372" s="54">
        <v>0</v>
      </c>
      <c r="M2372" s="54">
        <v>0</v>
      </c>
      <c r="N2372" s="54">
        <v>14239065200.15</v>
      </c>
      <c r="O2372" s="54">
        <v>4311514351.9799995</v>
      </c>
      <c r="P2372" s="54">
        <v>0</v>
      </c>
      <c r="Q2372" s="54">
        <v>8752350000</v>
      </c>
      <c r="R2372" s="54">
        <v>5149389854.8100004</v>
      </c>
    </row>
    <row r="2373" spans="1:18" x14ac:dyDescent="0.25">
      <c r="A2373" t="s">
        <v>128</v>
      </c>
      <c r="B2373">
        <v>2019</v>
      </c>
      <c r="C2373" t="s">
        <v>127</v>
      </c>
      <c r="D2373" s="54">
        <v>7177242240</v>
      </c>
      <c r="E2373" s="54">
        <v>7177242240</v>
      </c>
      <c r="F2373" s="54">
        <v>7177242240</v>
      </c>
      <c r="G2373" s="54">
        <v>0</v>
      </c>
      <c r="H2373" s="54">
        <v>598100000</v>
      </c>
      <c r="I2373" s="54">
        <v>0</v>
      </c>
      <c r="J2373" s="54">
        <v>0</v>
      </c>
      <c r="K2373" s="54">
        <v>1474828340</v>
      </c>
      <c r="L2373" s="54">
        <v>675795520</v>
      </c>
      <c r="M2373" s="54">
        <v>681396550</v>
      </c>
      <c r="N2373" s="54">
        <v>675011925</v>
      </c>
      <c r="O2373" s="54">
        <v>676217973</v>
      </c>
      <c r="P2373" s="54">
        <v>0</v>
      </c>
      <c r="Q2373" s="54">
        <v>1199685292</v>
      </c>
      <c r="R2373" s="54">
        <v>598103520</v>
      </c>
    </row>
    <row r="2374" spans="1:18" x14ac:dyDescent="0.25">
      <c r="A2374" t="s">
        <v>126</v>
      </c>
      <c r="B2374">
        <v>2019</v>
      </c>
      <c r="C2374" t="s">
        <v>125</v>
      </c>
      <c r="D2374" s="54">
        <v>2878881966</v>
      </c>
      <c r="E2374" s="54">
        <v>2384333356</v>
      </c>
      <c r="F2374" s="54">
        <v>2384333356</v>
      </c>
      <c r="G2374" s="54">
        <v>0</v>
      </c>
      <c r="H2374" s="54">
        <v>0</v>
      </c>
      <c r="I2374" s="54">
        <v>170814380</v>
      </c>
      <c r="J2374" s="54">
        <v>0</v>
      </c>
      <c r="K2374" s="54">
        <v>228302016</v>
      </c>
      <c r="L2374" s="54">
        <v>230700386</v>
      </c>
      <c r="M2374" s="54">
        <v>116276202</v>
      </c>
      <c r="N2374" s="54">
        <v>94588548</v>
      </c>
      <c r="O2374" s="54">
        <v>128014549</v>
      </c>
      <c r="P2374" s="54">
        <v>116041357</v>
      </c>
      <c r="Q2374" s="54">
        <v>187871467</v>
      </c>
      <c r="R2374" s="54">
        <v>390759338</v>
      </c>
    </row>
    <row r="2375" spans="1:18" x14ac:dyDescent="0.25">
      <c r="A2375" t="s">
        <v>122</v>
      </c>
      <c r="B2375">
        <v>2019</v>
      </c>
      <c r="C2375" t="s">
        <v>121</v>
      </c>
      <c r="D2375" s="54">
        <v>3602083858</v>
      </c>
      <c r="E2375" s="54">
        <v>3602083858</v>
      </c>
      <c r="F2375" s="54">
        <v>3602083858</v>
      </c>
      <c r="G2375" s="54">
        <v>233446278.16</v>
      </c>
      <c r="H2375" s="54">
        <v>233490473.31</v>
      </c>
      <c r="I2375" s="54">
        <v>233470210.62</v>
      </c>
      <c r="J2375" s="54">
        <v>232918848.61000001</v>
      </c>
      <c r="K2375" s="54">
        <v>232052414.88999999</v>
      </c>
      <c r="L2375" s="54">
        <v>229134513.34999999</v>
      </c>
      <c r="M2375" s="54">
        <v>229037083.81999999</v>
      </c>
      <c r="N2375" s="54">
        <v>229475038.19999999</v>
      </c>
      <c r="O2375" s="54">
        <v>235846015.16999999</v>
      </c>
      <c r="P2375" s="54">
        <v>224573323.56</v>
      </c>
      <c r="Q2375" s="54">
        <v>226700100.00999999</v>
      </c>
      <c r="R2375" s="54">
        <v>658644083.14999998</v>
      </c>
    </row>
    <row r="2376" spans="1:18" x14ac:dyDescent="0.25">
      <c r="A2376" t="s">
        <v>120</v>
      </c>
      <c r="B2376">
        <v>2019</v>
      </c>
      <c r="C2376" t="s">
        <v>119</v>
      </c>
      <c r="D2376" s="54">
        <v>680000000</v>
      </c>
      <c r="E2376" s="54">
        <v>680000000</v>
      </c>
      <c r="F2376" s="54">
        <v>680000000</v>
      </c>
      <c r="G2376" s="54">
        <v>0</v>
      </c>
      <c r="H2376" s="54">
        <v>0</v>
      </c>
      <c r="I2376" s="54">
        <v>0</v>
      </c>
      <c r="J2376" s="54">
        <v>0</v>
      </c>
      <c r="K2376" s="54">
        <v>0</v>
      </c>
      <c r="L2376" s="54">
        <v>0</v>
      </c>
      <c r="M2376" s="54">
        <v>728114998.16999996</v>
      </c>
      <c r="N2376" s="54">
        <v>0</v>
      </c>
      <c r="O2376" s="54">
        <v>0</v>
      </c>
      <c r="P2376" s="54">
        <v>0</v>
      </c>
      <c r="Q2376" s="54">
        <v>0</v>
      </c>
      <c r="R2376" s="54">
        <v>0</v>
      </c>
    </row>
    <row r="2377" spans="1:18" x14ac:dyDescent="0.25">
      <c r="A2377" t="s">
        <v>118</v>
      </c>
      <c r="B2377">
        <v>2019</v>
      </c>
      <c r="C2377" t="s">
        <v>117</v>
      </c>
      <c r="D2377" s="54">
        <v>529794593</v>
      </c>
      <c r="E2377" s="54">
        <v>529794593</v>
      </c>
      <c r="F2377" s="54">
        <v>529794593</v>
      </c>
      <c r="G2377" s="54">
        <v>0</v>
      </c>
      <c r="H2377" s="54">
        <v>0</v>
      </c>
      <c r="I2377" s="54">
        <v>102521359.28</v>
      </c>
      <c r="J2377" s="54">
        <v>0</v>
      </c>
      <c r="K2377" s="54">
        <v>46757123.600000001</v>
      </c>
      <c r="L2377" s="54">
        <v>97071463.299999997</v>
      </c>
      <c r="M2377" s="54">
        <v>43126229.109999999</v>
      </c>
      <c r="N2377" s="54">
        <v>0</v>
      </c>
      <c r="O2377" s="54">
        <v>0</v>
      </c>
      <c r="P2377" s="54">
        <v>0</v>
      </c>
      <c r="Q2377" s="54">
        <v>138017195.84999999</v>
      </c>
      <c r="R2377" s="54">
        <v>0</v>
      </c>
    </row>
    <row r="2378" spans="1:18" x14ac:dyDescent="0.25">
      <c r="A2378" t="s">
        <v>1290</v>
      </c>
      <c r="B2378">
        <v>2019</v>
      </c>
      <c r="C2378" t="s">
        <v>1291</v>
      </c>
      <c r="D2378" s="54">
        <v>0</v>
      </c>
      <c r="E2378" s="54">
        <v>240044532</v>
      </c>
      <c r="F2378" s="54">
        <v>240044532</v>
      </c>
      <c r="G2378" s="54">
        <v>0</v>
      </c>
      <c r="H2378" s="54">
        <v>0</v>
      </c>
      <c r="I2378" s="54">
        <v>0</v>
      </c>
      <c r="J2378" s="54">
        <v>0</v>
      </c>
      <c r="K2378" s="54">
        <v>0</v>
      </c>
      <c r="L2378" s="54">
        <v>0</v>
      </c>
      <c r="M2378" s="54">
        <v>0</v>
      </c>
      <c r="N2378" s="54">
        <v>0</v>
      </c>
      <c r="O2378" s="54">
        <v>0</v>
      </c>
      <c r="P2378" s="54">
        <v>240044532</v>
      </c>
      <c r="Q2378" s="54">
        <v>0</v>
      </c>
      <c r="R2378" s="54">
        <v>0</v>
      </c>
    </row>
    <row r="2379" spans="1:18" x14ac:dyDescent="0.25">
      <c r="A2379" t="s">
        <v>1292</v>
      </c>
      <c r="B2379">
        <v>2019</v>
      </c>
      <c r="C2379" t="s">
        <v>1293</v>
      </c>
      <c r="D2379" s="54">
        <v>0</v>
      </c>
      <c r="E2379" s="54">
        <v>5596507098.8800001</v>
      </c>
      <c r="F2379" s="54">
        <v>5596507098.8800001</v>
      </c>
      <c r="G2379" s="54">
        <v>0</v>
      </c>
      <c r="H2379" s="54">
        <v>0</v>
      </c>
      <c r="I2379" s="54">
        <v>0</v>
      </c>
      <c r="J2379" s="54">
        <v>0</v>
      </c>
      <c r="K2379" s="54">
        <v>0</v>
      </c>
      <c r="L2379" s="54">
        <v>0</v>
      </c>
      <c r="M2379" s="54">
        <v>0</v>
      </c>
      <c r="N2379" s="54">
        <v>0</v>
      </c>
      <c r="O2379" s="54">
        <v>0</v>
      </c>
      <c r="P2379" s="54">
        <v>0</v>
      </c>
      <c r="Q2379" s="54">
        <v>0</v>
      </c>
      <c r="R2379" s="54">
        <v>5596507098.8800001</v>
      </c>
    </row>
    <row r="2380" spans="1:18" x14ac:dyDescent="0.25">
      <c r="A2380" t="s">
        <v>115</v>
      </c>
      <c r="B2380">
        <v>2019</v>
      </c>
      <c r="C2380" t="s">
        <v>114</v>
      </c>
      <c r="D2380" s="54">
        <v>4200000</v>
      </c>
      <c r="E2380" s="54">
        <v>4200000</v>
      </c>
      <c r="F2380" s="54">
        <v>4200000</v>
      </c>
      <c r="G2380" s="54">
        <v>0</v>
      </c>
      <c r="H2380" s="54">
        <v>0</v>
      </c>
      <c r="I2380" s="54">
        <v>4200000</v>
      </c>
      <c r="J2380" s="54">
        <v>0</v>
      </c>
      <c r="K2380" s="54">
        <v>0</v>
      </c>
      <c r="L2380" s="54">
        <v>0</v>
      </c>
      <c r="M2380" s="54">
        <v>0</v>
      </c>
      <c r="N2380" s="54">
        <v>0</v>
      </c>
      <c r="O2380" s="54">
        <v>0</v>
      </c>
      <c r="P2380" s="54">
        <v>0</v>
      </c>
      <c r="Q2380" s="54">
        <v>0</v>
      </c>
      <c r="R2380" s="54">
        <v>0</v>
      </c>
    </row>
    <row r="2381" spans="1:18" x14ac:dyDescent="0.25">
      <c r="A2381" t="s">
        <v>113</v>
      </c>
      <c r="B2381">
        <v>2019</v>
      </c>
      <c r="C2381" t="s">
        <v>112</v>
      </c>
      <c r="D2381" s="54">
        <v>309000</v>
      </c>
      <c r="E2381" s="54">
        <v>309000</v>
      </c>
      <c r="F2381" s="54">
        <v>309000</v>
      </c>
      <c r="G2381" s="54">
        <v>0</v>
      </c>
      <c r="H2381" s="54">
        <v>0</v>
      </c>
      <c r="I2381" s="54">
        <v>0</v>
      </c>
      <c r="J2381" s="54">
        <v>0</v>
      </c>
      <c r="K2381" s="54">
        <v>309000</v>
      </c>
      <c r="L2381" s="54">
        <v>0</v>
      </c>
      <c r="M2381" s="54">
        <v>0</v>
      </c>
      <c r="N2381" s="54">
        <v>0</v>
      </c>
      <c r="O2381" s="54">
        <v>0</v>
      </c>
      <c r="P2381" s="54">
        <v>0</v>
      </c>
      <c r="Q2381" s="54">
        <v>0</v>
      </c>
      <c r="R2381" s="54">
        <v>0</v>
      </c>
    </row>
    <row r="2382" spans="1:18" x14ac:dyDescent="0.25">
      <c r="A2382" t="s">
        <v>111</v>
      </c>
      <c r="B2382">
        <v>2019</v>
      </c>
      <c r="C2382" t="s">
        <v>110</v>
      </c>
      <c r="D2382" s="54">
        <v>29100000</v>
      </c>
      <c r="E2382" s="54">
        <v>29100000</v>
      </c>
      <c r="F2382" s="54">
        <v>29100000</v>
      </c>
      <c r="G2382" s="54">
        <v>0</v>
      </c>
      <c r="H2382" s="54">
        <v>0</v>
      </c>
      <c r="I2382" s="54">
        <v>29100000</v>
      </c>
      <c r="J2382" s="54">
        <v>0</v>
      </c>
      <c r="K2382" s="54">
        <v>0</v>
      </c>
      <c r="L2382" s="54">
        <v>0</v>
      </c>
      <c r="M2382" s="54">
        <v>0</v>
      </c>
      <c r="N2382" s="54">
        <v>0</v>
      </c>
      <c r="O2382" s="54">
        <v>0</v>
      </c>
      <c r="P2382" s="54">
        <v>0</v>
      </c>
      <c r="Q2382" s="54">
        <v>0</v>
      </c>
      <c r="R2382" s="54">
        <v>0</v>
      </c>
    </row>
    <row r="2383" spans="1:18" x14ac:dyDescent="0.25">
      <c r="A2383" t="s">
        <v>109</v>
      </c>
      <c r="B2383">
        <v>2019</v>
      </c>
      <c r="C2383" t="s">
        <v>108</v>
      </c>
      <c r="D2383" s="54">
        <v>5100000</v>
      </c>
      <c r="E2383" s="54">
        <v>5100000</v>
      </c>
      <c r="F2383" s="54">
        <v>5100000</v>
      </c>
      <c r="G2383" s="54">
        <v>0</v>
      </c>
      <c r="H2383" s="54">
        <v>0</v>
      </c>
      <c r="I2383" s="54">
        <v>0</v>
      </c>
      <c r="J2383" s="54">
        <v>0</v>
      </c>
      <c r="K2383" s="54">
        <v>0</v>
      </c>
      <c r="L2383" s="54">
        <v>0</v>
      </c>
      <c r="M2383" s="54">
        <v>5100000</v>
      </c>
      <c r="N2383" s="54">
        <v>-5100000</v>
      </c>
      <c r="O2383" s="54">
        <v>0</v>
      </c>
      <c r="P2383" s="54">
        <v>0</v>
      </c>
      <c r="Q2383" s="54">
        <v>0</v>
      </c>
      <c r="R2383" s="54">
        <v>5100000</v>
      </c>
    </row>
    <row r="2384" spans="1:18" x14ac:dyDescent="0.25">
      <c r="A2384" t="s">
        <v>107</v>
      </c>
      <c r="B2384">
        <v>2019</v>
      </c>
      <c r="C2384" t="s">
        <v>106</v>
      </c>
      <c r="D2384" s="54">
        <v>42400000</v>
      </c>
      <c r="E2384" s="54">
        <v>42400000</v>
      </c>
      <c r="F2384" s="54">
        <v>42400000</v>
      </c>
      <c r="G2384" s="54">
        <v>0</v>
      </c>
      <c r="H2384" s="54">
        <v>0</v>
      </c>
      <c r="I2384" s="54">
        <v>42400000</v>
      </c>
      <c r="J2384" s="54">
        <v>0</v>
      </c>
      <c r="K2384" s="54">
        <v>0</v>
      </c>
      <c r="L2384" s="54">
        <v>0</v>
      </c>
      <c r="M2384" s="54">
        <v>0</v>
      </c>
      <c r="N2384" s="54">
        <v>0</v>
      </c>
      <c r="O2384" s="54">
        <v>0</v>
      </c>
      <c r="P2384" s="54">
        <v>0</v>
      </c>
      <c r="Q2384" s="54">
        <v>0</v>
      </c>
      <c r="R2384" s="54">
        <v>0</v>
      </c>
    </row>
    <row r="2385" spans="1:18" x14ac:dyDescent="0.25">
      <c r="A2385" t="s">
        <v>105</v>
      </c>
      <c r="B2385">
        <v>2019</v>
      </c>
      <c r="C2385" t="s">
        <v>104</v>
      </c>
      <c r="D2385" s="54">
        <v>38300000</v>
      </c>
      <c r="E2385" s="54">
        <v>38300000</v>
      </c>
      <c r="F2385" s="54">
        <v>38300000</v>
      </c>
      <c r="G2385" s="54">
        <v>0</v>
      </c>
      <c r="H2385" s="54">
        <v>0</v>
      </c>
      <c r="I2385" s="54">
        <v>0</v>
      </c>
      <c r="J2385" s="54">
        <v>0</v>
      </c>
      <c r="K2385" s="54">
        <v>38300000</v>
      </c>
      <c r="L2385" s="54">
        <v>0</v>
      </c>
      <c r="M2385" s="54">
        <v>0</v>
      </c>
      <c r="N2385" s="54">
        <v>0</v>
      </c>
      <c r="O2385" s="54">
        <v>0</v>
      </c>
      <c r="P2385" s="54">
        <v>0</v>
      </c>
      <c r="Q2385" s="54">
        <v>0</v>
      </c>
      <c r="R2385" s="54">
        <v>0</v>
      </c>
    </row>
    <row r="2386" spans="1:18" x14ac:dyDescent="0.25">
      <c r="A2386" t="s">
        <v>103</v>
      </c>
      <c r="B2386">
        <v>2019</v>
      </c>
      <c r="C2386" t="s">
        <v>102</v>
      </c>
      <c r="D2386" s="54">
        <v>86500000</v>
      </c>
      <c r="E2386" s="54">
        <v>86500000</v>
      </c>
      <c r="F2386" s="54">
        <v>86500000</v>
      </c>
      <c r="G2386" s="54">
        <v>0</v>
      </c>
      <c r="H2386" s="54">
        <v>0</v>
      </c>
      <c r="I2386" s="54">
        <v>80000000</v>
      </c>
      <c r="J2386" s="54">
        <v>0</v>
      </c>
      <c r="K2386" s="54">
        <v>0</v>
      </c>
      <c r="L2386" s="54">
        <v>6500000</v>
      </c>
      <c r="M2386" s="54">
        <v>0</v>
      </c>
      <c r="N2386" s="54">
        <v>0</v>
      </c>
      <c r="O2386" s="54">
        <v>0</v>
      </c>
      <c r="P2386" s="54">
        <v>0</v>
      </c>
      <c r="Q2386" s="54">
        <v>0</v>
      </c>
      <c r="R2386" s="54">
        <v>0</v>
      </c>
    </row>
    <row r="2387" spans="1:18" x14ac:dyDescent="0.25">
      <c r="A2387" t="s">
        <v>101</v>
      </c>
      <c r="B2387">
        <v>2019</v>
      </c>
      <c r="C2387" t="s">
        <v>100</v>
      </c>
      <c r="D2387" s="54">
        <v>6700000</v>
      </c>
      <c r="E2387" s="54">
        <v>6700000</v>
      </c>
      <c r="F2387" s="54">
        <v>6700000</v>
      </c>
      <c r="G2387" s="54">
        <v>0</v>
      </c>
      <c r="H2387" s="54">
        <v>0</v>
      </c>
      <c r="I2387" s="54">
        <v>6700000</v>
      </c>
      <c r="J2387" s="54">
        <v>0</v>
      </c>
      <c r="K2387" s="54">
        <v>0</v>
      </c>
      <c r="L2387" s="54">
        <v>0</v>
      </c>
      <c r="M2387" s="54">
        <v>0</v>
      </c>
      <c r="N2387" s="54">
        <v>0</v>
      </c>
      <c r="O2387" s="54">
        <v>0</v>
      </c>
      <c r="P2387" s="54">
        <v>0</v>
      </c>
      <c r="Q2387" s="54">
        <v>0</v>
      </c>
      <c r="R2387" s="54">
        <v>0</v>
      </c>
    </row>
    <row r="2388" spans="1:18" x14ac:dyDescent="0.25">
      <c r="A2388" t="s">
        <v>99</v>
      </c>
      <c r="B2388">
        <v>2019</v>
      </c>
      <c r="C2388" t="s">
        <v>98</v>
      </c>
      <c r="D2388" s="54">
        <v>37900000</v>
      </c>
      <c r="E2388" s="54">
        <v>37900000</v>
      </c>
      <c r="F2388" s="54">
        <v>37900000</v>
      </c>
      <c r="G2388" s="54">
        <v>0</v>
      </c>
      <c r="H2388" s="54">
        <v>0</v>
      </c>
      <c r="I2388" s="54">
        <v>37900000</v>
      </c>
      <c r="J2388" s="54">
        <v>0</v>
      </c>
      <c r="K2388" s="54">
        <v>0</v>
      </c>
      <c r="L2388" s="54">
        <v>0</v>
      </c>
      <c r="M2388" s="54">
        <v>0</v>
      </c>
      <c r="N2388" s="54">
        <v>0</v>
      </c>
      <c r="O2388" s="54">
        <v>0</v>
      </c>
      <c r="P2388" s="54">
        <v>0</v>
      </c>
      <c r="Q2388" s="54">
        <v>0</v>
      </c>
      <c r="R2388" s="54">
        <v>0</v>
      </c>
    </row>
    <row r="2389" spans="1:18" x14ac:dyDescent="0.25">
      <c r="A2389" t="s">
        <v>97</v>
      </c>
      <c r="B2389">
        <v>2019</v>
      </c>
      <c r="C2389" t="s">
        <v>96</v>
      </c>
      <c r="D2389" s="54">
        <v>5300000</v>
      </c>
      <c r="E2389" s="54">
        <v>5300000</v>
      </c>
      <c r="F2389" s="54">
        <v>5300000</v>
      </c>
      <c r="G2389" s="54">
        <v>0</v>
      </c>
      <c r="H2389" s="54">
        <v>0</v>
      </c>
      <c r="I2389" s="54">
        <v>0</v>
      </c>
      <c r="J2389" s="54">
        <v>0</v>
      </c>
      <c r="K2389" s="54">
        <v>0</v>
      </c>
      <c r="L2389" s="54">
        <v>0</v>
      </c>
      <c r="M2389" s="54">
        <v>0</v>
      </c>
      <c r="N2389" s="54">
        <v>0</v>
      </c>
      <c r="O2389" s="54">
        <v>0</v>
      </c>
      <c r="P2389" s="54">
        <v>0</v>
      </c>
      <c r="Q2389" s="54">
        <v>0</v>
      </c>
      <c r="R2389" s="54">
        <v>0</v>
      </c>
    </row>
    <row r="2390" spans="1:18" x14ac:dyDescent="0.25">
      <c r="A2390" t="s">
        <v>95</v>
      </c>
      <c r="B2390">
        <v>2019</v>
      </c>
      <c r="C2390" t="s">
        <v>94</v>
      </c>
      <c r="D2390" s="54">
        <v>125500000</v>
      </c>
      <c r="E2390" s="54">
        <v>125500000</v>
      </c>
      <c r="F2390" s="54">
        <v>125500000</v>
      </c>
      <c r="G2390" s="54">
        <v>0</v>
      </c>
      <c r="H2390" s="54">
        <v>0</v>
      </c>
      <c r="I2390" s="54">
        <v>125500000</v>
      </c>
      <c r="J2390" s="54">
        <v>0</v>
      </c>
      <c r="K2390" s="54">
        <v>0</v>
      </c>
      <c r="L2390" s="54">
        <v>0</v>
      </c>
      <c r="M2390" s="54">
        <v>0</v>
      </c>
      <c r="N2390" s="54">
        <v>6071863488.3999996</v>
      </c>
      <c r="O2390" s="54">
        <v>0</v>
      </c>
      <c r="P2390" s="54">
        <v>0</v>
      </c>
      <c r="Q2390" s="54">
        <v>-6071863488.3999996</v>
      </c>
      <c r="R2390" s="54">
        <v>0</v>
      </c>
    </row>
    <row r="2391" spans="1:18" x14ac:dyDescent="0.25">
      <c r="A2391" t="s">
        <v>93</v>
      </c>
      <c r="B2391">
        <v>2019</v>
      </c>
      <c r="C2391" t="s">
        <v>92</v>
      </c>
      <c r="D2391" s="54">
        <v>24800000</v>
      </c>
      <c r="E2391" s="54">
        <v>24800000</v>
      </c>
      <c r="F2391" s="54">
        <v>24800000</v>
      </c>
      <c r="G2391" s="54">
        <v>0</v>
      </c>
      <c r="H2391" s="54">
        <v>0</v>
      </c>
      <c r="I2391" s="54">
        <v>6200000</v>
      </c>
      <c r="J2391" s="54">
        <v>0</v>
      </c>
      <c r="K2391" s="54">
        <v>0</v>
      </c>
      <c r="L2391" s="54">
        <v>6200000</v>
      </c>
      <c r="M2391" s="54">
        <v>0</v>
      </c>
      <c r="N2391" s="54">
        <v>0</v>
      </c>
      <c r="O2391" s="54">
        <v>6200000</v>
      </c>
      <c r="P2391" s="54">
        <v>0</v>
      </c>
      <c r="Q2391" s="54">
        <v>0</v>
      </c>
      <c r="R2391" s="54">
        <v>6200000</v>
      </c>
    </row>
    <row r="2392" spans="1:18" x14ac:dyDescent="0.25">
      <c r="A2392" t="s">
        <v>91</v>
      </c>
      <c r="B2392">
        <v>2019</v>
      </c>
      <c r="C2392" t="s">
        <v>90</v>
      </c>
      <c r="D2392" s="54">
        <v>6071863488</v>
      </c>
      <c r="E2392" s="54">
        <v>6071863488</v>
      </c>
      <c r="F2392" s="54">
        <v>6071863488</v>
      </c>
      <c r="G2392" s="54">
        <v>0</v>
      </c>
      <c r="H2392" s="54">
        <v>0</v>
      </c>
      <c r="I2392" s="54">
        <v>0</v>
      </c>
      <c r="J2392" s="54">
        <v>3035931744.1999998</v>
      </c>
      <c r="K2392" s="54">
        <v>3035931744.1999998</v>
      </c>
      <c r="L2392" s="54">
        <v>0</v>
      </c>
      <c r="M2392" s="54">
        <v>0</v>
      </c>
      <c r="N2392" s="54">
        <v>-6071863488.3999996</v>
      </c>
      <c r="O2392" s="54">
        <v>0</v>
      </c>
      <c r="P2392" s="54">
        <v>0</v>
      </c>
      <c r="Q2392" s="54">
        <v>6071863488.3999996</v>
      </c>
      <c r="R2392" s="54">
        <v>0</v>
      </c>
    </row>
    <row r="2393" spans="1:18" x14ac:dyDescent="0.25">
      <c r="A2393" t="s">
        <v>89</v>
      </c>
      <c r="B2393">
        <v>2019</v>
      </c>
      <c r="C2393" t="s">
        <v>88</v>
      </c>
      <c r="D2393" s="54">
        <v>396651225</v>
      </c>
      <c r="E2393" s="54">
        <v>396651225</v>
      </c>
      <c r="F2393" s="54">
        <v>396651225</v>
      </c>
      <c r="G2393" s="54">
        <v>0</v>
      </c>
      <c r="H2393" s="54">
        <v>33054268.75</v>
      </c>
      <c r="I2393" s="54">
        <v>66108537.5</v>
      </c>
      <c r="J2393" s="54">
        <v>0</v>
      </c>
      <c r="K2393" s="54">
        <v>66108537.5</v>
      </c>
      <c r="L2393" s="54">
        <v>33054268.75</v>
      </c>
      <c r="M2393" s="54">
        <v>33054268.75</v>
      </c>
      <c r="N2393" s="54">
        <v>0</v>
      </c>
      <c r="O2393" s="54">
        <v>66108537.5</v>
      </c>
      <c r="P2393" s="54">
        <v>33054268.75</v>
      </c>
      <c r="Q2393" s="54">
        <v>0</v>
      </c>
      <c r="R2393" s="54">
        <v>66108537.5</v>
      </c>
    </row>
    <row r="2394" spans="1:18" x14ac:dyDescent="0.25">
      <c r="A2394" t="s">
        <v>87</v>
      </c>
      <c r="B2394">
        <v>2019</v>
      </c>
      <c r="C2394" t="s">
        <v>86</v>
      </c>
      <c r="D2394" s="54">
        <v>459380822</v>
      </c>
      <c r="E2394" s="54">
        <v>459380822</v>
      </c>
      <c r="F2394" s="54">
        <v>459380822</v>
      </c>
      <c r="G2394" s="54">
        <v>0</v>
      </c>
      <c r="H2394" s="54">
        <v>0</v>
      </c>
      <c r="I2394" s="54">
        <v>0</v>
      </c>
      <c r="J2394" s="54">
        <v>0</v>
      </c>
      <c r="K2394" s="54">
        <v>423370321.5</v>
      </c>
      <c r="L2394" s="54">
        <v>0</v>
      </c>
      <c r="M2394" s="54">
        <v>0</v>
      </c>
      <c r="N2394" s="54">
        <v>5100000</v>
      </c>
      <c r="O2394" s="54">
        <v>0</v>
      </c>
      <c r="P2394" s="54">
        <v>0</v>
      </c>
      <c r="Q2394" s="54">
        <v>36010500.5</v>
      </c>
      <c r="R2394" s="54">
        <v>-5100000</v>
      </c>
    </row>
    <row r="2395" spans="1:18" x14ac:dyDescent="0.25">
      <c r="A2395" t="s">
        <v>85</v>
      </c>
      <c r="B2395">
        <v>2019</v>
      </c>
      <c r="C2395" t="s">
        <v>84</v>
      </c>
      <c r="D2395" s="54">
        <v>35000000</v>
      </c>
      <c r="E2395" s="54">
        <v>35000000</v>
      </c>
      <c r="F2395" s="54">
        <v>35000000</v>
      </c>
      <c r="G2395" s="54">
        <v>0</v>
      </c>
      <c r="H2395" s="54">
        <v>0</v>
      </c>
      <c r="I2395" s="54">
        <v>0</v>
      </c>
      <c r="J2395" s="54">
        <v>0</v>
      </c>
      <c r="K2395" s="54">
        <v>0</v>
      </c>
      <c r="L2395" s="54">
        <v>0</v>
      </c>
      <c r="M2395" s="54">
        <v>0</v>
      </c>
      <c r="N2395" s="54">
        <v>0</v>
      </c>
      <c r="O2395" s="54">
        <v>43491134.75</v>
      </c>
      <c r="P2395" s="54">
        <v>0</v>
      </c>
      <c r="Q2395" s="54">
        <v>0</v>
      </c>
      <c r="R2395" s="54">
        <v>0</v>
      </c>
    </row>
    <row r="2396" spans="1:18" x14ac:dyDescent="0.25">
      <c r="A2396" t="s">
        <v>1294</v>
      </c>
      <c r="B2396">
        <v>2019</v>
      </c>
      <c r="C2396" t="s">
        <v>1295</v>
      </c>
      <c r="D2396" s="54">
        <v>0</v>
      </c>
      <c r="E2396" s="54">
        <v>909910264.30999994</v>
      </c>
      <c r="F2396" s="54">
        <v>909910264.30999994</v>
      </c>
      <c r="G2396" s="54">
        <v>0</v>
      </c>
      <c r="H2396" s="54">
        <v>0</v>
      </c>
      <c r="I2396" s="54">
        <v>0</v>
      </c>
      <c r="J2396" s="54">
        <v>0</v>
      </c>
      <c r="K2396" s="54">
        <v>0</v>
      </c>
      <c r="L2396" s="54">
        <v>0</v>
      </c>
      <c r="M2396" s="54">
        <v>0</v>
      </c>
      <c r="N2396" s="54">
        <v>0</v>
      </c>
      <c r="O2396" s="54">
        <v>0</v>
      </c>
      <c r="P2396" s="54">
        <v>0</v>
      </c>
      <c r="Q2396" s="54">
        <v>0</v>
      </c>
      <c r="R2396" s="54">
        <v>909910264.30999994</v>
      </c>
    </row>
    <row r="2397" spans="1:18" x14ac:dyDescent="0.25">
      <c r="A2397" t="s">
        <v>83</v>
      </c>
      <c r="B2397">
        <v>2019</v>
      </c>
      <c r="C2397" t="s">
        <v>82</v>
      </c>
      <c r="D2397" s="54">
        <v>1125000000</v>
      </c>
      <c r="E2397" s="54">
        <v>1125000000</v>
      </c>
      <c r="F2397" s="54">
        <v>1125000000</v>
      </c>
      <c r="G2397" s="54">
        <v>20778268.850000001</v>
      </c>
      <c r="H2397" s="54">
        <v>40915456.219999999</v>
      </c>
      <c r="I2397" s="54">
        <v>9033124.4499999993</v>
      </c>
      <c r="J2397" s="54">
        <v>200340748.03</v>
      </c>
      <c r="K2397" s="54">
        <v>138036865.78</v>
      </c>
      <c r="L2397" s="54">
        <v>106801292.09999999</v>
      </c>
      <c r="M2397" s="54">
        <v>126580870.8</v>
      </c>
      <c r="N2397" s="54">
        <v>78885373.319999993</v>
      </c>
      <c r="O2397" s="54">
        <v>84614362.950000003</v>
      </c>
      <c r="P2397" s="54">
        <v>150595127.28999999</v>
      </c>
      <c r="Q2397" s="54">
        <v>98505053.090000004</v>
      </c>
      <c r="R2397" s="54">
        <v>93936284.959999993</v>
      </c>
    </row>
    <row r="2398" spans="1:18" x14ac:dyDescent="0.25">
      <c r="A2398" t="s">
        <v>1296</v>
      </c>
      <c r="B2398">
        <v>2019</v>
      </c>
      <c r="C2398" t="s">
        <v>1297</v>
      </c>
      <c r="D2398" s="54">
        <v>0</v>
      </c>
      <c r="E2398" s="54">
        <v>1751201.33</v>
      </c>
      <c r="F2398" s="54">
        <v>1751201.33</v>
      </c>
      <c r="G2398" s="54">
        <v>0</v>
      </c>
      <c r="H2398" s="54">
        <v>0</v>
      </c>
      <c r="I2398" s="54">
        <v>0</v>
      </c>
      <c r="J2398" s="54">
        <v>0</v>
      </c>
      <c r="K2398" s="54">
        <v>0</v>
      </c>
      <c r="L2398" s="54">
        <v>0</v>
      </c>
      <c r="M2398" s="54">
        <v>0</v>
      </c>
      <c r="N2398" s="54">
        <v>0</v>
      </c>
      <c r="O2398" s="54">
        <v>0</v>
      </c>
      <c r="P2398" s="54">
        <v>0</v>
      </c>
      <c r="Q2398" s="54">
        <v>0</v>
      </c>
      <c r="R2398" s="54">
        <v>1751201.33</v>
      </c>
    </row>
    <row r="2399" spans="1:18" x14ac:dyDescent="0.25">
      <c r="A2399" t="s">
        <v>80</v>
      </c>
      <c r="B2399">
        <v>2019</v>
      </c>
      <c r="C2399" t="s">
        <v>79</v>
      </c>
      <c r="D2399" s="54">
        <v>115200000</v>
      </c>
      <c r="E2399" s="54">
        <v>115200000</v>
      </c>
      <c r="F2399" s="54">
        <v>115200000</v>
      </c>
      <c r="G2399" s="54">
        <v>0</v>
      </c>
      <c r="H2399" s="54">
        <v>115200000</v>
      </c>
      <c r="I2399" s="54">
        <v>0</v>
      </c>
      <c r="J2399" s="54">
        <v>0</v>
      </c>
      <c r="K2399" s="54">
        <v>0</v>
      </c>
      <c r="L2399" s="54">
        <v>0</v>
      </c>
      <c r="M2399" s="54">
        <v>0</v>
      </c>
      <c r="N2399" s="54">
        <v>0</v>
      </c>
      <c r="O2399" s="54">
        <v>0</v>
      </c>
      <c r="P2399" s="54">
        <v>0</v>
      </c>
      <c r="Q2399" s="54">
        <v>0</v>
      </c>
      <c r="R2399" s="54">
        <v>0</v>
      </c>
    </row>
    <row r="2400" spans="1:18" x14ac:dyDescent="0.25">
      <c r="A2400" t="s">
        <v>78</v>
      </c>
      <c r="B2400">
        <v>2019</v>
      </c>
      <c r="C2400" t="s">
        <v>77</v>
      </c>
      <c r="D2400" s="54">
        <v>226100000</v>
      </c>
      <c r="E2400" s="54">
        <v>226100000</v>
      </c>
      <c r="F2400" s="54">
        <v>226100000</v>
      </c>
      <c r="G2400" s="54">
        <v>0</v>
      </c>
      <c r="H2400" s="54">
        <v>0</v>
      </c>
      <c r="I2400" s="54">
        <v>0</v>
      </c>
      <c r="J2400" s="54">
        <v>0</v>
      </c>
      <c r="K2400" s="54">
        <v>0</v>
      </c>
      <c r="L2400" s="54">
        <v>0</v>
      </c>
      <c r="M2400" s="54">
        <v>0</v>
      </c>
      <c r="N2400" s="54">
        <v>0</v>
      </c>
      <c r="O2400" s="54">
        <v>0</v>
      </c>
      <c r="P2400" s="54">
        <v>0</v>
      </c>
      <c r="Q2400" s="54">
        <v>0</v>
      </c>
      <c r="R2400" s="54">
        <v>226100000</v>
      </c>
    </row>
    <row r="2401" spans="1:18" x14ac:dyDescent="0.25">
      <c r="A2401" t="s">
        <v>76</v>
      </c>
      <c r="B2401">
        <v>2019</v>
      </c>
      <c r="C2401" t="s">
        <v>75</v>
      </c>
      <c r="D2401" s="54">
        <v>22300000</v>
      </c>
      <c r="E2401" s="54">
        <v>22300000</v>
      </c>
      <c r="F2401" s="54">
        <v>22300000</v>
      </c>
      <c r="G2401" s="54">
        <v>0</v>
      </c>
      <c r="H2401" s="54">
        <v>0</v>
      </c>
      <c r="I2401" s="54">
        <v>0</v>
      </c>
      <c r="J2401" s="54">
        <v>0</v>
      </c>
      <c r="K2401" s="54">
        <v>0</v>
      </c>
      <c r="L2401" s="54">
        <v>0</v>
      </c>
      <c r="M2401" s="54">
        <v>0</v>
      </c>
      <c r="N2401" s="54">
        <v>0</v>
      </c>
      <c r="O2401" s="54">
        <v>0</v>
      </c>
      <c r="P2401" s="54">
        <v>0</v>
      </c>
      <c r="Q2401" s="54">
        <v>0</v>
      </c>
      <c r="R2401" s="54">
        <v>22300000</v>
      </c>
    </row>
    <row r="2402" spans="1:18" x14ac:dyDescent="0.25">
      <c r="A2402" t="s">
        <v>74</v>
      </c>
      <c r="B2402">
        <v>2019</v>
      </c>
      <c r="C2402" t="s">
        <v>73</v>
      </c>
      <c r="D2402" s="54">
        <v>25900000</v>
      </c>
      <c r="E2402" s="54">
        <v>25900000</v>
      </c>
      <c r="F2402" s="54">
        <v>25900000</v>
      </c>
      <c r="G2402" s="54">
        <v>0</v>
      </c>
      <c r="H2402" s="54">
        <v>0</v>
      </c>
      <c r="I2402" s="54">
        <v>0</v>
      </c>
      <c r="J2402" s="54">
        <v>0</v>
      </c>
      <c r="K2402" s="54">
        <v>0</v>
      </c>
      <c r="L2402" s="54">
        <v>0</v>
      </c>
      <c r="M2402" s="54">
        <v>0</v>
      </c>
      <c r="N2402" s="54">
        <v>0</v>
      </c>
      <c r="O2402" s="54">
        <v>0</v>
      </c>
      <c r="P2402" s="54">
        <v>0</v>
      </c>
      <c r="Q2402" s="54">
        <v>0</v>
      </c>
      <c r="R2402" s="54">
        <v>25900000</v>
      </c>
    </row>
    <row r="2403" spans="1:18" x14ac:dyDescent="0.25">
      <c r="A2403" t="s">
        <v>72</v>
      </c>
      <c r="B2403">
        <v>2019</v>
      </c>
      <c r="C2403" t="s">
        <v>71</v>
      </c>
      <c r="D2403" s="54">
        <v>18100000</v>
      </c>
      <c r="E2403" s="54">
        <v>18100000</v>
      </c>
      <c r="F2403" s="54">
        <v>18100000</v>
      </c>
      <c r="G2403" s="54">
        <v>0</v>
      </c>
      <c r="H2403" s="54">
        <v>0</v>
      </c>
      <c r="I2403" s="54">
        <v>0</v>
      </c>
      <c r="J2403" s="54">
        <v>0</v>
      </c>
      <c r="K2403" s="54">
        <v>0</v>
      </c>
      <c r="L2403" s="54">
        <v>0</v>
      </c>
      <c r="M2403" s="54">
        <v>0</v>
      </c>
      <c r="N2403" s="54">
        <v>0</v>
      </c>
      <c r="O2403" s="54">
        <v>0</v>
      </c>
      <c r="P2403" s="54">
        <v>0</v>
      </c>
      <c r="Q2403" s="54">
        <v>0</v>
      </c>
      <c r="R2403" s="54">
        <v>0</v>
      </c>
    </row>
    <row r="2404" spans="1:18" x14ac:dyDescent="0.25">
      <c r="A2404" t="s">
        <v>70</v>
      </c>
      <c r="B2404">
        <v>2019</v>
      </c>
      <c r="C2404" t="s">
        <v>69</v>
      </c>
      <c r="D2404" s="54">
        <v>9500000</v>
      </c>
      <c r="E2404" s="54">
        <v>9500000</v>
      </c>
      <c r="F2404" s="54">
        <v>9500000</v>
      </c>
      <c r="G2404" s="54">
        <v>0</v>
      </c>
      <c r="H2404" s="54">
        <v>0</v>
      </c>
      <c r="I2404" s="54">
        <v>0</v>
      </c>
      <c r="J2404" s="54">
        <v>0</v>
      </c>
      <c r="K2404" s="54">
        <v>0</v>
      </c>
      <c r="L2404" s="54">
        <v>0</v>
      </c>
      <c r="M2404" s="54">
        <v>0</v>
      </c>
      <c r="N2404" s="54">
        <v>0</v>
      </c>
      <c r="O2404" s="54">
        <v>0</v>
      </c>
      <c r="P2404" s="54">
        <v>0</v>
      </c>
      <c r="Q2404" s="54">
        <v>0</v>
      </c>
      <c r="R2404" s="54">
        <v>0</v>
      </c>
    </row>
    <row r="2405" spans="1:18" x14ac:dyDescent="0.25">
      <c r="A2405" t="s">
        <v>68</v>
      </c>
      <c r="B2405">
        <v>2019</v>
      </c>
      <c r="C2405" t="s">
        <v>67</v>
      </c>
      <c r="D2405" s="54">
        <v>607500000</v>
      </c>
      <c r="E2405" s="54">
        <v>607500000</v>
      </c>
      <c r="F2405" s="54">
        <v>607500000</v>
      </c>
      <c r="G2405" s="54">
        <v>811200000</v>
      </c>
      <c r="H2405" s="54">
        <v>0</v>
      </c>
      <c r="I2405" s="54">
        <v>0</v>
      </c>
      <c r="J2405" s="54">
        <v>0</v>
      </c>
      <c r="K2405" s="54">
        <v>0</v>
      </c>
      <c r="L2405" s="54">
        <v>0</v>
      </c>
      <c r="M2405" s="54">
        <v>0</v>
      </c>
      <c r="N2405" s="54">
        <v>0</v>
      </c>
      <c r="O2405" s="54">
        <v>0</v>
      </c>
      <c r="P2405" s="54">
        <v>0</v>
      </c>
      <c r="Q2405" s="54">
        <v>0</v>
      </c>
      <c r="R2405" s="54">
        <v>0</v>
      </c>
    </row>
    <row r="2406" spans="1:18" x14ac:dyDescent="0.25">
      <c r="A2406" t="s">
        <v>64</v>
      </c>
      <c r="B2406">
        <v>2019</v>
      </c>
      <c r="C2406" t="s">
        <v>63</v>
      </c>
      <c r="D2406" s="54">
        <v>765900000</v>
      </c>
      <c r="E2406" s="54">
        <v>765900000</v>
      </c>
      <c r="F2406" s="54">
        <v>765900000</v>
      </c>
      <c r="G2406" s="54">
        <v>0</v>
      </c>
      <c r="H2406" s="54">
        <v>0</v>
      </c>
      <c r="I2406" s="54">
        <v>0</v>
      </c>
      <c r="J2406" s="54">
        <v>0</v>
      </c>
      <c r="K2406" s="54">
        <v>0</v>
      </c>
      <c r="L2406" s="54">
        <v>0</v>
      </c>
      <c r="M2406" s="54">
        <v>0</v>
      </c>
      <c r="N2406" s="54">
        <v>0</v>
      </c>
      <c r="O2406" s="54">
        <v>0</v>
      </c>
      <c r="P2406" s="54">
        <v>0</v>
      </c>
      <c r="Q2406" s="54">
        <v>0</v>
      </c>
      <c r="R2406" s="54">
        <v>765900000</v>
      </c>
    </row>
    <row r="2407" spans="1:18" x14ac:dyDescent="0.25">
      <c r="A2407" t="s">
        <v>62</v>
      </c>
      <c r="B2407">
        <v>2019</v>
      </c>
      <c r="C2407" t="s">
        <v>61</v>
      </c>
      <c r="D2407" s="54">
        <v>14800000</v>
      </c>
      <c r="E2407" s="54">
        <v>14800000</v>
      </c>
      <c r="F2407" s="54">
        <v>14800000</v>
      </c>
      <c r="G2407" s="54">
        <v>0</v>
      </c>
      <c r="H2407" s="54">
        <v>14800000</v>
      </c>
      <c r="I2407" s="54">
        <v>0</v>
      </c>
      <c r="J2407" s="54">
        <v>0</v>
      </c>
      <c r="K2407" s="54">
        <v>0</v>
      </c>
      <c r="L2407" s="54">
        <v>0</v>
      </c>
      <c r="M2407" s="54">
        <v>0</v>
      </c>
      <c r="N2407" s="54">
        <v>0</v>
      </c>
      <c r="O2407" s="54">
        <v>0</v>
      </c>
      <c r="P2407" s="54">
        <v>0</v>
      </c>
      <c r="Q2407" s="54">
        <v>0</v>
      </c>
      <c r="R2407" s="54">
        <v>0</v>
      </c>
    </row>
    <row r="2408" spans="1:18" x14ac:dyDescent="0.25">
      <c r="A2408" t="s">
        <v>60</v>
      </c>
      <c r="B2408">
        <v>2019</v>
      </c>
      <c r="C2408" t="s">
        <v>59</v>
      </c>
      <c r="D2408" s="54">
        <v>15900000</v>
      </c>
      <c r="E2408" s="54">
        <v>15900000</v>
      </c>
      <c r="F2408" s="54">
        <v>15900000</v>
      </c>
      <c r="G2408" s="54">
        <v>0</v>
      </c>
      <c r="H2408" s="54">
        <v>0</v>
      </c>
      <c r="I2408" s="54">
        <v>15900000</v>
      </c>
      <c r="J2408" s="54">
        <v>0</v>
      </c>
      <c r="K2408" s="54">
        <v>0</v>
      </c>
      <c r="L2408" s="54">
        <v>0</v>
      </c>
      <c r="M2408" s="54">
        <v>0</v>
      </c>
      <c r="N2408" s="54">
        <v>0</v>
      </c>
      <c r="O2408" s="54">
        <v>0</v>
      </c>
      <c r="P2408" s="54">
        <v>0</v>
      </c>
      <c r="Q2408" s="54">
        <v>0</v>
      </c>
      <c r="R2408" s="54">
        <v>0</v>
      </c>
    </row>
    <row r="2409" spans="1:18" x14ac:dyDescent="0.25">
      <c r="A2409" t="s">
        <v>1284</v>
      </c>
      <c r="B2409">
        <v>2019</v>
      </c>
      <c r="C2409" t="s">
        <v>1285</v>
      </c>
      <c r="D2409" s="54">
        <v>0</v>
      </c>
      <c r="E2409" s="54">
        <v>1235800000</v>
      </c>
      <c r="F2409" s="54">
        <v>1235800000</v>
      </c>
      <c r="G2409" s="54">
        <v>0</v>
      </c>
      <c r="H2409" s="54">
        <v>0</v>
      </c>
      <c r="I2409" s="54">
        <v>0</v>
      </c>
      <c r="J2409" s="54">
        <v>0</v>
      </c>
      <c r="K2409" s="54">
        <v>0</v>
      </c>
      <c r="L2409" s="54">
        <v>0</v>
      </c>
      <c r="M2409" s="54">
        <v>0</v>
      </c>
      <c r="N2409" s="54">
        <v>344944260.38999999</v>
      </c>
      <c r="O2409" s="54">
        <v>180480581.65000001</v>
      </c>
      <c r="P2409" s="54">
        <v>201342295.16</v>
      </c>
      <c r="Q2409" s="54">
        <v>236680991.44999999</v>
      </c>
      <c r="R2409" s="54">
        <v>236967511.46000001</v>
      </c>
    </row>
    <row r="2410" spans="1:18" x14ac:dyDescent="0.25">
      <c r="A2410" t="s">
        <v>1298</v>
      </c>
      <c r="B2410">
        <v>2019</v>
      </c>
      <c r="C2410" t="s">
        <v>1299</v>
      </c>
      <c r="D2410" s="54">
        <v>0</v>
      </c>
      <c r="E2410" s="54">
        <v>127935583.14</v>
      </c>
      <c r="F2410" s="54">
        <v>127935583.14</v>
      </c>
      <c r="G2410" s="54">
        <v>0</v>
      </c>
      <c r="H2410" s="54">
        <v>0</v>
      </c>
      <c r="I2410" s="54">
        <v>0</v>
      </c>
      <c r="J2410" s="54">
        <v>0</v>
      </c>
      <c r="K2410" s="54">
        <v>0</v>
      </c>
      <c r="L2410" s="54">
        <v>0</v>
      </c>
      <c r="M2410" s="54">
        <v>0</v>
      </c>
      <c r="N2410" s="54">
        <v>0</v>
      </c>
      <c r="O2410" s="54">
        <v>0</v>
      </c>
      <c r="P2410" s="54">
        <v>0</v>
      </c>
      <c r="Q2410" s="54">
        <v>0</v>
      </c>
      <c r="R2410" s="54">
        <v>127935583.14</v>
      </c>
    </row>
    <row r="2411" spans="1:18" x14ac:dyDescent="0.25">
      <c r="A2411" t="s">
        <v>1286</v>
      </c>
      <c r="B2411">
        <v>2019</v>
      </c>
      <c r="C2411" t="s">
        <v>1287</v>
      </c>
      <c r="D2411" s="54">
        <v>0</v>
      </c>
      <c r="E2411" s="54">
        <v>434200000</v>
      </c>
      <c r="F2411" s="54">
        <v>434200000</v>
      </c>
      <c r="G2411" s="54">
        <v>0</v>
      </c>
      <c r="H2411" s="54">
        <v>0</v>
      </c>
      <c r="I2411" s="54">
        <v>0</v>
      </c>
      <c r="J2411" s="54">
        <v>0</v>
      </c>
      <c r="K2411" s="54">
        <v>0</v>
      </c>
      <c r="L2411" s="54">
        <v>0</v>
      </c>
      <c r="M2411" s="54">
        <v>0</v>
      </c>
      <c r="N2411" s="54">
        <v>0</v>
      </c>
      <c r="O2411" s="54">
        <v>87727574.099999994</v>
      </c>
      <c r="P2411" s="54">
        <v>67969552.739999995</v>
      </c>
      <c r="Q2411" s="54">
        <v>56178382.310000002</v>
      </c>
      <c r="R2411" s="54">
        <v>48016423.189999998</v>
      </c>
    </row>
    <row r="2412" spans="1:18" x14ac:dyDescent="0.25">
      <c r="A2412" t="s">
        <v>57</v>
      </c>
      <c r="B2412">
        <v>2019</v>
      </c>
      <c r="C2412" t="s">
        <v>56</v>
      </c>
      <c r="D2412" s="54">
        <v>0</v>
      </c>
      <c r="E2412" s="54">
        <v>24429200</v>
      </c>
      <c r="F2412" s="54">
        <v>24429200</v>
      </c>
      <c r="G2412" s="54">
        <v>0</v>
      </c>
      <c r="H2412" s="54">
        <v>0</v>
      </c>
      <c r="I2412" s="54">
        <v>0</v>
      </c>
      <c r="J2412" s="54">
        <v>0</v>
      </c>
      <c r="K2412" s="54">
        <v>0</v>
      </c>
      <c r="L2412" s="54">
        <v>0</v>
      </c>
      <c r="M2412" s="54">
        <v>0</v>
      </c>
      <c r="N2412" s="54">
        <v>0</v>
      </c>
      <c r="O2412" s="54">
        <v>24429200</v>
      </c>
      <c r="P2412" s="54">
        <v>0</v>
      </c>
      <c r="Q2412" s="54">
        <v>0</v>
      </c>
      <c r="R2412" s="54">
        <v>0</v>
      </c>
    </row>
    <row r="2413" spans="1:18" x14ac:dyDescent="0.25">
      <c r="A2413" t="s">
        <v>369</v>
      </c>
      <c r="B2413">
        <v>2019</v>
      </c>
      <c r="C2413" t="s">
        <v>604</v>
      </c>
      <c r="D2413" s="54">
        <v>0</v>
      </c>
      <c r="E2413" s="54">
        <v>131062918.3</v>
      </c>
      <c r="F2413" s="54">
        <v>131062918.3</v>
      </c>
      <c r="G2413" s="54">
        <v>0</v>
      </c>
      <c r="H2413" s="54">
        <v>0</v>
      </c>
      <c r="I2413" s="54">
        <v>0</v>
      </c>
      <c r="J2413" s="54">
        <v>0</v>
      </c>
      <c r="K2413" s="54">
        <v>0</v>
      </c>
      <c r="L2413" s="54">
        <v>0</v>
      </c>
      <c r="M2413" s="54">
        <v>0</v>
      </c>
      <c r="N2413" s="54">
        <v>0</v>
      </c>
      <c r="O2413" s="54">
        <v>0</v>
      </c>
      <c r="P2413" s="54">
        <v>0</v>
      </c>
      <c r="Q2413" s="54">
        <v>0</v>
      </c>
      <c r="R2413" s="54">
        <v>131062334.79000001</v>
      </c>
    </row>
    <row r="2414" spans="1:18" x14ac:dyDescent="0.25">
      <c r="A2414" t="s">
        <v>368</v>
      </c>
      <c r="B2414">
        <v>2019</v>
      </c>
      <c r="C2414" t="s">
        <v>437</v>
      </c>
      <c r="D2414" s="54">
        <v>0</v>
      </c>
      <c r="E2414" s="57">
        <v>0</v>
      </c>
      <c r="F2414" s="57">
        <v>0</v>
      </c>
      <c r="G2414" s="54">
        <v>0</v>
      </c>
      <c r="H2414" s="54">
        <v>0</v>
      </c>
      <c r="I2414" s="54">
        <v>0</v>
      </c>
      <c r="J2414" s="54">
        <v>323165000</v>
      </c>
      <c r="K2414" s="54">
        <v>0</v>
      </c>
      <c r="L2414" s="54">
        <v>0</v>
      </c>
      <c r="M2414" s="54">
        <v>0</v>
      </c>
      <c r="N2414" s="54">
        <v>0</v>
      </c>
      <c r="O2414" s="54">
        <v>0</v>
      </c>
      <c r="P2414" s="54">
        <v>0</v>
      </c>
      <c r="Q2414" s="54">
        <v>0</v>
      </c>
      <c r="R2414" s="54">
        <v>0</v>
      </c>
    </row>
    <row r="2415" spans="1:18" x14ac:dyDescent="0.25">
      <c r="A2415" t="s">
        <v>1253</v>
      </c>
      <c r="B2415">
        <v>2019</v>
      </c>
      <c r="C2415" t="s">
        <v>1255</v>
      </c>
      <c r="D2415" s="54">
        <v>0</v>
      </c>
      <c r="E2415" s="57">
        <v>100052510000</v>
      </c>
      <c r="F2415" s="57">
        <v>100052510000</v>
      </c>
      <c r="G2415" s="54">
        <v>0</v>
      </c>
      <c r="H2415" s="54">
        <v>0</v>
      </c>
      <c r="I2415" s="54">
        <v>30052510000</v>
      </c>
      <c r="J2415" s="54">
        <v>0</v>
      </c>
      <c r="K2415" s="54">
        <v>0</v>
      </c>
      <c r="L2415" s="54">
        <v>0</v>
      </c>
      <c r="M2415" s="54">
        <v>24000000000</v>
      </c>
      <c r="N2415" s="54">
        <v>46000000000</v>
      </c>
      <c r="O2415" s="54">
        <v>0</v>
      </c>
      <c r="P2415" s="54">
        <v>0</v>
      </c>
      <c r="Q2415" s="54">
        <v>0</v>
      </c>
      <c r="R2415" s="54">
        <v>0</v>
      </c>
    </row>
    <row r="2416" spans="1:18" x14ac:dyDescent="0.25">
      <c r="A2416" t="s">
        <v>49</v>
      </c>
      <c r="B2416">
        <v>2019</v>
      </c>
      <c r="C2416" t="s">
        <v>48</v>
      </c>
      <c r="D2416" s="54">
        <v>2071202000514</v>
      </c>
      <c r="E2416" s="54">
        <v>521202000514</v>
      </c>
      <c r="F2416" s="54">
        <v>521202000514</v>
      </c>
      <c r="G2416" s="54">
        <v>1461734759.4300001</v>
      </c>
      <c r="H2416" s="54">
        <v>10224444517.549999</v>
      </c>
      <c r="I2416" s="54">
        <v>44488385202.599998</v>
      </c>
      <c r="J2416" s="54">
        <v>16098304561.85</v>
      </c>
      <c r="K2416" s="54">
        <v>23820303949.59</v>
      </c>
      <c r="L2416" s="54">
        <v>9244294505.4200001</v>
      </c>
      <c r="M2416" s="54">
        <v>11381762745.52</v>
      </c>
      <c r="N2416" s="54">
        <v>27231912041.580002</v>
      </c>
      <c r="O2416" s="54">
        <v>18564903073.779999</v>
      </c>
      <c r="P2416" s="54">
        <v>35261375691.440002</v>
      </c>
      <c r="Q2416" s="54">
        <v>36715362833.849998</v>
      </c>
      <c r="R2416" s="54">
        <v>149308255167.84</v>
      </c>
    </row>
    <row r="2417" spans="1:18" x14ac:dyDescent="0.25">
      <c r="A2417" t="s">
        <v>45</v>
      </c>
      <c r="B2417">
        <v>2019</v>
      </c>
      <c r="C2417" t="s">
        <v>44</v>
      </c>
      <c r="D2417" s="54">
        <v>100000000000</v>
      </c>
      <c r="E2417" s="54">
        <v>100000000000</v>
      </c>
      <c r="F2417" s="54">
        <v>100000000000</v>
      </c>
      <c r="G2417" s="54">
        <v>0</v>
      </c>
      <c r="H2417" s="54">
        <v>0</v>
      </c>
      <c r="I2417" s="54">
        <v>0</v>
      </c>
      <c r="J2417" s="54">
        <v>0</v>
      </c>
      <c r="K2417" s="54">
        <v>0</v>
      </c>
      <c r="L2417" s="54">
        <v>0</v>
      </c>
      <c r="M2417" s="54">
        <v>0</v>
      </c>
      <c r="N2417" s="54">
        <v>0</v>
      </c>
      <c r="O2417" s="54">
        <v>0</v>
      </c>
      <c r="P2417" s="54">
        <v>0</v>
      </c>
      <c r="Q2417" s="54">
        <v>0</v>
      </c>
      <c r="R2417" s="54">
        <v>0</v>
      </c>
    </row>
    <row r="2418" spans="1:18" x14ac:dyDescent="0.25">
      <c r="A2418" t="s">
        <v>43</v>
      </c>
      <c r="B2418">
        <v>2019</v>
      </c>
      <c r="C2418" t="s">
        <v>42</v>
      </c>
      <c r="D2418" s="54">
        <v>3682136889804</v>
      </c>
      <c r="E2418" s="54">
        <v>4100294701198.9502</v>
      </c>
      <c r="F2418" s="54">
        <v>4100294701198.9502</v>
      </c>
      <c r="G2418" s="54">
        <v>307265769006.40002</v>
      </c>
      <c r="H2418" s="54">
        <v>194587471910.03</v>
      </c>
      <c r="I2418" s="54">
        <v>817360755016.04004</v>
      </c>
      <c r="J2418" s="54">
        <v>492880285779.65997</v>
      </c>
      <c r="K2418" s="54">
        <v>376109815822.09003</v>
      </c>
      <c r="L2418" s="54">
        <v>214298356470.95999</v>
      </c>
      <c r="M2418" s="54">
        <v>365605406494.19</v>
      </c>
      <c r="N2418" s="54">
        <v>191245814026.01999</v>
      </c>
      <c r="O2418" s="54">
        <v>232852043474.16</v>
      </c>
      <c r="P2418" s="54">
        <v>204079314418.5</v>
      </c>
      <c r="Q2418" s="54">
        <v>140805917591.23999</v>
      </c>
      <c r="R2418" s="54">
        <v>154952287599.22</v>
      </c>
    </row>
    <row r="2419" spans="1:18" x14ac:dyDescent="0.25">
      <c r="A2419" t="s">
        <v>41</v>
      </c>
      <c r="B2419">
        <v>2019</v>
      </c>
      <c r="C2419" t="s">
        <v>40</v>
      </c>
      <c r="D2419" s="54">
        <v>0</v>
      </c>
      <c r="E2419" s="54">
        <v>0</v>
      </c>
      <c r="F2419" s="54">
        <v>0</v>
      </c>
      <c r="G2419" s="54">
        <v>0</v>
      </c>
      <c r="H2419" s="54">
        <v>0</v>
      </c>
      <c r="I2419" s="54">
        <v>0</v>
      </c>
      <c r="J2419" s="54">
        <v>0</v>
      </c>
      <c r="K2419" s="54">
        <v>0</v>
      </c>
      <c r="L2419" s="54">
        <v>0</v>
      </c>
      <c r="M2419" s="54">
        <v>0</v>
      </c>
      <c r="N2419" s="54">
        <v>0</v>
      </c>
      <c r="O2419" s="54">
        <v>0</v>
      </c>
      <c r="P2419" s="54">
        <v>0</v>
      </c>
      <c r="Q2419" s="54">
        <v>0</v>
      </c>
      <c r="R2419" s="54">
        <v>0</v>
      </c>
    </row>
    <row r="2420" spans="1:18" x14ac:dyDescent="0.25">
      <c r="A2420" t="s">
        <v>1308</v>
      </c>
      <c r="B2420">
        <v>2019</v>
      </c>
      <c r="C2420" t="s">
        <v>1312</v>
      </c>
      <c r="D2420" s="54">
        <v>0</v>
      </c>
      <c r="E2420" s="54">
        <v>0</v>
      </c>
      <c r="F2420" s="54">
        <v>0</v>
      </c>
      <c r="G2420" s="54">
        <v>0</v>
      </c>
      <c r="H2420" s="54">
        <v>0</v>
      </c>
      <c r="I2420" s="54">
        <v>0</v>
      </c>
      <c r="J2420" s="54">
        <v>0</v>
      </c>
      <c r="K2420" s="54">
        <v>0</v>
      </c>
      <c r="L2420" s="54">
        <v>0</v>
      </c>
      <c r="M2420" s="54">
        <v>0</v>
      </c>
      <c r="N2420" s="54">
        <v>0</v>
      </c>
      <c r="O2420" s="54">
        <v>0</v>
      </c>
      <c r="P2420" s="54">
        <v>0</v>
      </c>
      <c r="Q2420" s="54">
        <v>0</v>
      </c>
      <c r="R2420" s="54">
        <v>0</v>
      </c>
    </row>
    <row r="2421" spans="1:18" x14ac:dyDescent="0.25">
      <c r="A2421" t="s">
        <v>39</v>
      </c>
      <c r="B2421">
        <v>2019</v>
      </c>
      <c r="C2421" t="s">
        <v>38</v>
      </c>
      <c r="D2421" s="54">
        <v>0</v>
      </c>
      <c r="E2421" s="54">
        <v>10456842286.969999</v>
      </c>
      <c r="F2421" s="54">
        <v>10456842286.969999</v>
      </c>
      <c r="G2421" s="54">
        <v>2543548690.8400002</v>
      </c>
      <c r="H2421" s="54">
        <v>4605515335.3699999</v>
      </c>
      <c r="I2421" s="54">
        <v>0</v>
      </c>
      <c r="J2421" s="54">
        <v>0</v>
      </c>
      <c r="K2421" s="54">
        <v>937373693.64999998</v>
      </c>
      <c r="L2421" s="54">
        <v>533107598.73000002</v>
      </c>
      <c r="M2421" s="54">
        <v>485662360.89999998</v>
      </c>
      <c r="N2421" s="54">
        <v>477420835.20999998</v>
      </c>
      <c r="O2421" s="54">
        <v>323420884.92000002</v>
      </c>
      <c r="P2421" s="54">
        <v>0</v>
      </c>
      <c r="Q2421" s="54">
        <v>0</v>
      </c>
      <c r="R2421" s="54">
        <v>550792887.35000002</v>
      </c>
    </row>
    <row r="2422" spans="1:18" x14ac:dyDescent="0.25">
      <c r="A2422" t="s">
        <v>37</v>
      </c>
      <c r="B2422">
        <v>2019</v>
      </c>
      <c r="C2422" t="s">
        <v>36</v>
      </c>
      <c r="D2422" s="54">
        <v>0</v>
      </c>
      <c r="E2422" s="54">
        <v>0</v>
      </c>
      <c r="F2422" s="54">
        <v>0</v>
      </c>
      <c r="G2422" s="54">
        <v>0</v>
      </c>
      <c r="H2422" s="54">
        <v>0</v>
      </c>
      <c r="I2422" s="54">
        <v>0</v>
      </c>
      <c r="J2422" s="54">
        <v>0</v>
      </c>
      <c r="K2422" s="54">
        <v>0</v>
      </c>
      <c r="L2422" s="54">
        <v>0</v>
      </c>
      <c r="M2422" s="54">
        <v>0</v>
      </c>
      <c r="N2422" s="54">
        <v>0</v>
      </c>
      <c r="O2422" s="54">
        <v>0</v>
      </c>
      <c r="P2422" s="54">
        <v>0</v>
      </c>
      <c r="Q2422" s="54">
        <v>0</v>
      </c>
      <c r="R2422" s="54">
        <v>0</v>
      </c>
    </row>
    <row r="2423" spans="1:18" x14ac:dyDescent="0.25">
      <c r="A2423" t="s">
        <v>35</v>
      </c>
      <c r="B2423">
        <v>2019</v>
      </c>
      <c r="C2423" t="s">
        <v>34</v>
      </c>
      <c r="D2423" s="54">
        <v>0</v>
      </c>
      <c r="E2423" s="54">
        <v>0</v>
      </c>
      <c r="F2423" s="54">
        <v>0</v>
      </c>
      <c r="G2423" s="54">
        <v>0</v>
      </c>
      <c r="H2423" s="54">
        <v>0</v>
      </c>
      <c r="I2423" s="54">
        <v>0</v>
      </c>
      <c r="J2423" s="54">
        <v>0</v>
      </c>
      <c r="K2423" s="54">
        <v>0</v>
      </c>
      <c r="L2423" s="54">
        <v>0</v>
      </c>
      <c r="M2423" s="54">
        <v>0</v>
      </c>
      <c r="N2423" s="54">
        <v>0</v>
      </c>
      <c r="O2423" s="54">
        <v>0</v>
      </c>
      <c r="P2423" s="54">
        <v>0</v>
      </c>
      <c r="Q2423" s="54">
        <v>0</v>
      </c>
      <c r="R2423" s="54">
        <v>0</v>
      </c>
    </row>
    <row r="2424" spans="1:18" x14ac:dyDescent="0.25">
      <c r="A2424" t="s">
        <v>33</v>
      </c>
      <c r="B2424">
        <v>2019</v>
      </c>
      <c r="C2424" t="s">
        <v>32</v>
      </c>
      <c r="D2424" s="54">
        <v>0</v>
      </c>
      <c r="E2424" s="54">
        <v>0</v>
      </c>
      <c r="F2424" s="54">
        <v>0</v>
      </c>
      <c r="G2424" s="54">
        <v>0</v>
      </c>
      <c r="H2424" s="54">
        <v>0</v>
      </c>
      <c r="I2424" s="54">
        <v>0</v>
      </c>
      <c r="J2424" s="54">
        <v>0</v>
      </c>
      <c r="K2424" s="54">
        <v>0</v>
      </c>
      <c r="L2424" s="54">
        <v>0</v>
      </c>
      <c r="M2424" s="54">
        <v>0</v>
      </c>
      <c r="N2424" s="54">
        <v>0</v>
      </c>
      <c r="O2424" s="54">
        <v>0</v>
      </c>
      <c r="P2424" s="54">
        <v>0</v>
      </c>
      <c r="Q2424" s="54">
        <v>0</v>
      </c>
      <c r="R2424" s="54">
        <v>0</v>
      </c>
    </row>
    <row r="2425" spans="1:18" x14ac:dyDescent="0.25">
      <c r="A2425" t="s">
        <v>31</v>
      </c>
      <c r="B2425">
        <v>2019</v>
      </c>
      <c r="C2425" t="s">
        <v>30</v>
      </c>
      <c r="D2425" s="54">
        <v>0</v>
      </c>
      <c r="E2425" s="54">
        <v>0</v>
      </c>
      <c r="F2425" s="54">
        <v>0</v>
      </c>
      <c r="G2425" s="54">
        <v>0</v>
      </c>
      <c r="H2425" s="54">
        <v>0</v>
      </c>
      <c r="I2425" s="54">
        <v>0</v>
      </c>
      <c r="J2425" s="54">
        <v>0</v>
      </c>
      <c r="K2425" s="54">
        <v>0</v>
      </c>
      <c r="L2425" s="54">
        <v>0</v>
      </c>
      <c r="M2425" s="54">
        <v>0</v>
      </c>
      <c r="N2425" s="54">
        <v>0</v>
      </c>
      <c r="O2425" s="54">
        <v>0</v>
      </c>
      <c r="P2425" s="54">
        <v>0</v>
      </c>
      <c r="Q2425" s="54">
        <v>0</v>
      </c>
      <c r="R2425" s="54">
        <v>0</v>
      </c>
    </row>
    <row r="2426" spans="1:18" x14ac:dyDescent="0.25">
      <c r="A2426" t="s">
        <v>29</v>
      </c>
      <c r="B2426">
        <v>2019</v>
      </c>
      <c r="C2426" t="s">
        <v>28</v>
      </c>
      <c r="D2426" s="54">
        <v>0</v>
      </c>
      <c r="E2426" s="54">
        <v>0</v>
      </c>
      <c r="F2426" s="54">
        <v>0</v>
      </c>
      <c r="G2426" s="54">
        <v>0</v>
      </c>
      <c r="H2426" s="54">
        <v>0</v>
      </c>
      <c r="I2426" s="54">
        <v>0</v>
      </c>
      <c r="J2426" s="54">
        <v>0</v>
      </c>
      <c r="K2426" s="54">
        <v>0</v>
      </c>
      <c r="L2426" s="54">
        <v>0</v>
      </c>
      <c r="M2426" s="54">
        <v>0</v>
      </c>
      <c r="N2426" s="54">
        <v>0</v>
      </c>
      <c r="O2426" s="54">
        <v>0</v>
      </c>
      <c r="P2426" s="54">
        <v>0</v>
      </c>
      <c r="Q2426" s="54">
        <v>0</v>
      </c>
      <c r="R2426" s="54">
        <v>0</v>
      </c>
    </row>
    <row r="2427" spans="1:18" x14ac:dyDescent="0.25">
      <c r="A2427" t="s">
        <v>27</v>
      </c>
      <c r="B2427">
        <v>2019</v>
      </c>
      <c r="C2427" t="s">
        <v>26</v>
      </c>
      <c r="D2427" s="54">
        <v>0</v>
      </c>
      <c r="E2427" s="54">
        <v>1490170426.5799999</v>
      </c>
      <c r="F2427" s="54">
        <v>1490170426.5799999</v>
      </c>
      <c r="G2427" s="54">
        <v>16569517.08</v>
      </c>
      <c r="H2427" s="54">
        <v>0</v>
      </c>
      <c r="I2427" s="54">
        <v>52972598.630000003</v>
      </c>
      <c r="J2427" s="54">
        <v>71606230.530000001</v>
      </c>
      <c r="K2427" s="54">
        <v>42121000.909999996</v>
      </c>
      <c r="L2427" s="54">
        <v>73735854.480000004</v>
      </c>
      <c r="M2427" s="54">
        <v>318204814.62</v>
      </c>
      <c r="N2427" s="54">
        <v>160115841.33000001</v>
      </c>
      <c r="O2427" s="54">
        <v>315733774.64999998</v>
      </c>
      <c r="P2427" s="54">
        <v>213024949.36000001</v>
      </c>
      <c r="Q2427" s="54">
        <v>40406130.920000002</v>
      </c>
      <c r="R2427" s="54">
        <v>185679714.06999999</v>
      </c>
    </row>
    <row r="2428" spans="1:18" x14ac:dyDescent="0.25">
      <c r="A2428" t="s">
        <v>25</v>
      </c>
      <c r="B2428">
        <v>2019</v>
      </c>
      <c r="C2428" t="s">
        <v>24</v>
      </c>
      <c r="D2428" s="54">
        <v>0</v>
      </c>
      <c r="E2428" s="54">
        <v>73676400000</v>
      </c>
      <c r="F2428" s="54">
        <v>73676400000</v>
      </c>
      <c r="G2428" s="54">
        <v>73676400000</v>
      </c>
      <c r="H2428" s="54">
        <v>0</v>
      </c>
      <c r="I2428" s="54">
        <v>0</v>
      </c>
      <c r="J2428" s="54">
        <v>0</v>
      </c>
      <c r="K2428" s="54">
        <v>0</v>
      </c>
      <c r="L2428" s="54">
        <v>0</v>
      </c>
      <c r="M2428" s="54">
        <v>0</v>
      </c>
      <c r="N2428" s="54">
        <v>0</v>
      </c>
      <c r="O2428" s="54">
        <v>0</v>
      </c>
      <c r="P2428" s="54">
        <v>0</v>
      </c>
      <c r="Q2428" s="54">
        <v>0</v>
      </c>
      <c r="R2428" s="54">
        <v>0</v>
      </c>
    </row>
    <row r="2429" spans="1:18" x14ac:dyDescent="0.25">
      <c r="A2429" t="s">
        <v>23</v>
      </c>
      <c r="B2429">
        <v>2019</v>
      </c>
      <c r="C2429" t="s">
        <v>22</v>
      </c>
      <c r="D2429" s="54">
        <v>0</v>
      </c>
      <c r="E2429" s="54">
        <v>0</v>
      </c>
      <c r="F2429" s="54">
        <v>0</v>
      </c>
      <c r="G2429" s="54">
        <v>0</v>
      </c>
      <c r="H2429" s="54">
        <v>0</v>
      </c>
      <c r="I2429" s="54">
        <v>0</v>
      </c>
      <c r="J2429" s="54">
        <v>0</v>
      </c>
      <c r="K2429" s="54">
        <v>0</v>
      </c>
      <c r="L2429" s="54">
        <v>0</v>
      </c>
      <c r="M2429" s="54">
        <v>0</v>
      </c>
      <c r="N2429" s="54">
        <v>0</v>
      </c>
      <c r="O2429" s="54">
        <v>0</v>
      </c>
      <c r="P2429" s="54">
        <v>0</v>
      </c>
      <c r="Q2429" s="54">
        <v>0</v>
      </c>
      <c r="R2429" s="54">
        <v>0</v>
      </c>
    </row>
    <row r="2430" spans="1:18" x14ac:dyDescent="0.25">
      <c r="A2430" t="s">
        <v>21</v>
      </c>
      <c r="B2430">
        <v>2019</v>
      </c>
      <c r="C2430" t="s">
        <v>18</v>
      </c>
      <c r="D2430" s="54">
        <v>0</v>
      </c>
      <c r="E2430" s="54">
        <v>373587719.55000001</v>
      </c>
      <c r="F2430" s="54">
        <v>373587719.55000001</v>
      </c>
      <c r="G2430" s="54">
        <v>0</v>
      </c>
      <c r="H2430" s="54">
        <v>0</v>
      </c>
      <c r="I2430" s="54">
        <v>0</v>
      </c>
      <c r="J2430" s="54">
        <v>24512220</v>
      </c>
      <c r="K2430" s="54">
        <v>44293425</v>
      </c>
      <c r="L2430" s="54">
        <v>22300400</v>
      </c>
      <c r="M2430" s="54">
        <v>32170242</v>
      </c>
      <c r="N2430" s="54">
        <v>50260237.25</v>
      </c>
      <c r="O2430" s="54">
        <v>31338838.370000001</v>
      </c>
      <c r="P2430" s="54">
        <v>47020995.229999997</v>
      </c>
      <c r="Q2430" s="54">
        <v>35589790.130000003</v>
      </c>
      <c r="R2430" s="54">
        <v>86101571.569999993</v>
      </c>
    </row>
    <row r="2431" spans="1:18" x14ac:dyDescent="0.25">
      <c r="A2431" t="s">
        <v>1235</v>
      </c>
      <c r="B2431">
        <v>2019</v>
      </c>
      <c r="C2431" t="s">
        <v>1236</v>
      </c>
      <c r="D2431" s="54">
        <v>0</v>
      </c>
      <c r="E2431" s="54">
        <v>11679121200</v>
      </c>
      <c r="F2431" s="54">
        <v>11679121200</v>
      </c>
      <c r="G2431" s="54">
        <v>0</v>
      </c>
      <c r="H2431" s="54">
        <v>0</v>
      </c>
      <c r="I2431" s="54">
        <v>0</v>
      </c>
      <c r="J2431" s="54">
        <v>0</v>
      </c>
      <c r="K2431" s="54">
        <v>0</v>
      </c>
      <c r="L2431" s="54">
        <v>0</v>
      </c>
      <c r="M2431" s="54">
        <v>0</v>
      </c>
      <c r="N2431" s="54">
        <v>0</v>
      </c>
      <c r="O2431" s="54">
        <v>0</v>
      </c>
      <c r="P2431" s="54">
        <v>11656240800</v>
      </c>
      <c r="Q2431" s="54">
        <v>0</v>
      </c>
      <c r="R2431" s="54">
        <v>22880400</v>
      </c>
    </row>
    <row r="2432" spans="1:18" x14ac:dyDescent="0.25">
      <c r="A2432" t="s">
        <v>1241</v>
      </c>
      <c r="B2432">
        <v>2019</v>
      </c>
      <c r="C2432" t="s">
        <v>1242</v>
      </c>
      <c r="D2432" s="54">
        <v>0</v>
      </c>
      <c r="E2432" s="54">
        <v>2075352511.24</v>
      </c>
      <c r="F2432" s="54">
        <v>2075352511.24</v>
      </c>
      <c r="G2432" s="54">
        <v>0</v>
      </c>
      <c r="H2432" s="54">
        <v>0</v>
      </c>
      <c r="I2432" s="54">
        <v>0</v>
      </c>
      <c r="J2432" s="54">
        <v>0</v>
      </c>
      <c r="K2432" s="54">
        <v>7181400</v>
      </c>
      <c r="L2432" s="54">
        <v>7112160</v>
      </c>
      <c r="M2432" s="54">
        <v>17300775</v>
      </c>
      <c r="N2432" s="54">
        <v>331795545</v>
      </c>
      <c r="O2432" s="54">
        <v>107864173.95999999</v>
      </c>
      <c r="P2432" s="54">
        <v>27586700</v>
      </c>
      <c r="Q2432" s="54">
        <v>629953760.96000004</v>
      </c>
      <c r="R2432" s="54">
        <v>946557996.32000005</v>
      </c>
    </row>
    <row r="2433" spans="1:18" x14ac:dyDescent="0.25">
      <c r="A2433" t="s">
        <v>1309</v>
      </c>
      <c r="B2433">
        <v>2019</v>
      </c>
      <c r="C2433" t="s">
        <v>1313</v>
      </c>
      <c r="D2433" s="54">
        <v>0</v>
      </c>
      <c r="E2433" s="54">
        <v>146796790307</v>
      </c>
      <c r="F2433" s="54">
        <v>146796790307</v>
      </c>
      <c r="G2433" s="54">
        <v>0</v>
      </c>
      <c r="H2433" s="54">
        <v>0</v>
      </c>
      <c r="I2433" s="54">
        <v>0</v>
      </c>
      <c r="J2433" s="54">
        <v>0</v>
      </c>
      <c r="K2433" s="54">
        <v>0</v>
      </c>
      <c r="L2433" s="54">
        <v>0</v>
      </c>
      <c r="M2433" s="54">
        <v>0</v>
      </c>
      <c r="N2433" s="54">
        <v>0</v>
      </c>
      <c r="O2433" s="54">
        <v>0</v>
      </c>
      <c r="P2433" s="54">
        <v>0</v>
      </c>
      <c r="Q2433" s="54">
        <v>95901098780.610001</v>
      </c>
      <c r="R2433" s="54">
        <v>50895691526.389999</v>
      </c>
    </row>
    <row r="2434" spans="1:18" x14ac:dyDescent="0.25">
      <c r="A2434" t="s">
        <v>17</v>
      </c>
      <c r="B2434">
        <v>2019</v>
      </c>
      <c r="C2434" t="s">
        <v>16</v>
      </c>
      <c r="D2434" s="54">
        <v>0</v>
      </c>
      <c r="E2434" s="54">
        <v>89210700000</v>
      </c>
      <c r="F2434" s="54">
        <v>89210700000</v>
      </c>
      <c r="G2434" s="54">
        <v>0</v>
      </c>
      <c r="H2434" s="54">
        <v>54900900000</v>
      </c>
      <c r="I2434" s="54">
        <v>0</v>
      </c>
      <c r="J2434" s="54">
        <v>0</v>
      </c>
      <c r="K2434" s="54">
        <v>0</v>
      </c>
      <c r="L2434" s="54">
        <v>0</v>
      </c>
      <c r="M2434" s="54">
        <v>0</v>
      </c>
      <c r="N2434" s="54">
        <v>34309800000</v>
      </c>
      <c r="O2434" s="54">
        <v>0</v>
      </c>
      <c r="P2434" s="54">
        <v>0</v>
      </c>
      <c r="Q2434" s="54">
        <v>0</v>
      </c>
      <c r="R2434" s="54">
        <v>0</v>
      </c>
    </row>
    <row r="2435" spans="1:18" x14ac:dyDescent="0.25">
      <c r="A2435" t="s">
        <v>15</v>
      </c>
      <c r="B2435">
        <v>2019</v>
      </c>
      <c r="C2435" t="s">
        <v>14</v>
      </c>
      <c r="D2435" s="54">
        <v>0</v>
      </c>
      <c r="E2435" s="54">
        <v>8377000000</v>
      </c>
      <c r="F2435" s="54">
        <v>8377000000</v>
      </c>
      <c r="G2435" s="54">
        <v>0</v>
      </c>
      <c r="H2435" s="54">
        <v>0</v>
      </c>
      <c r="I2435" s="54">
        <v>0</v>
      </c>
      <c r="J2435" s="54">
        <v>0</v>
      </c>
      <c r="K2435" s="54">
        <v>0</v>
      </c>
      <c r="L2435" s="54">
        <v>0</v>
      </c>
      <c r="M2435" s="54">
        <v>0</v>
      </c>
      <c r="N2435" s="54">
        <v>0</v>
      </c>
      <c r="O2435" s="54">
        <v>0</v>
      </c>
      <c r="P2435" s="54">
        <v>0</v>
      </c>
      <c r="Q2435" s="54">
        <v>8377000000</v>
      </c>
      <c r="R2435" s="54">
        <v>0</v>
      </c>
    </row>
    <row r="2436" spans="1:18" x14ac:dyDescent="0.25">
      <c r="A2436" t="s">
        <v>13</v>
      </c>
      <c r="B2436">
        <v>2019</v>
      </c>
      <c r="C2436" t="s">
        <v>11</v>
      </c>
      <c r="D2436" s="54">
        <v>0</v>
      </c>
      <c r="E2436" s="54">
        <v>15828547055.27</v>
      </c>
      <c r="F2436" s="54">
        <v>15828547055.27</v>
      </c>
      <c r="G2436" s="54">
        <v>1841910000</v>
      </c>
      <c r="H2436" s="54">
        <v>1842240000</v>
      </c>
      <c r="I2436" s="54">
        <v>0</v>
      </c>
      <c r="J2436" s="54">
        <v>0</v>
      </c>
      <c r="K2436" s="54">
        <v>1972806000</v>
      </c>
      <c r="L2436" s="54">
        <v>7084400728.9700003</v>
      </c>
      <c r="M2436" s="54">
        <v>2199779700</v>
      </c>
      <c r="N2436" s="54">
        <v>179603550</v>
      </c>
      <c r="O2436" s="54">
        <v>0</v>
      </c>
      <c r="P2436" s="54">
        <v>0</v>
      </c>
      <c r="Q2436" s="54">
        <v>537768636.29999995</v>
      </c>
      <c r="R2436" s="54">
        <v>170038440</v>
      </c>
    </row>
    <row r="2437" spans="1:18" x14ac:dyDescent="0.25">
      <c r="A2437" t="s">
        <v>10</v>
      </c>
      <c r="B2437">
        <v>2019</v>
      </c>
      <c r="C2437" t="s">
        <v>9</v>
      </c>
      <c r="D2437" s="54">
        <v>0</v>
      </c>
      <c r="E2437" s="54">
        <v>7313173537.96</v>
      </c>
      <c r="F2437" s="54">
        <v>7313173537.96</v>
      </c>
      <c r="G2437" s="54">
        <v>0</v>
      </c>
      <c r="H2437" s="54">
        <v>0</v>
      </c>
      <c r="I2437" s="54">
        <v>1357922582.9100001</v>
      </c>
      <c r="J2437" s="54">
        <v>734009157.73000002</v>
      </c>
      <c r="K2437" s="54">
        <v>209765480.88</v>
      </c>
      <c r="L2437" s="54">
        <v>1790328329.72</v>
      </c>
      <c r="M2437" s="54">
        <v>0</v>
      </c>
      <c r="N2437" s="54">
        <v>449978614.27999997</v>
      </c>
      <c r="O2437" s="54">
        <v>779513345.15999997</v>
      </c>
      <c r="P2437" s="54">
        <v>561192696.54999995</v>
      </c>
      <c r="Q2437" s="54">
        <v>543985511.49000001</v>
      </c>
      <c r="R2437" s="54">
        <v>886477819.24000001</v>
      </c>
    </row>
    <row r="2438" spans="1:18" x14ac:dyDescent="0.25">
      <c r="A2438" t="s">
        <v>8</v>
      </c>
      <c r="B2438">
        <v>2019</v>
      </c>
      <c r="C2438" t="s">
        <v>7</v>
      </c>
      <c r="D2438" s="54">
        <v>0</v>
      </c>
      <c r="E2438" s="54">
        <v>0</v>
      </c>
      <c r="F2438" s="103">
        <v>0</v>
      </c>
      <c r="G2438" s="54">
        <v>0</v>
      </c>
      <c r="H2438" s="54">
        <v>0</v>
      </c>
      <c r="I2438" s="54">
        <v>0</v>
      </c>
      <c r="J2438" s="54">
        <v>0</v>
      </c>
      <c r="K2438" s="54">
        <v>0</v>
      </c>
      <c r="L2438" s="54">
        <v>0</v>
      </c>
      <c r="M2438" s="54">
        <v>0</v>
      </c>
      <c r="N2438" s="54">
        <v>0</v>
      </c>
      <c r="O2438" s="54">
        <v>0</v>
      </c>
      <c r="P2438" s="54">
        <v>0</v>
      </c>
      <c r="Q2438" s="54">
        <v>0</v>
      </c>
      <c r="R2438" s="54">
        <v>0</v>
      </c>
    </row>
    <row r="2439" spans="1:18" x14ac:dyDescent="0.25">
      <c r="A2439" t="s">
        <v>6</v>
      </c>
      <c r="B2439">
        <v>2019</v>
      </c>
      <c r="C2439" t="s">
        <v>4</v>
      </c>
      <c r="D2439" s="54">
        <v>0</v>
      </c>
      <c r="E2439" s="54">
        <v>0</v>
      </c>
      <c r="F2439" s="103">
        <v>0</v>
      </c>
      <c r="G2439" s="54">
        <v>0</v>
      </c>
      <c r="H2439" s="54">
        <v>0</v>
      </c>
      <c r="I2439" s="54">
        <v>0</v>
      </c>
      <c r="J2439" s="54">
        <v>0</v>
      </c>
      <c r="K2439" s="54">
        <v>0</v>
      </c>
      <c r="L2439" s="54">
        <v>0</v>
      </c>
      <c r="M2439" s="54">
        <v>0</v>
      </c>
      <c r="N2439" s="54">
        <v>0</v>
      </c>
      <c r="O2439" s="54">
        <v>0</v>
      </c>
      <c r="P2439" s="54">
        <v>0</v>
      </c>
      <c r="Q2439" s="54">
        <v>0</v>
      </c>
      <c r="R2439" s="54">
        <v>0</v>
      </c>
    </row>
    <row r="2440" spans="1:18" x14ac:dyDescent="0.25">
      <c r="A2440" t="s">
        <v>5</v>
      </c>
      <c r="B2440">
        <v>2019</v>
      </c>
      <c r="C2440" t="s">
        <v>4</v>
      </c>
      <c r="D2440" s="54">
        <v>0</v>
      </c>
      <c r="E2440" s="54">
        <v>23464267727.450001</v>
      </c>
      <c r="F2440" s="103">
        <v>23464267727.450001</v>
      </c>
      <c r="G2440" s="54">
        <v>0</v>
      </c>
      <c r="H2440" s="54">
        <v>0</v>
      </c>
      <c r="I2440" s="54">
        <v>0</v>
      </c>
      <c r="J2440" s="54">
        <v>1493197793.29</v>
      </c>
      <c r="K2440" s="54">
        <v>0</v>
      </c>
      <c r="L2440" s="54">
        <v>0</v>
      </c>
      <c r="M2440" s="54">
        <v>227037976.65000001</v>
      </c>
      <c r="N2440" s="54">
        <v>0</v>
      </c>
      <c r="O2440" s="54">
        <v>0</v>
      </c>
      <c r="P2440" s="54">
        <v>15389884543.139999</v>
      </c>
      <c r="Q2440" s="54">
        <v>0</v>
      </c>
      <c r="R2440" s="54">
        <v>6354147414.3699999</v>
      </c>
    </row>
    <row r="2441" spans="1:18" x14ac:dyDescent="0.25">
      <c r="A2441" t="s">
        <v>3</v>
      </c>
      <c r="B2441">
        <v>2019</v>
      </c>
      <c r="C2441" t="s">
        <v>0</v>
      </c>
      <c r="D2441" s="54">
        <v>0</v>
      </c>
      <c r="E2441" s="54">
        <v>0</v>
      </c>
      <c r="F2441" s="103">
        <v>0</v>
      </c>
      <c r="G2441" s="54">
        <v>0</v>
      </c>
      <c r="H2441" s="54">
        <v>0</v>
      </c>
      <c r="I2441" s="54">
        <v>0</v>
      </c>
      <c r="J2441" s="54">
        <v>0</v>
      </c>
      <c r="K2441" s="54">
        <v>0</v>
      </c>
      <c r="L2441" s="54">
        <v>0</v>
      </c>
      <c r="M2441" s="54">
        <v>0</v>
      </c>
      <c r="N2441" s="54">
        <v>0</v>
      </c>
      <c r="O2441" s="54">
        <v>0</v>
      </c>
      <c r="P2441" s="54">
        <v>0</v>
      </c>
      <c r="Q2441" s="54">
        <v>0</v>
      </c>
      <c r="R2441" s="54">
        <v>0</v>
      </c>
    </row>
    <row r="2442" spans="1:18" x14ac:dyDescent="0.25">
      <c r="A2442" t="s">
        <v>1310</v>
      </c>
      <c r="B2442">
        <v>2019</v>
      </c>
      <c r="C2442" t="s">
        <v>1314</v>
      </c>
      <c r="D2442" s="54">
        <v>0</v>
      </c>
      <c r="E2442" s="54">
        <v>0</v>
      </c>
      <c r="F2442" s="103">
        <v>0</v>
      </c>
      <c r="G2442" s="54">
        <v>0</v>
      </c>
      <c r="H2442" s="54">
        <v>0</v>
      </c>
      <c r="I2442" s="54">
        <v>0</v>
      </c>
      <c r="J2442" s="54">
        <v>0</v>
      </c>
      <c r="K2442" s="54">
        <v>0</v>
      </c>
      <c r="L2442" s="54">
        <v>0</v>
      </c>
      <c r="M2442" s="54">
        <v>0</v>
      </c>
      <c r="N2442" s="54">
        <v>0</v>
      </c>
      <c r="O2442" s="54">
        <v>0</v>
      </c>
      <c r="P2442" s="54">
        <v>0</v>
      </c>
      <c r="Q2442" s="54">
        <v>0</v>
      </c>
      <c r="R2442" s="54">
        <v>0</v>
      </c>
    </row>
    <row r="2443" spans="1:18" x14ac:dyDescent="0.25">
      <c r="A2443" t="s">
        <v>415</v>
      </c>
      <c r="B2443">
        <v>2019</v>
      </c>
      <c r="C2443" t="s">
        <v>414</v>
      </c>
      <c r="D2443" s="54">
        <v>0</v>
      </c>
      <c r="E2443" s="54">
        <v>861720000000</v>
      </c>
      <c r="F2443" s="103">
        <v>861720000000</v>
      </c>
      <c r="G2443" s="54">
        <v>0</v>
      </c>
      <c r="H2443" s="54">
        <v>0</v>
      </c>
      <c r="I2443" s="54">
        <v>0</v>
      </c>
      <c r="J2443" s="54">
        <v>0</v>
      </c>
      <c r="K2443" s="54">
        <v>0</v>
      </c>
      <c r="L2443" s="54">
        <v>0</v>
      </c>
      <c r="M2443" s="54">
        <v>0</v>
      </c>
      <c r="N2443" s="54">
        <v>0</v>
      </c>
      <c r="O2443" s="54">
        <v>0</v>
      </c>
      <c r="P2443" s="54">
        <v>0</v>
      </c>
      <c r="Q2443" s="54">
        <v>861720000000.06995</v>
      </c>
      <c r="R2443" s="54">
        <v>-7.0000000000000007E-2</v>
      </c>
    </row>
    <row r="2444" spans="1:18" x14ac:dyDescent="0.25">
      <c r="A2444" t="s">
        <v>361</v>
      </c>
      <c r="B2444">
        <v>2019</v>
      </c>
      <c r="C2444" t="s">
        <v>379</v>
      </c>
      <c r="D2444" s="54">
        <v>2670250986</v>
      </c>
      <c r="E2444" s="54">
        <v>2670250986</v>
      </c>
      <c r="F2444" s="54">
        <v>2670250986</v>
      </c>
      <c r="G2444" s="54">
        <v>0</v>
      </c>
      <c r="H2444" s="54">
        <v>0</v>
      </c>
      <c r="I2444" s="54">
        <v>0</v>
      </c>
      <c r="J2444" s="54">
        <v>0</v>
      </c>
      <c r="K2444" s="54">
        <v>0</v>
      </c>
      <c r="L2444" s="54">
        <v>0</v>
      </c>
      <c r="M2444" s="54">
        <v>0</v>
      </c>
      <c r="N2444" s="54">
        <v>0</v>
      </c>
      <c r="O2444" s="54">
        <v>0</v>
      </c>
      <c r="P2444" s="54">
        <v>0</v>
      </c>
      <c r="Q2444" s="54">
        <v>0</v>
      </c>
      <c r="R2444" s="54">
        <v>0</v>
      </c>
    </row>
    <row r="2445" spans="1:18" x14ac:dyDescent="0.25">
      <c r="A2445" t="s">
        <v>1263</v>
      </c>
      <c r="B2445">
        <v>2019</v>
      </c>
      <c r="C2445" t="s">
        <v>1264</v>
      </c>
      <c r="D2445" s="54">
        <v>0</v>
      </c>
      <c r="E2445" s="54">
        <v>27846377</v>
      </c>
      <c r="F2445" s="54">
        <v>27846377</v>
      </c>
      <c r="G2445" s="54">
        <v>0</v>
      </c>
      <c r="H2445" s="54">
        <v>0</v>
      </c>
      <c r="I2445" s="54">
        <v>0</v>
      </c>
      <c r="J2445" s="54">
        <v>0</v>
      </c>
      <c r="K2445" s="54">
        <v>0</v>
      </c>
      <c r="L2445" s="54">
        <v>0</v>
      </c>
      <c r="M2445" s="54">
        <v>0</v>
      </c>
      <c r="N2445" s="54">
        <v>0</v>
      </c>
      <c r="O2445" s="54">
        <v>0</v>
      </c>
      <c r="P2445" s="54">
        <v>0</v>
      </c>
      <c r="Q2445" s="54">
        <v>0</v>
      </c>
      <c r="R2445" s="54">
        <v>27846377</v>
      </c>
    </row>
    <row r="2446" spans="1:18" x14ac:dyDescent="0.25">
      <c r="A2446" t="s">
        <v>1311</v>
      </c>
      <c r="B2446">
        <v>2019</v>
      </c>
      <c r="C2446" t="s">
        <v>1315</v>
      </c>
      <c r="D2446" s="54">
        <v>0</v>
      </c>
      <c r="E2446" s="54">
        <v>46521375.799999997</v>
      </c>
      <c r="F2446" s="54">
        <v>46521375.799999997</v>
      </c>
      <c r="G2446" s="54">
        <v>0</v>
      </c>
      <c r="H2446" s="54">
        <v>0</v>
      </c>
      <c r="I2446" s="54">
        <v>0</v>
      </c>
      <c r="J2446" s="54">
        <v>0</v>
      </c>
      <c r="K2446" s="54">
        <v>0</v>
      </c>
      <c r="L2446" s="54">
        <v>0</v>
      </c>
      <c r="M2446" s="54">
        <v>0</v>
      </c>
      <c r="N2446" s="54">
        <v>0</v>
      </c>
      <c r="O2446" s="54">
        <v>0</v>
      </c>
      <c r="P2446" s="54">
        <v>0</v>
      </c>
      <c r="Q2446" s="54">
        <v>0</v>
      </c>
      <c r="R2446" s="54">
        <v>0</v>
      </c>
    </row>
    <row r="2447" spans="1:18" x14ac:dyDescent="0.25">
      <c r="A2447" t="s">
        <v>1237</v>
      </c>
      <c r="B2447">
        <v>2019</v>
      </c>
      <c r="C2447" t="s">
        <v>1238</v>
      </c>
      <c r="D2447" s="54">
        <v>48636778</v>
      </c>
      <c r="E2447" s="54">
        <v>99605115.060000002</v>
      </c>
      <c r="F2447" s="54">
        <v>99605115.060000002</v>
      </c>
      <c r="G2447" s="54">
        <v>0</v>
      </c>
      <c r="H2447" s="54">
        <v>0</v>
      </c>
      <c r="I2447" s="54">
        <v>0</v>
      </c>
      <c r="J2447" s="54">
        <v>0</v>
      </c>
      <c r="K2447" s="54">
        <v>0</v>
      </c>
      <c r="L2447" s="54">
        <v>0</v>
      </c>
      <c r="M2447" s="54">
        <v>0</v>
      </c>
      <c r="N2447" s="54">
        <v>0</v>
      </c>
      <c r="O2447" s="54">
        <v>0</v>
      </c>
      <c r="P2447" s="54">
        <v>0</v>
      </c>
      <c r="Q2447" s="54">
        <v>0</v>
      </c>
      <c r="R2447" s="54">
        <v>50968337.060000002</v>
      </c>
    </row>
    <row r="2448" spans="1:18" x14ac:dyDescent="0.25">
      <c r="A2448" s="116" t="s">
        <v>360</v>
      </c>
      <c r="B2448" s="116">
        <v>2020</v>
      </c>
      <c r="C2448" s="116" t="s">
        <v>359</v>
      </c>
      <c r="D2448" s="103">
        <v>319538100000</v>
      </c>
      <c r="E2448" s="193">
        <v>267000000000</v>
      </c>
      <c r="F2448" s="193">
        <v>267000000000</v>
      </c>
      <c r="G2448" s="169">
        <v>22868917395.080002</v>
      </c>
      <c r="H2448" s="169">
        <v>23777723025.419998</v>
      </c>
      <c r="I2448" s="169">
        <v>22913752446.540001</v>
      </c>
      <c r="J2448" s="169">
        <v>22629863041.360001</v>
      </c>
      <c r="K2448" s="169">
        <v>22311801178.09</v>
      </c>
      <c r="L2448" s="169">
        <v>22692466696.950001</v>
      </c>
      <c r="M2448" s="169">
        <v>23287198751.009998</v>
      </c>
      <c r="N2448" s="169">
        <v>24802060297.639999</v>
      </c>
      <c r="O2448" s="169">
        <v>22464340629.990002</v>
      </c>
      <c r="P2448" s="169">
        <v>22958482165.529999</v>
      </c>
      <c r="Q2448" s="169">
        <v>22683034331.529999</v>
      </c>
      <c r="R2448" s="169">
        <v>92377052.859999999</v>
      </c>
    </row>
    <row r="2449" spans="1:18" x14ac:dyDescent="0.25">
      <c r="A2449" s="116" t="s">
        <v>358</v>
      </c>
      <c r="B2449" s="116">
        <v>2020</v>
      </c>
      <c r="C2449" s="116" t="s">
        <v>357</v>
      </c>
      <c r="D2449" s="103">
        <v>233358800000</v>
      </c>
      <c r="E2449" s="193">
        <v>221000000000</v>
      </c>
      <c r="F2449" s="193">
        <v>221000000000</v>
      </c>
      <c r="G2449" s="169">
        <v>20773703810</v>
      </c>
      <c r="H2449" s="169">
        <v>19714721362.439999</v>
      </c>
      <c r="I2449" s="169">
        <v>20877812014</v>
      </c>
      <c r="J2449" s="169">
        <v>27730780971</v>
      </c>
      <c r="K2449" s="169">
        <v>19401747392</v>
      </c>
      <c r="L2449" s="169">
        <v>18276032802</v>
      </c>
      <c r="M2449" s="169">
        <v>17931316447.68</v>
      </c>
      <c r="N2449" s="169">
        <v>19233073458.389999</v>
      </c>
      <c r="O2449" s="169">
        <v>17953867838.68</v>
      </c>
      <c r="P2449" s="169">
        <v>18644109954</v>
      </c>
      <c r="Q2449" s="169">
        <v>18483468326.380001</v>
      </c>
      <c r="R2449" s="169">
        <v>326416160</v>
      </c>
    </row>
    <row r="2450" spans="1:18" x14ac:dyDescent="0.25">
      <c r="A2450" s="116" t="s">
        <v>356</v>
      </c>
      <c r="B2450" s="116">
        <v>2020</v>
      </c>
      <c r="C2450" s="116" t="s">
        <v>355</v>
      </c>
      <c r="D2450" s="169">
        <v>54000000000</v>
      </c>
      <c r="E2450" s="193">
        <v>41000000000</v>
      </c>
      <c r="F2450" s="193">
        <v>41000000000</v>
      </c>
      <c r="G2450" s="169">
        <v>3366224004.5799999</v>
      </c>
      <c r="H2450" s="169">
        <v>1293860264.48</v>
      </c>
      <c r="I2450" s="169">
        <v>6026145281.6899996</v>
      </c>
      <c r="J2450" s="169">
        <v>3526813341.6100001</v>
      </c>
      <c r="K2450" s="169">
        <v>1141901213.8499999</v>
      </c>
      <c r="L2450" s="169">
        <v>4325968358.4200001</v>
      </c>
      <c r="M2450" s="169">
        <v>1970540976.1900001</v>
      </c>
      <c r="N2450" s="169">
        <v>776514237.83000004</v>
      </c>
      <c r="O2450" s="169">
        <v>3268062071.5500002</v>
      </c>
      <c r="P2450" s="169">
        <v>4562854762.7700005</v>
      </c>
      <c r="Q2450" s="169">
        <v>1271886512.23</v>
      </c>
      <c r="R2450" s="169">
        <v>408351672</v>
      </c>
    </row>
    <row r="2451" spans="1:18" x14ac:dyDescent="0.25">
      <c r="A2451" s="116" t="s">
        <v>1270</v>
      </c>
      <c r="B2451" s="116">
        <v>2020</v>
      </c>
      <c r="C2451" s="116" t="s">
        <v>1271</v>
      </c>
      <c r="D2451" s="169">
        <v>0</v>
      </c>
      <c r="E2451" s="193">
        <v>10800000000</v>
      </c>
      <c r="F2451" s="193">
        <v>10800000000</v>
      </c>
      <c r="G2451" s="169">
        <v>1056927930</v>
      </c>
      <c r="H2451" s="169">
        <v>1080817324</v>
      </c>
      <c r="I2451" s="169">
        <v>1029322468</v>
      </c>
      <c r="J2451" s="169">
        <v>874119887</v>
      </c>
      <c r="K2451" s="169">
        <v>773364614</v>
      </c>
      <c r="L2451" s="169">
        <v>796033572</v>
      </c>
      <c r="M2451" s="169">
        <v>824843576</v>
      </c>
      <c r="N2451" s="169">
        <v>808631813</v>
      </c>
      <c r="O2451" s="169">
        <v>823997618</v>
      </c>
      <c r="P2451" s="169">
        <v>851191623</v>
      </c>
      <c r="Q2451" s="169">
        <v>822715683</v>
      </c>
      <c r="R2451" s="169">
        <v>50784933</v>
      </c>
    </row>
    <row r="2452" spans="1:18" x14ac:dyDescent="0.25">
      <c r="A2452" s="116" t="s">
        <v>1272</v>
      </c>
      <c r="B2452" s="116">
        <v>2020</v>
      </c>
      <c r="C2452" s="116" t="s">
        <v>1273</v>
      </c>
      <c r="D2452" s="169">
        <v>103954100000</v>
      </c>
      <c r="E2452" s="193">
        <v>1180000000</v>
      </c>
      <c r="F2452" s="193">
        <v>1180000000</v>
      </c>
      <c r="G2452" s="169">
        <v>113506333</v>
      </c>
      <c r="H2452" s="169">
        <v>108564546</v>
      </c>
      <c r="I2452" s="169">
        <v>114038909</v>
      </c>
      <c r="J2452" s="169">
        <v>95373760</v>
      </c>
      <c r="K2452" s="169">
        <v>84726809</v>
      </c>
      <c r="L2452" s="169">
        <v>97144542</v>
      </c>
      <c r="M2452" s="169">
        <v>88400853</v>
      </c>
      <c r="N2452" s="169">
        <v>89477927</v>
      </c>
      <c r="O2452" s="169">
        <v>119543163</v>
      </c>
      <c r="P2452" s="169">
        <v>94116742</v>
      </c>
      <c r="Q2452" s="169">
        <v>102276298</v>
      </c>
      <c r="R2452" s="169">
        <v>7972648</v>
      </c>
    </row>
    <row r="2453" spans="1:18" x14ac:dyDescent="0.25">
      <c r="A2453" s="116" t="s">
        <v>1274</v>
      </c>
      <c r="B2453" s="116">
        <v>2020</v>
      </c>
      <c r="C2453" s="116" t="s">
        <v>1275</v>
      </c>
      <c r="D2453" s="169">
        <v>26110800000</v>
      </c>
      <c r="E2453" s="193">
        <v>1660000000</v>
      </c>
      <c r="F2453" s="193">
        <v>1660000000</v>
      </c>
      <c r="G2453" s="169">
        <v>214626032</v>
      </c>
      <c r="H2453" s="169">
        <v>92900522</v>
      </c>
      <c r="I2453" s="169">
        <v>137188627</v>
      </c>
      <c r="J2453" s="169">
        <v>155654905</v>
      </c>
      <c r="K2453" s="169">
        <v>118458764</v>
      </c>
      <c r="L2453" s="169">
        <v>97476054</v>
      </c>
      <c r="M2453" s="169">
        <v>99653142</v>
      </c>
      <c r="N2453" s="169">
        <v>71539560</v>
      </c>
      <c r="O2453" s="169">
        <v>120532573</v>
      </c>
      <c r="P2453" s="169">
        <v>211766213</v>
      </c>
      <c r="Q2453" s="169">
        <v>142551317</v>
      </c>
      <c r="R2453" s="169">
        <v>7687061</v>
      </c>
    </row>
    <row r="2454" spans="1:18" x14ac:dyDescent="0.25">
      <c r="A2454" s="116" t="s">
        <v>353</v>
      </c>
      <c r="B2454" s="116">
        <v>2020</v>
      </c>
      <c r="C2454" s="116" t="s">
        <v>352</v>
      </c>
      <c r="D2454" s="169">
        <v>0</v>
      </c>
      <c r="E2454" s="193">
        <v>0</v>
      </c>
      <c r="F2454" s="193">
        <v>0</v>
      </c>
      <c r="G2454" s="169">
        <v>0</v>
      </c>
      <c r="H2454" s="169">
        <v>0</v>
      </c>
      <c r="I2454" s="169">
        <v>0</v>
      </c>
      <c r="J2454" s="169">
        <v>0</v>
      </c>
      <c r="K2454" s="169">
        <v>0</v>
      </c>
      <c r="L2454" s="169">
        <v>0</v>
      </c>
      <c r="M2454" s="169">
        <v>0</v>
      </c>
      <c r="N2454" s="169">
        <v>0</v>
      </c>
      <c r="O2454" s="169">
        <v>0</v>
      </c>
      <c r="P2454" s="169">
        <v>0</v>
      </c>
      <c r="Q2454" s="169">
        <v>0</v>
      </c>
      <c r="R2454" s="169">
        <v>0</v>
      </c>
    </row>
    <row r="2455" spans="1:18" x14ac:dyDescent="0.25">
      <c r="A2455" s="116" t="s">
        <v>835</v>
      </c>
      <c r="B2455" s="116">
        <v>2020</v>
      </c>
      <c r="C2455" s="116" t="s">
        <v>836</v>
      </c>
      <c r="D2455" s="169">
        <v>104000000000</v>
      </c>
      <c r="E2455" s="193">
        <v>101000000000</v>
      </c>
      <c r="F2455" s="193">
        <v>101000000000</v>
      </c>
      <c r="G2455" s="169">
        <v>9069166411.1700001</v>
      </c>
      <c r="H2455" s="169">
        <v>4621481647.5699997</v>
      </c>
      <c r="I2455" s="169">
        <v>33941565413.310001</v>
      </c>
      <c r="J2455" s="169">
        <v>5284690580.21</v>
      </c>
      <c r="K2455" s="169">
        <v>5863671788.9700003</v>
      </c>
      <c r="L2455" s="169">
        <v>7750436478.0699997</v>
      </c>
      <c r="M2455" s="169">
        <v>5850378642.3599997</v>
      </c>
      <c r="N2455" s="169">
        <v>5081477647.0200005</v>
      </c>
      <c r="O2455" s="169">
        <v>18899841047.310001</v>
      </c>
      <c r="P2455" s="169">
        <v>5231683973.8800001</v>
      </c>
      <c r="Q2455" s="169">
        <v>4732950435.4099998</v>
      </c>
      <c r="R2455" s="169">
        <v>40690594.810000002</v>
      </c>
    </row>
    <row r="2456" spans="1:18" x14ac:dyDescent="0.25">
      <c r="A2456" s="116" t="s">
        <v>1276</v>
      </c>
      <c r="B2456" s="116">
        <v>2020</v>
      </c>
      <c r="C2456" s="116" t="s">
        <v>1277</v>
      </c>
      <c r="D2456" s="169">
        <v>0</v>
      </c>
      <c r="E2456" s="193">
        <v>131000000</v>
      </c>
      <c r="F2456" s="193">
        <v>131000000</v>
      </c>
      <c r="G2456" s="169">
        <v>2285106</v>
      </c>
      <c r="H2456" s="169">
        <v>5895423</v>
      </c>
      <c r="I2456" s="169">
        <v>4042936</v>
      </c>
      <c r="J2456" s="169">
        <v>4446093</v>
      </c>
      <c r="K2456" s="169">
        <v>4173932</v>
      </c>
      <c r="L2456" s="169">
        <v>1821026</v>
      </c>
      <c r="M2456" s="169">
        <v>2081128</v>
      </c>
      <c r="N2456" s="169">
        <v>2639719</v>
      </c>
      <c r="O2456" s="169">
        <v>26739817</v>
      </c>
      <c r="P2456" s="169">
        <v>5001608</v>
      </c>
      <c r="Q2456" s="169">
        <v>5578977</v>
      </c>
      <c r="R2456" s="169">
        <v>0</v>
      </c>
    </row>
    <row r="2457" spans="1:18" x14ac:dyDescent="0.25">
      <c r="A2457" s="116" t="s">
        <v>1305</v>
      </c>
      <c r="B2457" s="116">
        <v>2020</v>
      </c>
      <c r="C2457" s="116" t="s">
        <v>1306</v>
      </c>
      <c r="D2457" s="169">
        <v>53714100000</v>
      </c>
      <c r="E2457" s="193">
        <v>86800000000</v>
      </c>
      <c r="F2457" s="193">
        <v>86800000000</v>
      </c>
      <c r="G2457" s="169">
        <v>6106197362.5200005</v>
      </c>
      <c r="H2457" s="169">
        <v>4441175671.7399998</v>
      </c>
      <c r="I2457" s="169">
        <v>9293275657.0499992</v>
      </c>
      <c r="J2457" s="169">
        <v>8490553731.5500002</v>
      </c>
      <c r="K2457" s="169">
        <v>6069794499.8000002</v>
      </c>
      <c r="L2457" s="169">
        <v>6371006196.1499996</v>
      </c>
      <c r="M2457" s="169">
        <v>6325312361.29</v>
      </c>
      <c r="N2457" s="169">
        <v>5728352813.04</v>
      </c>
      <c r="O2457" s="169">
        <v>11223809336</v>
      </c>
      <c r="P2457" s="169">
        <v>8020860784.5799999</v>
      </c>
      <c r="Q2457" s="169">
        <v>1626256284.1900001</v>
      </c>
      <c r="R2457" s="169">
        <v>0</v>
      </c>
    </row>
    <row r="2458" spans="1:18" x14ac:dyDescent="0.25">
      <c r="A2458" s="116" t="s">
        <v>1316</v>
      </c>
      <c r="B2458" s="116">
        <v>2020</v>
      </c>
      <c r="C2458" s="116" t="s">
        <v>1317</v>
      </c>
      <c r="D2458" s="169">
        <v>26110800000</v>
      </c>
      <c r="E2458" s="193">
        <v>0</v>
      </c>
      <c r="F2458" s="193">
        <v>0</v>
      </c>
      <c r="G2458" s="169">
        <v>0</v>
      </c>
      <c r="H2458" s="169">
        <v>0</v>
      </c>
      <c r="I2458" s="169">
        <v>0</v>
      </c>
      <c r="J2458" s="169">
        <v>0</v>
      </c>
      <c r="K2458" s="169">
        <v>0</v>
      </c>
      <c r="L2458" s="169">
        <v>0</v>
      </c>
      <c r="M2458" s="169">
        <v>0</v>
      </c>
      <c r="N2458" s="169">
        <v>0</v>
      </c>
      <c r="O2458" s="169">
        <v>0</v>
      </c>
      <c r="P2458" s="169">
        <v>0</v>
      </c>
      <c r="Q2458" s="169">
        <v>45360</v>
      </c>
      <c r="R2458" s="169">
        <v>0</v>
      </c>
    </row>
    <row r="2459" spans="1:18" x14ac:dyDescent="0.25">
      <c r="A2459" s="116" t="s">
        <v>351</v>
      </c>
      <c r="B2459" s="116">
        <v>2020</v>
      </c>
      <c r="C2459" s="116" t="s">
        <v>350</v>
      </c>
      <c r="D2459" s="169">
        <v>0</v>
      </c>
      <c r="E2459" s="193">
        <v>0</v>
      </c>
      <c r="F2459" s="193">
        <v>0</v>
      </c>
      <c r="G2459" s="169">
        <v>0</v>
      </c>
      <c r="H2459" s="169">
        <v>0</v>
      </c>
      <c r="I2459" s="169">
        <v>0</v>
      </c>
      <c r="J2459" s="169">
        <v>0</v>
      </c>
      <c r="K2459" s="169">
        <v>0</v>
      </c>
      <c r="L2459" s="169">
        <v>0</v>
      </c>
      <c r="M2459" s="169">
        <v>0</v>
      </c>
      <c r="N2459" s="169">
        <v>0</v>
      </c>
      <c r="O2459" s="169">
        <v>0</v>
      </c>
      <c r="P2459" s="169">
        <v>0</v>
      </c>
      <c r="Q2459" s="169">
        <v>0</v>
      </c>
      <c r="R2459" s="169">
        <v>0</v>
      </c>
    </row>
    <row r="2460" spans="1:18" x14ac:dyDescent="0.25">
      <c r="A2460" s="116" t="s">
        <v>837</v>
      </c>
      <c r="B2460" s="116">
        <v>2020</v>
      </c>
      <c r="C2460" s="116" t="s">
        <v>838</v>
      </c>
      <c r="D2460" s="169">
        <v>747881400000</v>
      </c>
      <c r="E2460" s="193">
        <v>518000000000</v>
      </c>
      <c r="F2460" s="193">
        <v>518000000000</v>
      </c>
      <c r="G2460" s="169">
        <v>29746248016.610001</v>
      </c>
      <c r="H2460" s="169">
        <v>13611687425.450001</v>
      </c>
      <c r="I2460" s="169">
        <v>129809843971.34</v>
      </c>
      <c r="J2460" s="169">
        <v>28464160244.599998</v>
      </c>
      <c r="K2460" s="169">
        <v>12815525192.18</v>
      </c>
      <c r="L2460" s="169">
        <v>45670860974.379997</v>
      </c>
      <c r="M2460" s="169">
        <v>24300416877.610001</v>
      </c>
      <c r="N2460" s="169">
        <v>12210706489.620001</v>
      </c>
      <c r="O2460" s="169">
        <v>93554280822.470001</v>
      </c>
      <c r="P2460" s="169">
        <v>41123576425.75</v>
      </c>
      <c r="Q2460" s="169">
        <v>12049494353.67</v>
      </c>
      <c r="R2460" s="169">
        <v>1951614112.3699999</v>
      </c>
    </row>
    <row r="2461" spans="1:18" x14ac:dyDescent="0.25">
      <c r="A2461" s="116" t="s">
        <v>1278</v>
      </c>
      <c r="B2461" s="116">
        <v>2020</v>
      </c>
      <c r="C2461" s="116" t="s">
        <v>1279</v>
      </c>
      <c r="D2461" s="169">
        <v>0</v>
      </c>
      <c r="E2461" s="193">
        <v>48950000000</v>
      </c>
      <c r="F2461" s="193">
        <v>48950000000</v>
      </c>
      <c r="G2461" s="169">
        <v>4672039222</v>
      </c>
      <c r="H2461" s="169">
        <v>4826093314</v>
      </c>
      <c r="I2461" s="169">
        <v>4685240787</v>
      </c>
      <c r="J2461" s="169">
        <v>4042404522</v>
      </c>
      <c r="K2461" s="169">
        <v>3480302604</v>
      </c>
      <c r="L2461" s="169">
        <v>3272729107</v>
      </c>
      <c r="M2461" s="169">
        <v>3446543096</v>
      </c>
      <c r="N2461" s="169">
        <v>3272933455</v>
      </c>
      <c r="O2461" s="169">
        <v>3640973569</v>
      </c>
      <c r="P2461" s="169">
        <v>3744047759</v>
      </c>
      <c r="Q2461" s="169">
        <v>4036440754</v>
      </c>
      <c r="R2461" s="169">
        <v>189052108</v>
      </c>
    </row>
    <row r="2462" spans="1:18" x14ac:dyDescent="0.25">
      <c r="A2462" s="116" t="s">
        <v>1280</v>
      </c>
      <c r="B2462" s="116">
        <v>2020</v>
      </c>
      <c r="C2462" s="116" t="s">
        <v>1281</v>
      </c>
      <c r="D2462" s="169">
        <v>53714100000</v>
      </c>
      <c r="E2462" s="193">
        <v>83900000000</v>
      </c>
      <c r="F2462" s="193">
        <v>83900000000</v>
      </c>
      <c r="G2462" s="169">
        <v>9636967159.7999992</v>
      </c>
      <c r="H2462" s="169">
        <v>5861649552.8599997</v>
      </c>
      <c r="I2462" s="169">
        <v>4284780854.4699998</v>
      </c>
      <c r="J2462" s="169">
        <v>9316575255.6800003</v>
      </c>
      <c r="K2462" s="169">
        <v>6245939001.25</v>
      </c>
      <c r="L2462" s="169">
        <v>3923461177.7199998</v>
      </c>
      <c r="M2462" s="169">
        <v>10174941930.719999</v>
      </c>
      <c r="N2462" s="169">
        <v>4485327445.3100004</v>
      </c>
      <c r="O2462" s="169">
        <v>6583455869.0900002</v>
      </c>
      <c r="P2462" s="169">
        <v>7778324842.8800001</v>
      </c>
      <c r="Q2462" s="169">
        <v>4674446567.4700003</v>
      </c>
      <c r="R2462" s="169">
        <v>42632445</v>
      </c>
    </row>
    <row r="2463" spans="1:18" x14ac:dyDescent="0.25">
      <c r="A2463" s="116" t="s">
        <v>1282</v>
      </c>
      <c r="B2463" s="116">
        <v>2020</v>
      </c>
      <c r="C2463" s="116" t="s">
        <v>1283</v>
      </c>
      <c r="D2463" s="169">
        <v>26110800000</v>
      </c>
      <c r="E2463" s="193">
        <v>6750000000</v>
      </c>
      <c r="F2463" s="193">
        <v>6750000000</v>
      </c>
      <c r="G2463" s="169">
        <v>650127031</v>
      </c>
      <c r="H2463" s="169">
        <v>656951680</v>
      </c>
      <c r="I2463" s="169">
        <v>576111699</v>
      </c>
      <c r="J2463" s="169">
        <v>551089536</v>
      </c>
      <c r="K2463" s="169">
        <v>523043366</v>
      </c>
      <c r="L2463" s="169">
        <v>1175639191</v>
      </c>
      <c r="M2463" s="169">
        <v>250593616</v>
      </c>
      <c r="N2463" s="169">
        <v>318928501</v>
      </c>
      <c r="O2463" s="169">
        <v>345505317</v>
      </c>
      <c r="P2463" s="169">
        <v>791346344</v>
      </c>
      <c r="Q2463" s="169">
        <v>607507359</v>
      </c>
      <c r="R2463" s="169">
        <v>49332785</v>
      </c>
    </row>
    <row r="2464" spans="1:18" x14ac:dyDescent="0.25">
      <c r="A2464" s="116" t="s">
        <v>1251</v>
      </c>
      <c r="B2464" s="116">
        <v>2020</v>
      </c>
      <c r="C2464" s="116" t="s">
        <v>346</v>
      </c>
      <c r="D2464" s="169">
        <v>0</v>
      </c>
      <c r="E2464" s="193">
        <v>0</v>
      </c>
      <c r="F2464" s="193">
        <v>0</v>
      </c>
      <c r="G2464" s="169">
        <v>0</v>
      </c>
      <c r="H2464" s="169">
        <v>0</v>
      </c>
      <c r="I2464" s="169">
        <v>0</v>
      </c>
      <c r="J2464" s="169">
        <v>0</v>
      </c>
      <c r="K2464" s="169">
        <v>0</v>
      </c>
      <c r="L2464" s="169">
        <v>0</v>
      </c>
      <c r="M2464" s="169">
        <v>0</v>
      </c>
      <c r="N2464" s="169">
        <v>0</v>
      </c>
      <c r="O2464" s="169">
        <v>0</v>
      </c>
      <c r="P2464" s="169">
        <v>0</v>
      </c>
      <c r="Q2464" s="169">
        <v>0</v>
      </c>
      <c r="R2464" s="169">
        <v>0</v>
      </c>
    </row>
    <row r="2465" spans="1:18" x14ac:dyDescent="0.25">
      <c r="A2465" s="116" t="s">
        <v>1252</v>
      </c>
      <c r="B2465" s="116">
        <v>2020</v>
      </c>
      <c r="C2465" s="116" t="s">
        <v>341</v>
      </c>
      <c r="D2465" s="169">
        <v>0</v>
      </c>
      <c r="E2465" s="193">
        <v>0</v>
      </c>
      <c r="F2465" s="193">
        <v>0</v>
      </c>
      <c r="G2465" s="169">
        <v>0</v>
      </c>
      <c r="H2465" s="169">
        <v>0</v>
      </c>
      <c r="I2465" s="169">
        <v>0</v>
      </c>
      <c r="J2465" s="169">
        <v>0</v>
      </c>
      <c r="K2465" s="169">
        <v>0</v>
      </c>
      <c r="L2465" s="169">
        <v>0</v>
      </c>
      <c r="M2465" s="169">
        <v>0</v>
      </c>
      <c r="N2465" s="169">
        <v>0</v>
      </c>
      <c r="O2465" s="169">
        <v>0</v>
      </c>
      <c r="P2465" s="169">
        <v>0</v>
      </c>
      <c r="Q2465" s="169">
        <v>0</v>
      </c>
      <c r="R2465" s="169">
        <v>0</v>
      </c>
    </row>
    <row r="2466" spans="1:18" x14ac:dyDescent="0.25">
      <c r="A2466" s="116" t="s">
        <v>340</v>
      </c>
      <c r="B2466" s="116">
        <v>2020</v>
      </c>
      <c r="C2466" s="116" t="s">
        <v>339</v>
      </c>
      <c r="D2466" s="169">
        <v>198473800000</v>
      </c>
      <c r="E2466" s="193">
        <v>178000000000</v>
      </c>
      <c r="F2466" s="193">
        <v>178000000000</v>
      </c>
      <c r="G2466" s="169">
        <v>30355160206.990002</v>
      </c>
      <c r="H2466" s="169">
        <v>13305417263.84</v>
      </c>
      <c r="I2466" s="169">
        <v>13518377191.469999</v>
      </c>
      <c r="J2466" s="169">
        <v>10855276416.370001</v>
      </c>
      <c r="K2466" s="169">
        <v>11579858872.450001</v>
      </c>
      <c r="L2466" s="169">
        <v>14900765875.48</v>
      </c>
      <c r="M2466" s="169">
        <v>14387000822.24</v>
      </c>
      <c r="N2466" s="169">
        <v>13217573124.360001</v>
      </c>
      <c r="O2466" s="169">
        <v>10806937078.889999</v>
      </c>
      <c r="P2466" s="169">
        <v>13510641558.959999</v>
      </c>
      <c r="Q2466" s="169">
        <v>12862380588.290001</v>
      </c>
      <c r="R2466" s="169">
        <v>812508545.82000005</v>
      </c>
    </row>
    <row r="2467" spans="1:18" x14ac:dyDescent="0.25">
      <c r="A2467" s="116" t="s">
        <v>335</v>
      </c>
      <c r="B2467" s="116">
        <v>2020</v>
      </c>
      <c r="C2467" s="116" t="s">
        <v>334</v>
      </c>
      <c r="D2467" s="169">
        <v>4680000000</v>
      </c>
      <c r="E2467" s="193">
        <v>4680000000</v>
      </c>
      <c r="F2467" s="193">
        <v>4680000000</v>
      </c>
      <c r="G2467" s="169">
        <v>3492115268</v>
      </c>
      <c r="H2467" s="169">
        <v>375065679.88999999</v>
      </c>
      <c r="I2467" s="169">
        <v>182300000</v>
      </c>
      <c r="J2467" s="169">
        <v>43273732</v>
      </c>
      <c r="K2467" s="169">
        <v>70926414</v>
      </c>
      <c r="L2467" s="169">
        <v>50580709</v>
      </c>
      <c r="M2467" s="169">
        <v>56472808</v>
      </c>
      <c r="N2467" s="169">
        <v>45193245</v>
      </c>
      <c r="O2467" s="169">
        <v>65679728</v>
      </c>
      <c r="P2467" s="169">
        <v>47844512</v>
      </c>
      <c r="Q2467" s="169">
        <v>55794989</v>
      </c>
      <c r="R2467" s="169">
        <v>21952061</v>
      </c>
    </row>
    <row r="2468" spans="1:18" x14ac:dyDescent="0.25">
      <c r="A2468" s="116" t="s">
        <v>332</v>
      </c>
      <c r="B2468" s="116">
        <v>2020</v>
      </c>
      <c r="C2468" s="116" t="s">
        <v>331</v>
      </c>
      <c r="D2468" s="169">
        <v>185000000000</v>
      </c>
      <c r="E2468" s="193">
        <v>169000000000</v>
      </c>
      <c r="F2468" s="193">
        <v>169000000000</v>
      </c>
      <c r="G2468" s="169">
        <v>10871591569.75</v>
      </c>
      <c r="H2468" s="169">
        <v>2601060182.1500001</v>
      </c>
      <c r="I2468" s="169">
        <v>2512689028.8600001</v>
      </c>
      <c r="J2468" s="169">
        <v>1466672798.45</v>
      </c>
      <c r="K2468" s="169">
        <v>1205429162.1500001</v>
      </c>
      <c r="L2468" s="169">
        <v>1115021628.6700001</v>
      </c>
      <c r="M2468" s="169">
        <v>934286853.61000001</v>
      </c>
      <c r="N2468" s="169">
        <v>796860601.67999995</v>
      </c>
      <c r="O2468" s="169">
        <v>703466399.23000002</v>
      </c>
      <c r="P2468" s="169">
        <v>535589751.14999998</v>
      </c>
      <c r="Q2468" s="169">
        <v>11809486101.99</v>
      </c>
      <c r="R2468" s="169">
        <v>602449</v>
      </c>
    </row>
    <row r="2469" spans="1:18" x14ac:dyDescent="0.25">
      <c r="A2469" s="116" t="s">
        <v>329</v>
      </c>
      <c r="B2469" s="116">
        <v>2020</v>
      </c>
      <c r="C2469" s="116" t="s">
        <v>328</v>
      </c>
      <c r="D2469" s="169">
        <v>1990000000</v>
      </c>
      <c r="E2469" s="193">
        <v>1990000000</v>
      </c>
      <c r="F2469" s="193">
        <v>1990000000</v>
      </c>
      <c r="G2469" s="169">
        <v>140815137.24000001</v>
      </c>
      <c r="H2469" s="169">
        <v>29017469</v>
      </c>
      <c r="I2469" s="169">
        <v>23648713</v>
      </c>
      <c r="J2469" s="169">
        <v>11321091</v>
      </c>
      <c r="K2469" s="169">
        <v>16566827</v>
      </c>
      <c r="L2469" s="169">
        <v>15156381</v>
      </c>
      <c r="M2469" s="169">
        <v>11799613</v>
      </c>
      <c r="N2469" s="169">
        <v>10174488</v>
      </c>
      <c r="O2469" s="169">
        <v>10178515</v>
      </c>
      <c r="P2469" s="169">
        <v>7664350</v>
      </c>
      <c r="Q2469" s="169">
        <v>135500749</v>
      </c>
      <c r="R2469" s="169">
        <v>0</v>
      </c>
    </row>
    <row r="2470" spans="1:18" x14ac:dyDescent="0.25">
      <c r="A2470" s="116" t="s">
        <v>325</v>
      </c>
      <c r="B2470" s="116">
        <v>2020</v>
      </c>
      <c r="C2470" s="116" t="s">
        <v>324</v>
      </c>
      <c r="D2470" s="169">
        <v>646000000</v>
      </c>
      <c r="E2470" s="193">
        <v>646000000</v>
      </c>
      <c r="F2470" s="193">
        <v>646000000</v>
      </c>
      <c r="G2470" s="169">
        <v>0</v>
      </c>
      <c r="H2470" s="169">
        <v>0</v>
      </c>
      <c r="I2470" s="169">
        <v>0</v>
      </c>
      <c r="J2470" s="169">
        <v>0</v>
      </c>
      <c r="K2470" s="169">
        <v>1091821811.3099999</v>
      </c>
      <c r="L2470" s="169">
        <v>59397881.049999997</v>
      </c>
      <c r="M2470" s="169">
        <v>53548273.329999998</v>
      </c>
      <c r="N2470" s="169">
        <v>31625552.640000001</v>
      </c>
      <c r="O2470" s="169">
        <v>43487348.149999999</v>
      </c>
      <c r="P2470" s="169">
        <v>42490154.049999997</v>
      </c>
      <c r="Q2470" s="169">
        <v>31513654.449999999</v>
      </c>
      <c r="R2470" s="169">
        <v>0</v>
      </c>
    </row>
    <row r="2471" spans="1:18" x14ac:dyDescent="0.25">
      <c r="A2471" s="116" t="s">
        <v>323</v>
      </c>
      <c r="B2471" s="116">
        <v>2020</v>
      </c>
      <c r="C2471" s="116" t="s">
        <v>321</v>
      </c>
      <c r="D2471" s="169">
        <v>27000000000</v>
      </c>
      <c r="E2471" s="193">
        <v>27000000000</v>
      </c>
      <c r="F2471" s="193">
        <v>27000000000</v>
      </c>
      <c r="G2471" s="169">
        <v>12173114295.879999</v>
      </c>
      <c r="H2471" s="169">
        <v>5729872334.0699997</v>
      </c>
      <c r="I2471" s="169">
        <v>2204716294.9000001</v>
      </c>
      <c r="J2471" s="169">
        <v>1054445344.75</v>
      </c>
      <c r="K2471" s="169">
        <v>783262604.40999997</v>
      </c>
      <c r="L2471" s="169">
        <v>758080491.00999999</v>
      </c>
      <c r="M2471" s="169">
        <v>546375077.97000003</v>
      </c>
      <c r="N2471" s="169">
        <v>524139825.44</v>
      </c>
      <c r="O2471" s="169">
        <v>519678214.36000001</v>
      </c>
      <c r="P2471" s="169">
        <v>493516452.33999997</v>
      </c>
      <c r="Q2471" s="169">
        <v>443527686</v>
      </c>
      <c r="R2471" s="169">
        <v>59011724</v>
      </c>
    </row>
    <row r="2472" spans="1:18" x14ac:dyDescent="0.25">
      <c r="A2472" s="116" t="s">
        <v>320</v>
      </c>
      <c r="B2472" s="116">
        <v>2020</v>
      </c>
      <c r="C2472" s="116" t="s">
        <v>319</v>
      </c>
      <c r="D2472" s="169">
        <v>35700000000</v>
      </c>
      <c r="E2472" s="193">
        <v>30300000000</v>
      </c>
      <c r="F2472" s="193">
        <v>30300000000</v>
      </c>
      <c r="G2472" s="169">
        <v>2747738260.5100002</v>
      </c>
      <c r="H2472" s="169">
        <v>3455679147</v>
      </c>
      <c r="I2472" s="169">
        <v>3315185430</v>
      </c>
      <c r="J2472" s="169">
        <v>1881447966</v>
      </c>
      <c r="K2472" s="169">
        <v>2141894149</v>
      </c>
      <c r="L2472" s="169">
        <v>2511046474</v>
      </c>
      <c r="M2472" s="169">
        <v>2225847310</v>
      </c>
      <c r="N2472" s="169">
        <v>2610007395</v>
      </c>
      <c r="O2472" s="169">
        <v>3088579975.27</v>
      </c>
      <c r="P2472" s="169">
        <v>3996070228</v>
      </c>
      <c r="Q2472" s="169">
        <v>3222070098</v>
      </c>
      <c r="R2472" s="169">
        <v>308595421</v>
      </c>
    </row>
    <row r="2473" spans="1:18" x14ac:dyDescent="0.25">
      <c r="A2473" s="116" t="s">
        <v>317</v>
      </c>
      <c r="B2473" s="116">
        <v>2020</v>
      </c>
      <c r="C2473" s="116" t="s">
        <v>316</v>
      </c>
      <c r="D2473" s="169">
        <v>24700000000</v>
      </c>
      <c r="E2473" s="193">
        <v>18300000000</v>
      </c>
      <c r="F2473" s="193">
        <v>18300000000</v>
      </c>
      <c r="G2473" s="169">
        <v>2204040352</v>
      </c>
      <c r="H2473" s="169">
        <v>2144164890</v>
      </c>
      <c r="I2473" s="169">
        <v>2142044614</v>
      </c>
      <c r="J2473" s="169">
        <v>1002202711</v>
      </c>
      <c r="K2473" s="169">
        <v>1502985283</v>
      </c>
      <c r="L2473" s="169">
        <v>1888599386</v>
      </c>
      <c r="M2473" s="169">
        <v>1665378669</v>
      </c>
      <c r="N2473" s="169">
        <v>1743262335</v>
      </c>
      <c r="O2473" s="169">
        <v>2028480370</v>
      </c>
      <c r="P2473" s="169">
        <v>2058288153</v>
      </c>
      <c r="Q2473" s="169">
        <v>1981247473</v>
      </c>
      <c r="R2473" s="169">
        <v>210711619</v>
      </c>
    </row>
    <row r="2474" spans="1:18" x14ac:dyDescent="0.25">
      <c r="A2474" s="116" t="s">
        <v>313</v>
      </c>
      <c r="B2474" s="116">
        <v>2020</v>
      </c>
      <c r="C2474" s="116" t="s">
        <v>312</v>
      </c>
      <c r="D2474" s="169">
        <v>1042706400000</v>
      </c>
      <c r="E2474" s="193">
        <v>851550000000</v>
      </c>
      <c r="F2474" s="193">
        <v>851550000000</v>
      </c>
      <c r="G2474" s="169">
        <v>119171421938.06</v>
      </c>
      <c r="H2474" s="169">
        <v>100448666921.96001</v>
      </c>
      <c r="I2474" s="169">
        <v>95823697805.399994</v>
      </c>
      <c r="J2474" s="169">
        <v>47325910497.650002</v>
      </c>
      <c r="K2474" s="169">
        <v>49427786155.599998</v>
      </c>
      <c r="L2474" s="169">
        <v>56184486195.18</v>
      </c>
      <c r="M2474" s="169">
        <v>76376885659.259995</v>
      </c>
      <c r="N2474" s="169">
        <v>79360603528.830002</v>
      </c>
      <c r="O2474" s="169">
        <v>83424261112.210007</v>
      </c>
      <c r="P2474" s="169">
        <v>87059165796.139999</v>
      </c>
      <c r="Q2474" s="169">
        <v>86161864378.639999</v>
      </c>
      <c r="R2474" s="169">
        <v>4490207129</v>
      </c>
    </row>
    <row r="2475" spans="1:18" x14ac:dyDescent="0.25">
      <c r="A2475" s="116" t="s">
        <v>310</v>
      </c>
      <c r="B2475" s="116">
        <v>2020</v>
      </c>
      <c r="C2475" s="116" t="s">
        <v>309</v>
      </c>
      <c r="D2475" s="169">
        <v>728429900000</v>
      </c>
      <c r="E2475" s="193">
        <v>503550000000</v>
      </c>
      <c r="F2475" s="193">
        <v>503550000000</v>
      </c>
      <c r="G2475" s="169">
        <v>56975153002.449997</v>
      </c>
      <c r="H2475" s="169">
        <v>52172348910.540001</v>
      </c>
      <c r="I2475" s="169">
        <v>51060866137.290001</v>
      </c>
      <c r="J2475" s="169">
        <v>28291794073.849998</v>
      </c>
      <c r="K2475" s="169">
        <v>23609389656.400002</v>
      </c>
      <c r="L2475" s="169">
        <v>32702736569.869999</v>
      </c>
      <c r="M2475" s="169">
        <v>46822069587.040001</v>
      </c>
      <c r="N2475" s="169">
        <v>48735948500.849998</v>
      </c>
      <c r="O2475" s="169">
        <v>52151679743.5</v>
      </c>
      <c r="P2475" s="169">
        <v>59090923469.699997</v>
      </c>
      <c r="Q2475" s="169">
        <v>62206775944.389999</v>
      </c>
      <c r="R2475" s="169">
        <v>6301820601.6000004</v>
      </c>
    </row>
    <row r="2476" spans="1:18" x14ac:dyDescent="0.25">
      <c r="A2476" s="116" t="s">
        <v>306</v>
      </c>
      <c r="B2476" s="116">
        <v>2020</v>
      </c>
      <c r="C2476" s="116" t="s">
        <v>305</v>
      </c>
      <c r="D2476" s="169">
        <v>15030000000</v>
      </c>
      <c r="E2476" s="193">
        <v>5200000000</v>
      </c>
      <c r="F2476" s="193">
        <v>5200000000</v>
      </c>
      <c r="G2476" s="169">
        <v>1462256889</v>
      </c>
      <c r="H2476" s="169">
        <v>524508737</v>
      </c>
      <c r="I2476" s="169">
        <v>829445759</v>
      </c>
      <c r="J2476" s="169">
        <v>24645809</v>
      </c>
      <c r="K2476" s="169">
        <v>43529816</v>
      </c>
      <c r="L2476" s="169">
        <v>119090274</v>
      </c>
      <c r="M2476" s="169">
        <v>697126113</v>
      </c>
      <c r="N2476" s="169">
        <v>824345855</v>
      </c>
      <c r="O2476" s="169">
        <v>693077345</v>
      </c>
      <c r="P2476" s="169">
        <v>828847081</v>
      </c>
      <c r="Q2476" s="169">
        <v>930714476</v>
      </c>
      <c r="R2476" s="169">
        <v>227390</v>
      </c>
    </row>
    <row r="2477" spans="1:18" x14ac:dyDescent="0.25">
      <c r="A2477" s="116" t="s">
        <v>303</v>
      </c>
      <c r="B2477" s="116">
        <v>2020</v>
      </c>
      <c r="C2477" s="116" t="s">
        <v>302</v>
      </c>
      <c r="D2477" s="169">
        <v>151970000000</v>
      </c>
      <c r="E2477" s="193">
        <v>102300000000</v>
      </c>
      <c r="F2477" s="193">
        <v>102300000000</v>
      </c>
      <c r="G2477" s="169">
        <v>13980338551.309999</v>
      </c>
      <c r="H2477" s="169">
        <v>18210609096.790001</v>
      </c>
      <c r="I2477" s="169">
        <v>13491202638.110001</v>
      </c>
      <c r="J2477" s="169">
        <v>4229455354.4699998</v>
      </c>
      <c r="K2477" s="169">
        <v>3414897084.6399999</v>
      </c>
      <c r="L2477" s="169">
        <v>5421503363.6300001</v>
      </c>
      <c r="M2477" s="169">
        <v>7842702534.04</v>
      </c>
      <c r="N2477" s="169">
        <v>8768963395.2999992</v>
      </c>
      <c r="O2477" s="169">
        <v>10276585004.709999</v>
      </c>
      <c r="P2477" s="169">
        <v>13494631832.24</v>
      </c>
      <c r="Q2477" s="169">
        <v>12188172110.41</v>
      </c>
      <c r="R2477" s="169">
        <v>1151478523.3800001</v>
      </c>
    </row>
    <row r="2478" spans="1:18" x14ac:dyDescent="0.25">
      <c r="A2478" s="116" t="s">
        <v>298</v>
      </c>
      <c r="B2478" s="116">
        <v>2020</v>
      </c>
      <c r="C2478" s="116" t="s">
        <v>281</v>
      </c>
      <c r="D2478" s="169">
        <v>325000000000</v>
      </c>
      <c r="E2478" s="193">
        <v>221000000000</v>
      </c>
      <c r="F2478" s="193">
        <v>221000000000</v>
      </c>
      <c r="G2478" s="169">
        <v>32377517334</v>
      </c>
      <c r="H2478" s="169">
        <v>26682388578</v>
      </c>
      <c r="I2478" s="169">
        <v>23808257004</v>
      </c>
      <c r="J2478" s="169">
        <v>32520199226</v>
      </c>
      <c r="K2478" s="169">
        <v>12642367663</v>
      </c>
      <c r="L2478" s="169">
        <v>11986234353</v>
      </c>
      <c r="M2478" s="169">
        <v>11023165170</v>
      </c>
      <c r="N2478" s="169">
        <v>25441088968</v>
      </c>
      <c r="O2478" s="169">
        <v>24990518824</v>
      </c>
      <c r="P2478" s="169">
        <v>10985418475</v>
      </c>
      <c r="Q2478" s="169">
        <v>24849397557</v>
      </c>
      <c r="R2478" s="169">
        <v>0</v>
      </c>
    </row>
    <row r="2479" spans="1:18" x14ac:dyDescent="0.25">
      <c r="A2479" s="116" t="s">
        <v>297</v>
      </c>
      <c r="B2479" s="116">
        <v>2020</v>
      </c>
      <c r="C2479" s="116" t="s">
        <v>287</v>
      </c>
      <c r="D2479" s="169">
        <v>210000000000</v>
      </c>
      <c r="E2479" s="193">
        <v>191000000000</v>
      </c>
      <c r="F2479" s="193">
        <v>191000000000</v>
      </c>
      <c r="G2479" s="169">
        <v>13440014571.41</v>
      </c>
      <c r="H2479" s="169">
        <v>13124838527.889999</v>
      </c>
      <c r="I2479" s="169">
        <v>25667155097.950001</v>
      </c>
      <c r="J2479" s="169">
        <v>14278104678.610001</v>
      </c>
      <c r="K2479" s="169">
        <v>15880570391.66</v>
      </c>
      <c r="L2479" s="169">
        <v>8984242199.9200001</v>
      </c>
      <c r="M2479" s="169">
        <v>15835059756.32</v>
      </c>
      <c r="N2479" s="169">
        <v>15366565504.32</v>
      </c>
      <c r="O2479" s="169">
        <v>8395810756.5799999</v>
      </c>
      <c r="P2479" s="169">
        <v>15731082476.16</v>
      </c>
      <c r="Q2479" s="169">
        <v>14537177169.059999</v>
      </c>
      <c r="R2479" s="169">
        <v>0</v>
      </c>
    </row>
    <row r="2480" spans="1:18" x14ac:dyDescent="0.25">
      <c r="A2480" s="116" t="s">
        <v>295</v>
      </c>
      <c r="B2480" s="116">
        <v>2020</v>
      </c>
      <c r="C2480" s="116" t="s">
        <v>281</v>
      </c>
      <c r="D2480" s="169">
        <v>36900000000</v>
      </c>
      <c r="E2480" s="193">
        <v>22000000000</v>
      </c>
      <c r="F2480" s="193">
        <v>22000000000</v>
      </c>
      <c r="G2480" s="169">
        <v>5483393589.8800001</v>
      </c>
      <c r="H2480" s="169">
        <v>2427797819</v>
      </c>
      <c r="I2480" s="169">
        <v>3614711248</v>
      </c>
      <c r="J2480" s="169">
        <v>553270817</v>
      </c>
      <c r="K2480" s="169">
        <v>647701774</v>
      </c>
      <c r="L2480" s="169">
        <v>2482843983</v>
      </c>
      <c r="M2480" s="169">
        <v>2558495095</v>
      </c>
      <c r="N2480" s="169">
        <v>2641703611</v>
      </c>
      <c r="O2480" s="169">
        <v>2972371614</v>
      </c>
      <c r="P2480" s="169">
        <v>2751897461</v>
      </c>
      <c r="Q2480" s="169">
        <v>2760554763</v>
      </c>
      <c r="R2480" s="169">
        <v>343874</v>
      </c>
    </row>
    <row r="2481" spans="1:18" x14ac:dyDescent="0.25">
      <c r="A2481" s="116" t="s">
        <v>294</v>
      </c>
      <c r="B2481" s="116">
        <v>2020</v>
      </c>
      <c r="C2481" s="116" t="s">
        <v>287</v>
      </c>
      <c r="D2481" s="169">
        <v>11900000000</v>
      </c>
      <c r="E2481" s="193">
        <v>10630000000</v>
      </c>
      <c r="F2481" s="193">
        <v>10630000000</v>
      </c>
      <c r="G2481" s="169">
        <v>914897179.47000003</v>
      </c>
      <c r="H2481" s="169">
        <v>994008888.16999996</v>
      </c>
      <c r="I2481" s="169">
        <v>1002943445.24</v>
      </c>
      <c r="J2481" s="169">
        <v>351014358.81</v>
      </c>
      <c r="K2481" s="169">
        <v>537766841.23000002</v>
      </c>
      <c r="L2481" s="169">
        <v>851658445.37</v>
      </c>
      <c r="M2481" s="169">
        <v>805264080.94000006</v>
      </c>
      <c r="N2481" s="169">
        <v>991015360.41999996</v>
      </c>
      <c r="O2481" s="169">
        <v>1078954186.4000001</v>
      </c>
      <c r="P2481" s="169">
        <v>1392087501.3</v>
      </c>
      <c r="Q2481" s="169">
        <v>1525736537.26</v>
      </c>
      <c r="R2481" s="169">
        <v>142982059</v>
      </c>
    </row>
    <row r="2482" spans="1:18" x14ac:dyDescent="0.25">
      <c r="A2482" s="116" t="s">
        <v>292</v>
      </c>
      <c r="B2482" s="116">
        <v>2020</v>
      </c>
      <c r="C2482" s="116" t="s">
        <v>281</v>
      </c>
      <c r="D2482" s="169">
        <v>40790000000</v>
      </c>
      <c r="E2482" s="193">
        <v>36780000000</v>
      </c>
      <c r="F2482" s="193">
        <v>36780000000</v>
      </c>
      <c r="G2482" s="169">
        <v>4295179516.1499996</v>
      </c>
      <c r="H2482" s="169">
        <v>3008971706.04</v>
      </c>
      <c r="I2482" s="169">
        <v>3376323235.7600002</v>
      </c>
      <c r="J2482" s="169">
        <v>2225539871.2800002</v>
      </c>
      <c r="K2482" s="169">
        <v>2862222030.04</v>
      </c>
      <c r="L2482" s="169">
        <v>2953658308.9899998</v>
      </c>
      <c r="M2482" s="169">
        <v>2876571014.48</v>
      </c>
      <c r="N2482" s="169">
        <v>2784643893</v>
      </c>
      <c r="O2482" s="169">
        <v>2890733278</v>
      </c>
      <c r="P2482" s="169">
        <v>2949441839</v>
      </c>
      <c r="Q2482" s="169">
        <v>2553528707</v>
      </c>
      <c r="R2482" s="169">
        <v>0</v>
      </c>
    </row>
    <row r="2483" spans="1:18" x14ac:dyDescent="0.25">
      <c r="A2483" s="116" t="s">
        <v>291</v>
      </c>
      <c r="B2483" s="116">
        <v>2020</v>
      </c>
      <c r="C2483" s="116" t="s">
        <v>287</v>
      </c>
      <c r="D2483" s="169">
        <v>4210000000</v>
      </c>
      <c r="E2483" s="193">
        <v>3090000000</v>
      </c>
      <c r="F2483" s="193">
        <v>3090000000</v>
      </c>
      <c r="G2483" s="169">
        <v>251934540.72999999</v>
      </c>
      <c r="H2483" s="169">
        <v>226718407.65000001</v>
      </c>
      <c r="I2483" s="169">
        <v>264597025.28</v>
      </c>
      <c r="J2483" s="169">
        <v>150509836.5</v>
      </c>
      <c r="K2483" s="169">
        <v>163927129.03999999</v>
      </c>
      <c r="L2483" s="169">
        <v>184755958.49000001</v>
      </c>
      <c r="M2483" s="169">
        <v>145193887.16999999</v>
      </c>
      <c r="N2483" s="169">
        <v>168078165.47</v>
      </c>
      <c r="O2483" s="169">
        <v>161553516.97</v>
      </c>
      <c r="P2483" s="169">
        <v>242784736.96000001</v>
      </c>
      <c r="Q2483" s="169">
        <v>251900305.75</v>
      </c>
      <c r="R2483" s="169">
        <v>23515268.739999998</v>
      </c>
    </row>
    <row r="2484" spans="1:18" x14ac:dyDescent="0.25">
      <c r="A2484" s="116" t="s">
        <v>289</v>
      </c>
      <c r="B2484" s="116">
        <v>2020</v>
      </c>
      <c r="C2484" s="116" t="s">
        <v>287</v>
      </c>
      <c r="D2484" s="169">
        <v>3200000000</v>
      </c>
      <c r="E2484" s="193">
        <v>2740000000</v>
      </c>
      <c r="F2484" s="193">
        <v>2740000000</v>
      </c>
      <c r="G2484" s="169">
        <v>234401715.93000001</v>
      </c>
      <c r="H2484" s="169">
        <v>218379137.78999999</v>
      </c>
      <c r="I2484" s="169">
        <v>311423967.82999998</v>
      </c>
      <c r="J2484" s="169">
        <v>213666203.50999999</v>
      </c>
      <c r="K2484" s="169">
        <v>182912208.58000001</v>
      </c>
      <c r="L2484" s="169">
        <v>396219077.72000003</v>
      </c>
      <c r="M2484" s="169">
        <v>304871900.36000001</v>
      </c>
      <c r="N2484" s="169">
        <v>235416413.37</v>
      </c>
      <c r="O2484" s="169">
        <v>243678426.94999999</v>
      </c>
      <c r="P2484" s="169">
        <v>241660420.99000001</v>
      </c>
      <c r="Q2484" s="169">
        <v>228787532.09999999</v>
      </c>
      <c r="R2484" s="169">
        <v>28173488.359999999</v>
      </c>
    </row>
    <row r="2485" spans="1:18" x14ac:dyDescent="0.25">
      <c r="A2485" s="116" t="s">
        <v>286</v>
      </c>
      <c r="B2485" s="116">
        <v>2020</v>
      </c>
      <c r="C2485" s="116" t="s">
        <v>285</v>
      </c>
      <c r="D2485" s="169">
        <v>249000000</v>
      </c>
      <c r="E2485" s="193">
        <v>249000000</v>
      </c>
      <c r="F2485" s="193">
        <v>249000000</v>
      </c>
      <c r="G2485" s="169">
        <v>32231805.890000001</v>
      </c>
      <c r="H2485" s="169">
        <v>17919040.760000002</v>
      </c>
      <c r="I2485" s="169">
        <v>18593423.18</v>
      </c>
      <c r="J2485" s="169">
        <v>19424606.870000001</v>
      </c>
      <c r="K2485" s="169">
        <v>15363200.92</v>
      </c>
      <c r="L2485" s="169">
        <v>19171640.620000001</v>
      </c>
      <c r="M2485" s="169">
        <v>0</v>
      </c>
      <c r="N2485" s="169">
        <v>0</v>
      </c>
      <c r="O2485" s="169">
        <v>0</v>
      </c>
      <c r="P2485" s="169">
        <v>0</v>
      </c>
      <c r="Q2485" s="169">
        <v>0</v>
      </c>
      <c r="R2485" s="169">
        <v>0</v>
      </c>
    </row>
    <row r="2486" spans="1:18" x14ac:dyDescent="0.25">
      <c r="A2486" s="116" t="s">
        <v>280</v>
      </c>
      <c r="B2486" s="116">
        <v>2020</v>
      </c>
      <c r="C2486" s="116" t="s">
        <v>279</v>
      </c>
      <c r="D2486" s="169">
        <v>27200000000</v>
      </c>
      <c r="E2486" s="193">
        <v>20000000000</v>
      </c>
      <c r="F2486" s="193">
        <v>20000000000</v>
      </c>
      <c r="G2486" s="169">
        <v>1816685527.5899999</v>
      </c>
      <c r="H2486" s="169">
        <v>7559465389.2200003</v>
      </c>
      <c r="I2486" s="169">
        <v>1424604901.26</v>
      </c>
      <c r="J2486" s="169">
        <v>778768241.15999997</v>
      </c>
      <c r="K2486" s="169">
        <v>488024531</v>
      </c>
      <c r="L2486" s="169">
        <v>1702605987.54</v>
      </c>
      <c r="M2486" s="169">
        <v>948090158</v>
      </c>
      <c r="N2486" s="169">
        <v>1822217133.23</v>
      </c>
      <c r="O2486" s="169">
        <v>1211727274.6300001</v>
      </c>
      <c r="P2486" s="169">
        <v>2173061011.5799999</v>
      </c>
      <c r="Q2486" s="169">
        <v>1096029725.6600001</v>
      </c>
      <c r="R2486" s="169">
        <v>279762600</v>
      </c>
    </row>
    <row r="2487" spans="1:18" x14ac:dyDescent="0.25">
      <c r="A2487" s="116" t="s">
        <v>276</v>
      </c>
      <c r="B2487" s="116">
        <v>2020</v>
      </c>
      <c r="C2487" s="116" t="s">
        <v>275</v>
      </c>
      <c r="D2487" s="169">
        <v>1435000000</v>
      </c>
      <c r="E2487" s="193">
        <v>1435000000</v>
      </c>
      <c r="F2487" s="193">
        <v>1435000000</v>
      </c>
      <c r="G2487" s="169">
        <v>58396046.359999999</v>
      </c>
      <c r="H2487" s="169">
        <v>126388743.92</v>
      </c>
      <c r="I2487" s="169">
        <v>79696002</v>
      </c>
      <c r="J2487" s="169">
        <v>14395417</v>
      </c>
      <c r="K2487" s="169">
        <v>4366940</v>
      </c>
      <c r="L2487" s="169">
        <v>2836260</v>
      </c>
      <c r="M2487" s="169">
        <v>2895685</v>
      </c>
      <c r="N2487" s="169">
        <v>1440640</v>
      </c>
      <c r="O2487" s="169">
        <v>1440640</v>
      </c>
      <c r="P2487" s="169">
        <v>0</v>
      </c>
      <c r="Q2487" s="169">
        <v>18607963</v>
      </c>
      <c r="R2487" s="169">
        <v>0</v>
      </c>
    </row>
    <row r="2488" spans="1:18" x14ac:dyDescent="0.25">
      <c r="A2488" s="116" t="s">
        <v>274</v>
      </c>
      <c r="B2488" s="116">
        <v>2020</v>
      </c>
      <c r="C2488" s="116" t="s">
        <v>273</v>
      </c>
      <c r="D2488" s="169">
        <v>100000000</v>
      </c>
      <c r="E2488" s="193">
        <v>100000000</v>
      </c>
      <c r="F2488" s="193">
        <v>100000000</v>
      </c>
      <c r="G2488" s="169">
        <v>0</v>
      </c>
      <c r="H2488" s="169">
        <v>0</v>
      </c>
      <c r="I2488" s="169">
        <v>0</v>
      </c>
      <c r="J2488" s="169">
        <v>0</v>
      </c>
      <c r="K2488" s="169">
        <v>6455591</v>
      </c>
      <c r="L2488" s="169">
        <v>0</v>
      </c>
      <c r="M2488" s="169">
        <v>6434594</v>
      </c>
      <c r="N2488" s="169">
        <v>0</v>
      </c>
      <c r="O2488" s="169">
        <v>6415350</v>
      </c>
      <c r="P2488" s="169">
        <v>0</v>
      </c>
      <c r="Q2488" s="169">
        <v>0</v>
      </c>
      <c r="R2488" s="169">
        <v>0</v>
      </c>
    </row>
    <row r="2489" spans="1:18" x14ac:dyDescent="0.25">
      <c r="A2489" s="116" t="s">
        <v>268</v>
      </c>
      <c r="B2489" s="116">
        <v>2020</v>
      </c>
      <c r="C2489" s="116" t="s">
        <v>267</v>
      </c>
      <c r="D2489" s="169">
        <v>147500000000</v>
      </c>
      <c r="E2489" s="193">
        <v>84975000000</v>
      </c>
      <c r="F2489" s="193">
        <v>84975000000</v>
      </c>
      <c r="G2489" s="169">
        <v>10661753853.59</v>
      </c>
      <c r="H2489" s="169">
        <v>9776867913.7700005</v>
      </c>
      <c r="I2489" s="169">
        <v>9467083129.5300007</v>
      </c>
      <c r="J2489" s="169">
        <v>5294489895.3000002</v>
      </c>
      <c r="K2489" s="169">
        <v>4578834567.1499996</v>
      </c>
      <c r="L2489" s="169">
        <v>6514713209.3000002</v>
      </c>
      <c r="M2489" s="169">
        <v>8949039843.3799992</v>
      </c>
      <c r="N2489" s="169">
        <v>9601556037.9799995</v>
      </c>
      <c r="O2489" s="169">
        <v>11932892294.620001</v>
      </c>
      <c r="P2489" s="169">
        <v>11232482986.48</v>
      </c>
      <c r="Q2489" s="169">
        <v>12639584874.77</v>
      </c>
      <c r="R2489" s="169">
        <v>1407004777.04</v>
      </c>
    </row>
    <row r="2490" spans="1:18" x14ac:dyDescent="0.25">
      <c r="A2490" s="116" t="s">
        <v>264</v>
      </c>
      <c r="B2490" s="116">
        <v>2020</v>
      </c>
      <c r="C2490" s="116" t="s">
        <v>263</v>
      </c>
      <c r="D2490" s="169">
        <v>25000000000</v>
      </c>
      <c r="E2490" s="193">
        <v>13600000000</v>
      </c>
      <c r="F2490" s="193">
        <v>13600000000</v>
      </c>
      <c r="G2490" s="169">
        <v>1897646313.3399999</v>
      </c>
      <c r="H2490" s="169">
        <v>1708655139.5</v>
      </c>
      <c r="I2490" s="169">
        <v>1631351605.4200001</v>
      </c>
      <c r="J2490" s="169">
        <v>884344519.69000006</v>
      </c>
      <c r="K2490" s="169">
        <v>847580178.10000002</v>
      </c>
      <c r="L2490" s="169">
        <v>1074077603.5899999</v>
      </c>
      <c r="M2490" s="169">
        <v>1475463168.5</v>
      </c>
      <c r="N2490" s="169">
        <v>1414646460.8800001</v>
      </c>
      <c r="O2490" s="169">
        <v>1608075243.73</v>
      </c>
      <c r="P2490" s="169">
        <v>1861523354.3599999</v>
      </c>
      <c r="Q2490" s="169">
        <v>1989089350.1400001</v>
      </c>
      <c r="R2490" s="169">
        <v>187750906.38999999</v>
      </c>
    </row>
    <row r="2491" spans="1:18" x14ac:dyDescent="0.25">
      <c r="A2491" s="116" t="s">
        <v>260</v>
      </c>
      <c r="B2491" s="116">
        <v>2020</v>
      </c>
      <c r="C2491" s="116" t="s">
        <v>259</v>
      </c>
      <c r="D2491" s="169">
        <v>3665000000</v>
      </c>
      <c r="E2491" s="193">
        <v>3665000000</v>
      </c>
      <c r="F2491" s="193">
        <v>3665000000</v>
      </c>
      <c r="G2491" s="169">
        <v>287469240.25999999</v>
      </c>
      <c r="H2491" s="169">
        <v>303524769.61000001</v>
      </c>
      <c r="I2491" s="169">
        <v>270859333.47000003</v>
      </c>
      <c r="J2491" s="169">
        <v>353069778.99000001</v>
      </c>
      <c r="K2491" s="169">
        <v>339949778.87</v>
      </c>
      <c r="L2491" s="169">
        <v>320251859.54000002</v>
      </c>
      <c r="M2491" s="169">
        <v>293203622.94999999</v>
      </c>
      <c r="N2491" s="169">
        <v>286458720</v>
      </c>
      <c r="O2491" s="169">
        <v>302825656.04000002</v>
      </c>
      <c r="P2491" s="169">
        <v>342181836.32999998</v>
      </c>
      <c r="Q2491" s="169">
        <v>326947760.23000002</v>
      </c>
      <c r="R2491" s="169">
        <v>26576566.460000001</v>
      </c>
    </row>
    <row r="2492" spans="1:18" x14ac:dyDescent="0.25">
      <c r="A2492" s="116" t="s">
        <v>258</v>
      </c>
      <c r="B2492" s="116">
        <v>2020</v>
      </c>
      <c r="C2492" s="116" t="s">
        <v>257</v>
      </c>
      <c r="D2492" s="169">
        <v>180000000</v>
      </c>
      <c r="E2492" s="193">
        <v>180000000</v>
      </c>
      <c r="F2492" s="193">
        <v>180000000</v>
      </c>
      <c r="G2492" s="169">
        <v>15490566</v>
      </c>
      <c r="H2492" s="169">
        <v>16391851.5</v>
      </c>
      <c r="I2492" s="169">
        <v>14759839.5</v>
      </c>
      <c r="J2492" s="169">
        <v>18949857</v>
      </c>
      <c r="K2492" s="169">
        <v>18094789.5</v>
      </c>
      <c r="L2492" s="169">
        <v>17278951.5</v>
      </c>
      <c r="M2492" s="169">
        <v>15682720.5</v>
      </c>
      <c r="N2492" s="169">
        <v>15034698</v>
      </c>
      <c r="O2492" s="169">
        <v>15869185.5</v>
      </c>
      <c r="P2492" s="169">
        <v>17690514</v>
      </c>
      <c r="Q2492" s="169">
        <v>16403235</v>
      </c>
      <c r="R2492" s="169">
        <v>1351231.5</v>
      </c>
    </row>
    <row r="2493" spans="1:18" x14ac:dyDescent="0.25">
      <c r="A2493" s="116" t="s">
        <v>256</v>
      </c>
      <c r="B2493" s="116">
        <v>2020</v>
      </c>
      <c r="C2493" s="116" t="s">
        <v>255</v>
      </c>
      <c r="D2493" s="169">
        <v>1860000000</v>
      </c>
      <c r="E2493" s="193">
        <v>1860000000</v>
      </c>
      <c r="F2493" s="193">
        <v>1860000000</v>
      </c>
      <c r="G2493" s="169">
        <v>138715232</v>
      </c>
      <c r="H2493" s="169">
        <v>139908215.75</v>
      </c>
      <c r="I2493" s="169">
        <v>150486347</v>
      </c>
      <c r="J2493" s="169">
        <v>122349835.75</v>
      </c>
      <c r="K2493" s="169">
        <v>53563208.75</v>
      </c>
      <c r="L2493" s="169">
        <v>91040184.5</v>
      </c>
      <c r="M2493" s="169">
        <v>113948355.25</v>
      </c>
      <c r="N2493" s="169">
        <v>123542010.75</v>
      </c>
      <c r="O2493" s="169">
        <v>130287691.25</v>
      </c>
      <c r="P2493" s="169">
        <v>140909521</v>
      </c>
      <c r="Q2493" s="169">
        <v>146023760.25</v>
      </c>
      <c r="R2493" s="169">
        <v>14462832.5</v>
      </c>
    </row>
    <row r="2494" spans="1:18" x14ac:dyDescent="0.25">
      <c r="A2494" s="116" t="s">
        <v>253</v>
      </c>
      <c r="B2494" s="116">
        <v>2020</v>
      </c>
      <c r="C2494" s="116" t="s">
        <v>252</v>
      </c>
      <c r="D2494" s="169">
        <v>55000000000</v>
      </c>
      <c r="E2494" s="193">
        <v>18460000000</v>
      </c>
      <c r="F2494" s="193">
        <v>18460000000</v>
      </c>
      <c r="G2494" s="169">
        <v>6179093873.5500002</v>
      </c>
      <c r="H2494" s="169">
        <v>4690193568.0500002</v>
      </c>
      <c r="I2494" s="169">
        <v>3920298485.1500001</v>
      </c>
      <c r="J2494" s="169">
        <v>43266515.859999999</v>
      </c>
      <c r="K2494" s="169">
        <v>39877338.990000002</v>
      </c>
      <c r="L2494" s="169">
        <v>51111545.799999997</v>
      </c>
      <c r="M2494" s="169">
        <v>80604932.519999996</v>
      </c>
      <c r="N2494" s="169">
        <v>89858942.200000003</v>
      </c>
      <c r="O2494" s="169">
        <v>148255744</v>
      </c>
      <c r="P2494" s="169">
        <v>234695311.40000001</v>
      </c>
      <c r="Q2494" s="169">
        <v>607632622.65999997</v>
      </c>
      <c r="R2494" s="169">
        <v>200371163.66999999</v>
      </c>
    </row>
    <row r="2495" spans="1:18" x14ac:dyDescent="0.25">
      <c r="A2495" s="116" t="s">
        <v>251</v>
      </c>
      <c r="B2495" s="116">
        <v>2020</v>
      </c>
      <c r="C2495" s="116" t="s">
        <v>250</v>
      </c>
      <c r="D2495" s="169">
        <v>2420000000</v>
      </c>
      <c r="E2495" s="193">
        <v>830000000</v>
      </c>
      <c r="F2495" s="193">
        <v>830000000</v>
      </c>
      <c r="G2495" s="169">
        <v>278658011.94999999</v>
      </c>
      <c r="H2495" s="169">
        <v>159629690.84999999</v>
      </c>
      <c r="I2495" s="169">
        <v>100433074.2</v>
      </c>
      <c r="J2495" s="169">
        <v>13633746.9</v>
      </c>
      <c r="K2495" s="169">
        <v>5138845.51</v>
      </c>
      <c r="L2495" s="169">
        <v>4595410.46</v>
      </c>
      <c r="M2495" s="169">
        <v>5554225.8499999996</v>
      </c>
      <c r="N2495" s="169">
        <v>4889948.8499999996</v>
      </c>
      <c r="O2495" s="169">
        <v>5825628.9500000002</v>
      </c>
      <c r="P2495" s="169">
        <v>2517974.65</v>
      </c>
      <c r="Q2495" s="169">
        <v>10129645.550000001</v>
      </c>
      <c r="R2495" s="169">
        <v>2765915.7</v>
      </c>
    </row>
    <row r="2496" spans="1:18" x14ac:dyDescent="0.25">
      <c r="A2496" s="116" t="s">
        <v>249</v>
      </c>
      <c r="B2496" s="116">
        <v>2020</v>
      </c>
      <c r="C2496" s="116" t="s">
        <v>248</v>
      </c>
      <c r="D2496" s="169">
        <v>4120000000</v>
      </c>
      <c r="E2496" s="193">
        <v>2300000000</v>
      </c>
      <c r="F2496" s="193">
        <v>2300000000</v>
      </c>
      <c r="G2496" s="169">
        <v>599799937.02999997</v>
      </c>
      <c r="H2496" s="169">
        <v>81397943.340000004</v>
      </c>
      <c r="I2496" s="169">
        <v>405426397.08999997</v>
      </c>
      <c r="J2496" s="169">
        <v>179939649.78999999</v>
      </c>
      <c r="K2496" s="169">
        <v>134833686.77000001</v>
      </c>
      <c r="L2496" s="169">
        <v>12848738.43</v>
      </c>
      <c r="M2496" s="169">
        <v>36428561.420000002</v>
      </c>
      <c r="N2496" s="169">
        <v>2353720.16</v>
      </c>
      <c r="O2496" s="169">
        <v>51942596.119999997</v>
      </c>
      <c r="P2496" s="169">
        <v>39834412.43</v>
      </c>
      <c r="Q2496" s="169">
        <v>0</v>
      </c>
      <c r="R2496" s="169">
        <v>0</v>
      </c>
    </row>
    <row r="2497" spans="1:18" x14ac:dyDescent="0.25">
      <c r="A2497" s="116" t="s">
        <v>246</v>
      </c>
      <c r="B2497" s="116">
        <v>2020</v>
      </c>
      <c r="C2497" s="116" t="s">
        <v>245</v>
      </c>
      <c r="D2497" s="169">
        <v>1130000000</v>
      </c>
      <c r="E2497" s="193">
        <v>1130000000</v>
      </c>
      <c r="F2497" s="193">
        <v>1130000000</v>
      </c>
      <c r="G2497" s="169">
        <v>78440135.969999999</v>
      </c>
      <c r="H2497" s="169">
        <v>97527653.620000005</v>
      </c>
      <c r="I2497" s="169">
        <v>104326765.68000001</v>
      </c>
      <c r="J2497" s="169">
        <v>84069425.780000001</v>
      </c>
      <c r="K2497" s="169">
        <v>42278214.369999997</v>
      </c>
      <c r="L2497" s="169">
        <v>72229392.810000002</v>
      </c>
      <c r="M2497" s="169">
        <v>96342526.010000005</v>
      </c>
      <c r="N2497" s="169">
        <v>77079200</v>
      </c>
      <c r="O2497" s="169">
        <v>104561197</v>
      </c>
      <c r="P2497" s="169">
        <v>119380125.75</v>
      </c>
      <c r="Q2497" s="169">
        <v>-594583.41</v>
      </c>
      <c r="R2497" s="169">
        <v>0</v>
      </c>
    </row>
    <row r="2498" spans="1:18" x14ac:dyDescent="0.25">
      <c r="A2498" s="116" t="s">
        <v>244</v>
      </c>
      <c r="B2498" s="116">
        <v>2020</v>
      </c>
      <c r="C2498" s="116" t="s">
        <v>243</v>
      </c>
      <c r="D2498" s="169">
        <v>6000000000</v>
      </c>
      <c r="E2498" s="193">
        <v>4130000000</v>
      </c>
      <c r="F2498" s="193">
        <v>4130000000</v>
      </c>
      <c r="G2498" s="169">
        <v>502735839.27999997</v>
      </c>
      <c r="H2498" s="169">
        <v>622100411.53999996</v>
      </c>
      <c r="I2498" s="169">
        <v>587676191.17999995</v>
      </c>
      <c r="J2498" s="169">
        <v>407057166.24000001</v>
      </c>
      <c r="K2498" s="169">
        <v>110702626.44</v>
      </c>
      <c r="L2498" s="169">
        <v>168300375.41999999</v>
      </c>
      <c r="M2498" s="169">
        <v>218632170.83000001</v>
      </c>
      <c r="N2498" s="169">
        <v>175343536.49000001</v>
      </c>
      <c r="O2498" s="169">
        <v>243398137.52000001</v>
      </c>
      <c r="P2498" s="169">
        <v>307129775.67000002</v>
      </c>
      <c r="Q2498" s="169">
        <v>-2234478.14</v>
      </c>
      <c r="R2498" s="169">
        <v>0</v>
      </c>
    </row>
    <row r="2499" spans="1:18" x14ac:dyDescent="0.25">
      <c r="A2499" s="116" t="s">
        <v>242</v>
      </c>
      <c r="B2499" s="116">
        <v>2020</v>
      </c>
      <c r="C2499" s="116" t="s">
        <v>241</v>
      </c>
      <c r="D2499" s="169">
        <v>11070000000</v>
      </c>
      <c r="E2499" s="193">
        <v>6470000000</v>
      </c>
      <c r="F2499" s="193">
        <v>6470000000</v>
      </c>
      <c r="G2499" s="169">
        <v>760955693.24000001</v>
      </c>
      <c r="H2499" s="169">
        <v>931302661.78999996</v>
      </c>
      <c r="I2499" s="169">
        <v>928291039.61000001</v>
      </c>
      <c r="J2499" s="169">
        <v>648561468.48000002</v>
      </c>
      <c r="K2499" s="169">
        <v>173548694.66</v>
      </c>
      <c r="L2499" s="169">
        <v>269353389.63</v>
      </c>
      <c r="M2499" s="169">
        <v>338749472.67000002</v>
      </c>
      <c r="N2499" s="169">
        <v>275197329.00999999</v>
      </c>
      <c r="O2499" s="169">
        <v>379623220.60000002</v>
      </c>
      <c r="P2499" s="169">
        <v>474209859.75</v>
      </c>
      <c r="Q2499" s="169">
        <v>-6306380.79</v>
      </c>
      <c r="R2499" s="169">
        <v>0</v>
      </c>
    </row>
    <row r="2500" spans="1:18" x14ac:dyDescent="0.25">
      <c r="A2500" s="116" t="s">
        <v>240</v>
      </c>
      <c r="B2500" s="116">
        <v>2020</v>
      </c>
      <c r="C2500" s="116" t="s">
        <v>239</v>
      </c>
      <c r="D2500" s="169">
        <v>1500000000</v>
      </c>
      <c r="E2500" s="193">
        <v>1500000000</v>
      </c>
      <c r="F2500" s="193">
        <v>1500000000</v>
      </c>
      <c r="G2500" s="169">
        <v>103646779.2</v>
      </c>
      <c r="H2500" s="169">
        <v>90078574.049999997</v>
      </c>
      <c r="I2500" s="169">
        <v>100325926.86</v>
      </c>
      <c r="J2500" s="169">
        <v>39582379.619999997</v>
      </c>
      <c r="K2500" s="169">
        <v>73316243.090000004</v>
      </c>
      <c r="L2500" s="169">
        <v>87457027.189999998</v>
      </c>
      <c r="M2500" s="169">
        <v>130209000.70999999</v>
      </c>
      <c r="N2500" s="169">
        <v>142276431.30000001</v>
      </c>
      <c r="O2500" s="169">
        <v>123635328.81</v>
      </c>
      <c r="P2500" s="169">
        <v>90013068.159999996</v>
      </c>
      <c r="Q2500" s="169">
        <v>108620829.14</v>
      </c>
      <c r="R2500" s="169">
        <v>9454984.0399999991</v>
      </c>
    </row>
    <row r="2501" spans="1:18" x14ac:dyDescent="0.25">
      <c r="A2501" s="116" t="s">
        <v>236</v>
      </c>
      <c r="B2501" s="116">
        <v>2020</v>
      </c>
      <c r="C2501" s="116" t="s">
        <v>235</v>
      </c>
      <c r="D2501" s="169">
        <v>5120000000</v>
      </c>
      <c r="E2501" s="193">
        <v>5120000000</v>
      </c>
      <c r="F2501" s="193">
        <v>5120000000</v>
      </c>
      <c r="G2501" s="169">
        <v>424554344.99000001</v>
      </c>
      <c r="H2501" s="169">
        <v>480751065.86000001</v>
      </c>
      <c r="I2501" s="169">
        <v>373480054.00999999</v>
      </c>
      <c r="J2501" s="169">
        <v>565371453.30999994</v>
      </c>
      <c r="K2501" s="169">
        <v>283440612.83999997</v>
      </c>
      <c r="L2501" s="169">
        <v>463987373.72000003</v>
      </c>
      <c r="M2501" s="169">
        <v>297492493.81999999</v>
      </c>
      <c r="N2501" s="169">
        <v>376017114.57999998</v>
      </c>
      <c r="O2501" s="169">
        <v>451435101.73000002</v>
      </c>
      <c r="P2501" s="169">
        <v>442734025.08999997</v>
      </c>
      <c r="Q2501" s="169">
        <v>87122080.799999997</v>
      </c>
      <c r="R2501" s="169">
        <v>6008.25</v>
      </c>
    </row>
    <row r="2502" spans="1:18" x14ac:dyDescent="0.25">
      <c r="A2502" s="116" t="s">
        <v>234</v>
      </c>
      <c r="B2502" s="116">
        <v>2020</v>
      </c>
      <c r="C2502" s="116" t="s">
        <v>233</v>
      </c>
      <c r="D2502" s="169">
        <v>1000000</v>
      </c>
      <c r="E2502" s="193">
        <v>1000000</v>
      </c>
      <c r="F2502" s="193">
        <v>1000000</v>
      </c>
      <c r="G2502" s="169">
        <v>101713.77</v>
      </c>
      <c r="H2502" s="169">
        <v>81518.3</v>
      </c>
      <c r="I2502" s="169">
        <v>57367.59</v>
      </c>
      <c r="J2502" s="169">
        <v>233267.1</v>
      </c>
      <c r="K2502" s="169">
        <v>170487.01</v>
      </c>
      <c r="L2502" s="169">
        <v>9403304.8900000006</v>
      </c>
      <c r="M2502" s="169">
        <v>-9266440.3300000001</v>
      </c>
      <c r="N2502" s="169">
        <v>173921.77</v>
      </c>
      <c r="O2502" s="169">
        <v>84489.7</v>
      </c>
      <c r="P2502" s="169">
        <v>168975.31</v>
      </c>
      <c r="Q2502" s="169">
        <v>269808.46000000002</v>
      </c>
      <c r="R2502" s="169">
        <v>0</v>
      </c>
    </row>
    <row r="2503" spans="1:18" x14ac:dyDescent="0.25">
      <c r="A2503" s="116" t="s">
        <v>230</v>
      </c>
      <c r="B2503" s="116">
        <v>2020</v>
      </c>
      <c r="C2503" s="116" t="s">
        <v>229</v>
      </c>
      <c r="D2503" s="169">
        <v>21770000000</v>
      </c>
      <c r="E2503" s="193">
        <v>21770000000</v>
      </c>
      <c r="F2503" s="193">
        <v>21770000000</v>
      </c>
      <c r="G2503" s="169">
        <v>2392218407.8499999</v>
      </c>
      <c r="H2503" s="169">
        <v>1181915462.5999999</v>
      </c>
      <c r="I2503" s="169">
        <v>1104671580.1600001</v>
      </c>
      <c r="J2503" s="169">
        <v>1390663109</v>
      </c>
      <c r="K2503" s="169">
        <v>1298985778.75</v>
      </c>
      <c r="L2503" s="169">
        <v>1308664115.3</v>
      </c>
      <c r="M2503" s="169">
        <v>992960270.49000001</v>
      </c>
      <c r="N2503" s="169">
        <v>1449678943.51</v>
      </c>
      <c r="O2503" s="169">
        <v>1129648757.2</v>
      </c>
      <c r="P2503" s="169">
        <v>1061425781.3</v>
      </c>
      <c r="Q2503" s="169">
        <v>646983496.82000005</v>
      </c>
      <c r="R2503" s="169">
        <v>1718395.58</v>
      </c>
    </row>
    <row r="2504" spans="1:18" x14ac:dyDescent="0.25">
      <c r="A2504" s="116" t="s">
        <v>377</v>
      </c>
      <c r="B2504" s="116">
        <v>2020</v>
      </c>
      <c r="C2504" s="116" t="s">
        <v>410</v>
      </c>
      <c r="D2504" s="169">
        <v>6060000000</v>
      </c>
      <c r="E2504" s="193">
        <v>6060000000</v>
      </c>
      <c r="F2504" s="193">
        <v>6060000000</v>
      </c>
      <c r="G2504" s="169">
        <v>652561568.42999995</v>
      </c>
      <c r="H2504" s="169">
        <v>35909599.32</v>
      </c>
      <c r="I2504" s="169">
        <v>440495204.12</v>
      </c>
      <c r="J2504" s="169">
        <v>399355398.20999998</v>
      </c>
      <c r="K2504" s="169">
        <v>292992349.48000002</v>
      </c>
      <c r="L2504" s="169">
        <v>275372432.07999998</v>
      </c>
      <c r="M2504" s="169">
        <v>588752758.55999994</v>
      </c>
      <c r="N2504" s="169">
        <v>481459585.13</v>
      </c>
      <c r="O2504" s="169">
        <v>562318313.04999995</v>
      </c>
      <c r="P2504" s="169">
        <v>374327283.08999997</v>
      </c>
      <c r="Q2504" s="169">
        <v>125232576.65000001</v>
      </c>
      <c r="R2504" s="169">
        <v>0</v>
      </c>
    </row>
    <row r="2505" spans="1:18" x14ac:dyDescent="0.25">
      <c r="A2505" s="116" t="s">
        <v>228</v>
      </c>
      <c r="B2505" s="116">
        <v>2020</v>
      </c>
      <c r="C2505" s="116" t="s">
        <v>227</v>
      </c>
      <c r="D2505" s="169">
        <v>31600000000</v>
      </c>
      <c r="E2505" s="193">
        <v>31600000000</v>
      </c>
      <c r="F2505" s="193">
        <v>31600000000</v>
      </c>
      <c r="G2505" s="169">
        <v>2755202909.75</v>
      </c>
      <c r="H2505" s="169">
        <v>2792422842.9499998</v>
      </c>
      <c r="I2505" s="169">
        <v>2755186615.2399998</v>
      </c>
      <c r="J2505" s="169">
        <v>2753233525.98</v>
      </c>
      <c r="K2505" s="169">
        <v>2767096078.5300002</v>
      </c>
      <c r="L2505" s="169">
        <v>2792310677.79</v>
      </c>
      <c r="M2505" s="169">
        <v>3622353999.7199998</v>
      </c>
      <c r="N2505" s="169">
        <v>3653040372.6100001</v>
      </c>
      <c r="O2505" s="169">
        <v>3675766694.9499998</v>
      </c>
      <c r="P2505" s="169">
        <v>3731435601.46</v>
      </c>
      <c r="Q2505" s="169">
        <v>3690750958.1300001</v>
      </c>
      <c r="R2505" s="169">
        <v>4550244.95</v>
      </c>
    </row>
    <row r="2506" spans="1:18" x14ac:dyDescent="0.25">
      <c r="A2506" s="116" t="s">
        <v>226</v>
      </c>
      <c r="B2506" s="116">
        <v>2020</v>
      </c>
      <c r="C2506" s="116" t="s">
        <v>225</v>
      </c>
      <c r="D2506" s="169">
        <v>13730000000</v>
      </c>
      <c r="E2506" s="193">
        <v>13730000000</v>
      </c>
      <c r="F2506" s="193">
        <v>13730000000</v>
      </c>
      <c r="G2506" s="169">
        <v>1331140141.6700001</v>
      </c>
      <c r="H2506" s="169">
        <v>1290657268.51</v>
      </c>
      <c r="I2506" s="169">
        <v>1261536287.2</v>
      </c>
      <c r="J2506" s="169">
        <v>1487159589.75</v>
      </c>
      <c r="K2506" s="169">
        <v>1319459004.48</v>
      </c>
      <c r="L2506" s="169">
        <v>1282251759.9200001</v>
      </c>
      <c r="M2506" s="169">
        <v>1269266146.79</v>
      </c>
      <c r="N2506" s="169">
        <v>1296490388.8699999</v>
      </c>
      <c r="O2506" s="169">
        <v>1283135178.26</v>
      </c>
      <c r="P2506" s="169">
        <v>1378706181.3199999</v>
      </c>
      <c r="Q2506" s="169">
        <v>1291839226.1900001</v>
      </c>
      <c r="R2506" s="169">
        <v>12701141.119999999</v>
      </c>
    </row>
    <row r="2507" spans="1:18" x14ac:dyDescent="0.25">
      <c r="A2507" s="116" t="s">
        <v>224</v>
      </c>
      <c r="B2507" s="116">
        <v>2020</v>
      </c>
      <c r="C2507" s="116" t="s">
        <v>223</v>
      </c>
      <c r="D2507" s="169">
        <v>4710000000</v>
      </c>
      <c r="E2507" s="193">
        <v>4710000000</v>
      </c>
      <c r="F2507" s="193">
        <v>4710000000</v>
      </c>
      <c r="G2507" s="169">
        <v>202875273.69</v>
      </c>
      <c r="H2507" s="169">
        <v>198682864.75</v>
      </c>
      <c r="I2507" s="169">
        <v>197491876.27000001</v>
      </c>
      <c r="J2507" s="169">
        <v>196103557.87</v>
      </c>
      <c r="K2507" s="169">
        <v>192169349.12</v>
      </c>
      <c r="L2507" s="169">
        <v>190452363.05000001</v>
      </c>
      <c r="M2507" s="169">
        <v>273658906.29000002</v>
      </c>
      <c r="N2507" s="169">
        <v>275965597.06</v>
      </c>
      <c r="O2507" s="169">
        <v>273322350.44999999</v>
      </c>
      <c r="P2507" s="169">
        <v>272868233.81</v>
      </c>
      <c r="Q2507" s="169">
        <v>271287262.54000002</v>
      </c>
      <c r="R2507" s="169">
        <v>0</v>
      </c>
    </row>
    <row r="2508" spans="1:18" x14ac:dyDescent="0.25">
      <c r="A2508" s="116" t="s">
        <v>222</v>
      </c>
      <c r="B2508" s="116">
        <v>2020</v>
      </c>
      <c r="C2508" s="116" t="s">
        <v>221</v>
      </c>
      <c r="D2508" s="169">
        <v>2600000</v>
      </c>
      <c r="E2508" s="193">
        <v>2600000</v>
      </c>
      <c r="F2508" s="193">
        <v>2600000</v>
      </c>
      <c r="G2508" s="169">
        <v>201645.84</v>
      </c>
      <c r="H2508" s="169">
        <v>169115.58</v>
      </c>
      <c r="I2508" s="169">
        <v>233354.8</v>
      </c>
      <c r="J2508" s="169">
        <v>255919.96</v>
      </c>
      <c r="K2508" s="169">
        <v>121096.82</v>
      </c>
      <c r="L2508" s="169">
        <v>31192.76</v>
      </c>
      <c r="M2508" s="169">
        <v>48237.81</v>
      </c>
      <c r="N2508" s="169">
        <v>143714.22</v>
      </c>
      <c r="O2508" s="169">
        <v>129572.52</v>
      </c>
      <c r="P2508" s="169">
        <v>237953.62</v>
      </c>
      <c r="Q2508" s="169">
        <v>0</v>
      </c>
      <c r="R2508" s="169">
        <v>0</v>
      </c>
    </row>
    <row r="2509" spans="1:18" x14ac:dyDescent="0.25">
      <c r="A2509" s="116" t="s">
        <v>409</v>
      </c>
      <c r="B2509" s="116">
        <v>2020</v>
      </c>
      <c r="C2509" s="116" t="s">
        <v>408</v>
      </c>
      <c r="D2509" s="169">
        <v>0</v>
      </c>
      <c r="E2509" s="193">
        <v>0</v>
      </c>
      <c r="F2509" s="193">
        <v>0</v>
      </c>
      <c r="G2509" s="169">
        <v>0</v>
      </c>
      <c r="H2509" s="169">
        <v>0</v>
      </c>
      <c r="I2509" s="169">
        <v>0</v>
      </c>
      <c r="J2509" s="169">
        <v>17606.62</v>
      </c>
      <c r="K2509" s="169">
        <v>17450.240000000002</v>
      </c>
      <c r="L2509" s="169">
        <v>17702.78</v>
      </c>
      <c r="M2509" s="169">
        <v>17183.89</v>
      </c>
      <c r="N2509" s="169">
        <v>17524.099999999999</v>
      </c>
      <c r="O2509" s="169">
        <v>17783.14</v>
      </c>
      <c r="P2509" s="169">
        <v>17634.349999999999</v>
      </c>
      <c r="Q2509" s="169">
        <v>13042.04</v>
      </c>
      <c r="R2509" s="169">
        <v>0</v>
      </c>
    </row>
    <row r="2510" spans="1:18" x14ac:dyDescent="0.25">
      <c r="A2510" s="116" t="s">
        <v>219</v>
      </c>
      <c r="B2510" s="116">
        <v>2020</v>
      </c>
      <c r="C2510" s="116" t="s">
        <v>408</v>
      </c>
      <c r="D2510" s="169">
        <v>45000000</v>
      </c>
      <c r="E2510" s="193">
        <v>45000000</v>
      </c>
      <c r="F2510" s="193">
        <v>45000000</v>
      </c>
      <c r="G2510" s="169">
        <v>4756913.22</v>
      </c>
      <c r="H2510" s="169">
        <v>4757009.62</v>
      </c>
      <c r="I2510" s="169">
        <v>3640102.48</v>
      </c>
      <c r="J2510" s="169">
        <v>1988084.86</v>
      </c>
      <c r="K2510" s="169">
        <v>2245095.9500000002</v>
      </c>
      <c r="L2510" s="169">
        <v>2801774.42</v>
      </c>
      <c r="M2510" s="169">
        <v>5226171.55</v>
      </c>
      <c r="N2510" s="169">
        <v>3045693.86</v>
      </c>
      <c r="O2510" s="169">
        <v>4006475.61</v>
      </c>
      <c r="P2510" s="169">
        <v>3712320.89</v>
      </c>
      <c r="Q2510" s="169">
        <v>2550339.27</v>
      </c>
      <c r="R2510" s="169">
        <v>0</v>
      </c>
    </row>
    <row r="2511" spans="1:18" x14ac:dyDescent="0.25">
      <c r="A2511" s="116" t="s">
        <v>217</v>
      </c>
      <c r="B2511" s="116">
        <v>2020</v>
      </c>
      <c r="C2511" s="116" t="s">
        <v>216</v>
      </c>
      <c r="D2511" s="169">
        <v>14500000</v>
      </c>
      <c r="E2511" s="193">
        <v>14500000</v>
      </c>
      <c r="F2511" s="193">
        <v>14500000</v>
      </c>
      <c r="G2511" s="169">
        <v>1103188.28</v>
      </c>
      <c r="H2511" s="169">
        <v>737903.38</v>
      </c>
      <c r="I2511" s="169">
        <v>1068638.18</v>
      </c>
      <c r="J2511" s="169">
        <v>995623.97</v>
      </c>
      <c r="K2511" s="169">
        <v>1050930.21</v>
      </c>
      <c r="L2511" s="169">
        <v>1085181.8600000001</v>
      </c>
      <c r="M2511" s="169">
        <v>1068144.8500000001</v>
      </c>
      <c r="N2511" s="169">
        <v>1014434.2</v>
      </c>
      <c r="O2511" s="169">
        <v>1028414.44</v>
      </c>
      <c r="P2511" s="169">
        <v>1050046.77</v>
      </c>
      <c r="Q2511" s="169">
        <v>1047959.46</v>
      </c>
      <c r="R2511" s="169">
        <v>0</v>
      </c>
    </row>
    <row r="2512" spans="1:18" x14ac:dyDescent="0.25">
      <c r="A2512" s="116" t="s">
        <v>215</v>
      </c>
      <c r="B2512" s="116">
        <v>2020</v>
      </c>
      <c r="C2512" s="116" t="s">
        <v>214</v>
      </c>
      <c r="D2512" s="169">
        <v>23000000</v>
      </c>
      <c r="E2512" s="193">
        <v>23000000</v>
      </c>
      <c r="F2512" s="193">
        <v>23000000</v>
      </c>
      <c r="G2512" s="169">
        <v>461320</v>
      </c>
      <c r="H2512" s="169">
        <v>1496269.41</v>
      </c>
      <c r="I2512" s="169">
        <v>4146855.51</v>
      </c>
      <c r="J2512" s="169">
        <v>0</v>
      </c>
      <c r="K2512" s="169">
        <v>223862.01</v>
      </c>
      <c r="L2512" s="169">
        <v>1082516</v>
      </c>
      <c r="M2512" s="169">
        <v>132835</v>
      </c>
      <c r="N2512" s="169">
        <v>283825</v>
      </c>
      <c r="O2512" s="169">
        <v>0</v>
      </c>
      <c r="P2512" s="169">
        <v>1465394.56</v>
      </c>
      <c r="Q2512" s="169">
        <v>350239.5</v>
      </c>
      <c r="R2512" s="169">
        <v>0</v>
      </c>
    </row>
    <row r="2513" spans="1:18" x14ac:dyDescent="0.25">
      <c r="A2513" s="116" t="s">
        <v>213</v>
      </c>
      <c r="B2513" s="116">
        <v>2020</v>
      </c>
      <c r="C2513" s="116" t="s">
        <v>212</v>
      </c>
      <c r="D2513" s="169">
        <v>68500000</v>
      </c>
      <c r="E2513" s="193">
        <v>68500000</v>
      </c>
      <c r="F2513" s="193">
        <v>68500000</v>
      </c>
      <c r="G2513" s="169">
        <v>2241818.6</v>
      </c>
      <c r="H2513" s="169">
        <v>312622.31</v>
      </c>
      <c r="I2513" s="169">
        <v>4960687.28</v>
      </c>
      <c r="J2513" s="169">
        <v>4772219.78</v>
      </c>
      <c r="K2513" s="169">
        <v>873731.82</v>
      </c>
      <c r="L2513" s="169">
        <v>620470.65</v>
      </c>
      <c r="M2513" s="169">
        <v>533002.79</v>
      </c>
      <c r="N2513" s="169">
        <v>1146877.4399999999</v>
      </c>
      <c r="O2513" s="169">
        <v>891502.7</v>
      </c>
      <c r="P2513" s="169">
        <v>0</v>
      </c>
      <c r="Q2513" s="169">
        <v>7563646.1699999999</v>
      </c>
      <c r="R2513" s="169">
        <v>0</v>
      </c>
    </row>
    <row r="2514" spans="1:18" x14ac:dyDescent="0.25">
      <c r="A2514" s="116" t="s">
        <v>211</v>
      </c>
      <c r="B2514" s="116">
        <v>2020</v>
      </c>
      <c r="C2514" s="116" t="s">
        <v>210</v>
      </c>
      <c r="D2514" s="169">
        <v>164000000</v>
      </c>
      <c r="E2514" s="193">
        <v>164000000</v>
      </c>
      <c r="F2514" s="193">
        <v>164000000</v>
      </c>
      <c r="G2514" s="169">
        <v>0</v>
      </c>
      <c r="H2514" s="169">
        <v>0</v>
      </c>
      <c r="I2514" s="169">
        <v>0</v>
      </c>
      <c r="J2514" s="169">
        <v>153252473.38999999</v>
      </c>
      <c r="K2514" s="169">
        <v>0</v>
      </c>
      <c r="L2514" s="169">
        <v>0</v>
      </c>
      <c r="M2514" s="169">
        <v>0</v>
      </c>
      <c r="N2514" s="169">
        <v>0</v>
      </c>
      <c r="O2514" s="169">
        <v>0</v>
      </c>
      <c r="P2514" s="169">
        <v>0</v>
      </c>
      <c r="Q2514" s="169">
        <v>0</v>
      </c>
      <c r="R2514" s="169">
        <v>0</v>
      </c>
    </row>
    <row r="2515" spans="1:18" x14ac:dyDescent="0.25">
      <c r="A2515" s="116" t="s">
        <v>209</v>
      </c>
      <c r="B2515" s="116">
        <v>2020</v>
      </c>
      <c r="C2515" s="116" t="s">
        <v>208</v>
      </c>
      <c r="D2515" s="169">
        <v>15000000</v>
      </c>
      <c r="E2515" s="193">
        <v>15000000</v>
      </c>
      <c r="F2515" s="193">
        <v>15000000</v>
      </c>
      <c r="G2515" s="169">
        <v>6872457.9199999999</v>
      </c>
      <c r="H2515" s="169">
        <v>2235328.0299999998</v>
      </c>
      <c r="I2515" s="169">
        <v>6553773.9800000004</v>
      </c>
      <c r="J2515" s="169">
        <v>6647562.4400000004</v>
      </c>
      <c r="K2515" s="169">
        <v>921840.5</v>
      </c>
      <c r="L2515" s="169">
        <v>716112.49</v>
      </c>
      <c r="M2515" s="169">
        <v>765565.11</v>
      </c>
      <c r="N2515" s="169">
        <v>812289.56</v>
      </c>
      <c r="O2515" s="169">
        <v>1091091.6000000001</v>
      </c>
      <c r="P2515" s="169">
        <v>505959.1</v>
      </c>
      <c r="Q2515" s="169">
        <v>200325.04</v>
      </c>
      <c r="R2515" s="169">
        <v>0</v>
      </c>
    </row>
    <row r="2516" spans="1:18" x14ac:dyDescent="0.25">
      <c r="A2516" s="116" t="s">
        <v>407</v>
      </c>
      <c r="B2516" s="116">
        <v>2020</v>
      </c>
      <c r="C2516" s="116" t="s">
        <v>406</v>
      </c>
      <c r="D2516" s="169">
        <v>0</v>
      </c>
      <c r="E2516" s="193">
        <v>0</v>
      </c>
      <c r="F2516" s="193">
        <v>0</v>
      </c>
      <c r="G2516" s="169">
        <v>0</v>
      </c>
      <c r="H2516" s="169">
        <v>0</v>
      </c>
      <c r="I2516" s="169">
        <v>0</v>
      </c>
      <c r="J2516" s="169">
        <v>0</v>
      </c>
      <c r="K2516" s="169">
        <v>0</v>
      </c>
      <c r="L2516" s="169">
        <v>0</v>
      </c>
      <c r="M2516" s="169">
        <v>0</v>
      </c>
      <c r="N2516" s="169">
        <v>0</v>
      </c>
      <c r="O2516" s="169">
        <v>0</v>
      </c>
      <c r="P2516" s="169">
        <v>0</v>
      </c>
      <c r="Q2516" s="169">
        <v>0</v>
      </c>
      <c r="R2516" s="169">
        <v>0</v>
      </c>
    </row>
    <row r="2517" spans="1:18" x14ac:dyDescent="0.25">
      <c r="A2517" s="116" t="s">
        <v>207</v>
      </c>
      <c r="B2517" s="116">
        <v>2020</v>
      </c>
      <c r="C2517" s="116" t="s">
        <v>206</v>
      </c>
      <c r="D2517" s="169">
        <v>163003100</v>
      </c>
      <c r="E2517" s="193">
        <v>163003100</v>
      </c>
      <c r="F2517" s="193">
        <v>163003100</v>
      </c>
      <c r="G2517" s="169">
        <v>0</v>
      </c>
      <c r="H2517" s="169">
        <v>0</v>
      </c>
      <c r="I2517" s="169">
        <v>0</v>
      </c>
      <c r="J2517" s="169">
        <v>0</v>
      </c>
      <c r="K2517" s="169">
        <v>0</v>
      </c>
      <c r="L2517" s="169">
        <v>0</v>
      </c>
      <c r="M2517" s="169">
        <v>0</v>
      </c>
      <c r="N2517" s="169">
        <v>0</v>
      </c>
      <c r="O2517" s="169">
        <v>0</v>
      </c>
      <c r="P2517" s="169">
        <v>0</v>
      </c>
      <c r="Q2517" s="169">
        <v>0</v>
      </c>
      <c r="R2517" s="169">
        <v>0</v>
      </c>
    </row>
    <row r="2518" spans="1:18" x14ac:dyDescent="0.25">
      <c r="A2518" s="116" t="s">
        <v>205</v>
      </c>
      <c r="B2518" s="116">
        <v>2020</v>
      </c>
      <c r="C2518" s="116" t="s">
        <v>204</v>
      </c>
      <c r="D2518" s="169">
        <v>1554000000</v>
      </c>
      <c r="E2518" s="193">
        <v>1554000000</v>
      </c>
      <c r="F2518" s="193">
        <v>1554000000</v>
      </c>
      <c r="G2518" s="169">
        <v>117291969.2</v>
      </c>
      <c r="H2518" s="169">
        <v>130460218.42</v>
      </c>
      <c r="I2518" s="169">
        <v>128276338.2</v>
      </c>
      <c r="J2518" s="169">
        <v>100029827.2</v>
      </c>
      <c r="K2518" s="169">
        <v>73000985.439999998</v>
      </c>
      <c r="L2518" s="169">
        <v>116200768.45999999</v>
      </c>
      <c r="M2518" s="169">
        <v>135218908.22999999</v>
      </c>
      <c r="N2518" s="169">
        <v>99818631.459999993</v>
      </c>
      <c r="O2518" s="169">
        <v>111630393.73999999</v>
      </c>
      <c r="P2518" s="169">
        <v>117709268.06</v>
      </c>
      <c r="Q2518" s="169">
        <v>75847400</v>
      </c>
      <c r="R2518" s="169">
        <v>0</v>
      </c>
    </row>
    <row r="2519" spans="1:18" x14ac:dyDescent="0.25">
      <c r="A2519" s="116" t="s">
        <v>203</v>
      </c>
      <c r="B2519" s="116">
        <v>2020</v>
      </c>
      <c r="C2519" s="116" t="s">
        <v>202</v>
      </c>
      <c r="D2519" s="169">
        <v>6758577638</v>
      </c>
      <c r="E2519" s="193">
        <v>6758577638</v>
      </c>
      <c r="F2519" s="193">
        <v>6758577638</v>
      </c>
      <c r="G2519" s="169">
        <v>221379151.22999999</v>
      </c>
      <c r="H2519" s="169">
        <v>63438196</v>
      </c>
      <c r="I2519" s="169">
        <v>76108274.799999997</v>
      </c>
      <c r="J2519" s="169">
        <v>256559557.43000001</v>
      </c>
      <c r="K2519" s="169">
        <v>64622501.960000001</v>
      </c>
      <c r="L2519" s="169">
        <v>38761217.25</v>
      </c>
      <c r="M2519" s="169">
        <v>6820263</v>
      </c>
      <c r="N2519" s="169">
        <v>191551430.18000001</v>
      </c>
      <c r="O2519" s="169">
        <v>88599770.879999995</v>
      </c>
      <c r="P2519" s="169">
        <v>4878776</v>
      </c>
      <c r="Q2519" s="169">
        <v>1843288</v>
      </c>
      <c r="R2519" s="169">
        <v>0</v>
      </c>
    </row>
    <row r="2520" spans="1:18" x14ac:dyDescent="0.25">
      <c r="A2520" s="116" t="s">
        <v>200</v>
      </c>
      <c r="B2520" s="116">
        <v>2020</v>
      </c>
      <c r="C2520" s="116" t="s">
        <v>199</v>
      </c>
      <c r="D2520" s="169">
        <v>17300000</v>
      </c>
      <c r="E2520" s="193">
        <v>17300000</v>
      </c>
      <c r="F2520" s="193">
        <v>17300000</v>
      </c>
      <c r="G2520" s="169">
        <v>1624111.28</v>
      </c>
      <c r="H2520" s="169">
        <v>1605876</v>
      </c>
      <c r="I2520" s="169">
        <v>1166732</v>
      </c>
      <c r="J2520" s="169">
        <v>1115000</v>
      </c>
      <c r="K2520" s="169">
        <v>717530</v>
      </c>
      <c r="L2520" s="169">
        <v>600000</v>
      </c>
      <c r="M2520" s="169">
        <v>1202954</v>
      </c>
      <c r="N2520" s="169">
        <v>445000</v>
      </c>
      <c r="O2520" s="169">
        <v>1025566</v>
      </c>
      <c r="P2520" s="169">
        <v>1101606</v>
      </c>
      <c r="Q2520" s="169">
        <v>374704</v>
      </c>
      <c r="R2520" s="169">
        <v>0</v>
      </c>
    </row>
    <row r="2521" spans="1:18" x14ac:dyDescent="0.25">
      <c r="A2521" s="116" t="s">
        <v>198</v>
      </c>
      <c r="B2521" s="116">
        <v>2020</v>
      </c>
      <c r="C2521" s="116" t="s">
        <v>197</v>
      </c>
      <c r="D2521" s="169">
        <v>4000000</v>
      </c>
      <c r="E2521" s="193">
        <v>4000000</v>
      </c>
      <c r="F2521" s="193">
        <v>4000000</v>
      </c>
      <c r="G2521" s="169">
        <v>355090</v>
      </c>
      <c r="H2521" s="169">
        <v>366650</v>
      </c>
      <c r="I2521" s="169">
        <v>219140</v>
      </c>
      <c r="J2521" s="169">
        <v>291640</v>
      </c>
      <c r="K2521" s="169">
        <v>381390</v>
      </c>
      <c r="L2521" s="169">
        <v>410306</v>
      </c>
      <c r="M2521" s="169">
        <v>156830</v>
      </c>
      <c r="N2521" s="169">
        <v>459004</v>
      </c>
      <c r="O2521" s="169">
        <v>379390</v>
      </c>
      <c r="P2521" s="169">
        <v>490530</v>
      </c>
      <c r="Q2521" s="169">
        <v>136040</v>
      </c>
      <c r="R2521" s="169">
        <v>0</v>
      </c>
    </row>
    <row r="2522" spans="1:18" x14ac:dyDescent="0.25">
      <c r="A2522" s="116" t="s">
        <v>196</v>
      </c>
      <c r="B2522" s="116">
        <v>2020</v>
      </c>
      <c r="C2522" s="116" t="s">
        <v>195</v>
      </c>
      <c r="D2522" s="169">
        <v>65800000</v>
      </c>
      <c r="E2522" s="193">
        <v>65800000</v>
      </c>
      <c r="F2522" s="193">
        <v>65800000</v>
      </c>
      <c r="G2522" s="169">
        <v>8384709.5</v>
      </c>
      <c r="H2522" s="169">
        <v>7366970.5</v>
      </c>
      <c r="I2522" s="169">
        <v>6505861</v>
      </c>
      <c r="J2522" s="169">
        <v>4980776.5</v>
      </c>
      <c r="K2522" s="169">
        <v>5816038</v>
      </c>
      <c r="L2522" s="169">
        <v>5929613.5</v>
      </c>
      <c r="M2522" s="169">
        <v>6999366</v>
      </c>
      <c r="N2522" s="169">
        <v>6142691</v>
      </c>
      <c r="O2522" s="169">
        <v>6770926.5</v>
      </c>
      <c r="P2522" s="169">
        <v>5974982.5</v>
      </c>
      <c r="Q2522" s="169">
        <v>5429631</v>
      </c>
      <c r="R2522" s="169">
        <v>0</v>
      </c>
    </row>
    <row r="2523" spans="1:18" x14ac:dyDescent="0.25">
      <c r="A2523" s="116" t="s">
        <v>194</v>
      </c>
      <c r="B2523" s="116">
        <v>2020</v>
      </c>
      <c r="C2523" s="116" t="s">
        <v>193</v>
      </c>
      <c r="D2523" s="169">
        <v>42600000</v>
      </c>
      <c r="E2523" s="193">
        <v>42600000</v>
      </c>
      <c r="F2523" s="193">
        <v>42600000</v>
      </c>
      <c r="G2523" s="169">
        <v>2588122.2000000002</v>
      </c>
      <c r="H2523" s="169">
        <v>3265814</v>
      </c>
      <c r="I2523" s="169">
        <v>2932950</v>
      </c>
      <c r="J2523" s="169">
        <v>755166</v>
      </c>
      <c r="K2523" s="169">
        <v>2533604</v>
      </c>
      <c r="L2523" s="169">
        <v>4105511</v>
      </c>
      <c r="M2523" s="169">
        <v>4233153.5</v>
      </c>
      <c r="N2523" s="169">
        <v>1896792</v>
      </c>
      <c r="O2523" s="169">
        <v>2983214</v>
      </c>
      <c r="P2523" s="169">
        <v>2178963</v>
      </c>
      <c r="Q2523" s="169">
        <v>1419136</v>
      </c>
      <c r="R2523" s="169">
        <v>0</v>
      </c>
    </row>
    <row r="2524" spans="1:18" x14ac:dyDescent="0.25">
      <c r="A2524" s="116" t="s">
        <v>191</v>
      </c>
      <c r="B2524" s="116">
        <v>2020</v>
      </c>
      <c r="C2524" s="116" t="s">
        <v>190</v>
      </c>
      <c r="D2524" s="169">
        <v>6282454875</v>
      </c>
      <c r="E2524" s="193">
        <v>6282454875</v>
      </c>
      <c r="F2524" s="193">
        <v>6282454875</v>
      </c>
      <c r="G2524" s="169">
        <v>0</v>
      </c>
      <c r="H2524" s="169">
        <v>0</v>
      </c>
      <c r="I2524" s="169">
        <v>0</v>
      </c>
      <c r="J2524" s="169">
        <v>2611103330.6599998</v>
      </c>
      <c r="K2524" s="169">
        <v>0</v>
      </c>
      <c r="L2524" s="169">
        <v>571730182.02999997</v>
      </c>
      <c r="M2524" s="169">
        <v>336960273.95999998</v>
      </c>
      <c r="N2524" s="169">
        <v>0</v>
      </c>
      <c r="O2524" s="169">
        <v>0</v>
      </c>
      <c r="P2524" s="169">
        <v>915454855.61000001</v>
      </c>
      <c r="Q2524" s="169">
        <v>0</v>
      </c>
      <c r="R2524" s="169">
        <v>0</v>
      </c>
    </row>
    <row r="2525" spans="1:18" x14ac:dyDescent="0.25">
      <c r="A2525" s="116" t="s">
        <v>189</v>
      </c>
      <c r="B2525" s="116">
        <v>2020</v>
      </c>
      <c r="C2525" s="116" t="s">
        <v>188</v>
      </c>
      <c r="D2525" s="169">
        <v>319524539</v>
      </c>
      <c r="E2525" s="193">
        <v>319524539</v>
      </c>
      <c r="F2525" s="193">
        <v>319524539</v>
      </c>
      <c r="G2525" s="169">
        <v>0</v>
      </c>
      <c r="H2525" s="169">
        <v>0</v>
      </c>
      <c r="I2525" s="169">
        <v>0</v>
      </c>
      <c r="J2525" s="169">
        <v>151702662.99000001</v>
      </c>
      <c r="K2525" s="169">
        <v>0</v>
      </c>
      <c r="L2525" s="169">
        <v>860910.48</v>
      </c>
      <c r="M2525" s="169">
        <v>9530064.6999999993</v>
      </c>
      <c r="N2525" s="169">
        <v>0</v>
      </c>
      <c r="O2525" s="169">
        <v>0</v>
      </c>
      <c r="P2525" s="169">
        <v>0</v>
      </c>
      <c r="Q2525" s="169">
        <v>0</v>
      </c>
      <c r="R2525" s="169">
        <v>0</v>
      </c>
    </row>
    <row r="2526" spans="1:18" x14ac:dyDescent="0.25">
      <c r="A2526" s="116" t="s">
        <v>187</v>
      </c>
      <c r="B2526" s="116">
        <v>2020</v>
      </c>
      <c r="C2526" s="116" t="s">
        <v>186</v>
      </c>
      <c r="D2526" s="169">
        <v>10000000</v>
      </c>
      <c r="E2526" s="193">
        <v>10000000</v>
      </c>
      <c r="F2526" s="193">
        <v>10000000</v>
      </c>
      <c r="G2526" s="169">
        <v>575000</v>
      </c>
      <c r="H2526" s="169">
        <v>1028000</v>
      </c>
      <c r="I2526" s="169">
        <v>2021000</v>
      </c>
      <c r="J2526" s="169">
        <v>719000</v>
      </c>
      <c r="K2526" s="169">
        <v>1011000</v>
      </c>
      <c r="L2526" s="169">
        <v>1686000</v>
      </c>
      <c r="M2526" s="169">
        <v>818000</v>
      </c>
      <c r="N2526" s="169">
        <v>1428000</v>
      </c>
      <c r="O2526" s="169">
        <v>1483000</v>
      </c>
      <c r="P2526" s="169">
        <v>1256000</v>
      </c>
      <c r="Q2526" s="169">
        <v>1332000</v>
      </c>
      <c r="R2526" s="169">
        <v>0</v>
      </c>
    </row>
    <row r="2527" spans="1:18" x14ac:dyDescent="0.25">
      <c r="A2527" s="116" t="s">
        <v>185</v>
      </c>
      <c r="B2527" s="116">
        <v>2020</v>
      </c>
      <c r="C2527" s="116" t="s">
        <v>184</v>
      </c>
      <c r="D2527" s="169">
        <v>20000000</v>
      </c>
      <c r="E2527" s="193">
        <v>20000000</v>
      </c>
      <c r="F2527" s="193">
        <v>20000000</v>
      </c>
      <c r="G2527" s="169">
        <v>258000</v>
      </c>
      <c r="H2527" s="169">
        <v>1104000</v>
      </c>
      <c r="I2527" s="169">
        <v>3968000</v>
      </c>
      <c r="J2527" s="169">
        <v>9000</v>
      </c>
      <c r="K2527" s="169">
        <v>3122000</v>
      </c>
      <c r="L2527" s="169">
        <v>231000</v>
      </c>
      <c r="M2527" s="169">
        <v>-51000</v>
      </c>
      <c r="N2527" s="169">
        <v>1140000</v>
      </c>
      <c r="O2527" s="169">
        <v>611000</v>
      </c>
      <c r="P2527" s="169">
        <v>1551000</v>
      </c>
      <c r="Q2527" s="169">
        <v>3860000</v>
      </c>
      <c r="R2527" s="169">
        <v>0</v>
      </c>
    </row>
    <row r="2528" spans="1:18" x14ac:dyDescent="0.25">
      <c r="A2528" s="116" t="s">
        <v>183</v>
      </c>
      <c r="B2528" s="116">
        <v>2020</v>
      </c>
      <c r="C2528" s="116" t="s">
        <v>182</v>
      </c>
      <c r="D2528" s="169">
        <v>832866961</v>
      </c>
      <c r="E2528" s="193">
        <v>832866961</v>
      </c>
      <c r="F2528" s="193">
        <v>832866961</v>
      </c>
      <c r="G2528" s="169">
        <v>1338601</v>
      </c>
      <c r="H2528" s="169">
        <v>0</v>
      </c>
      <c r="I2528" s="169">
        <v>0</v>
      </c>
      <c r="J2528" s="169">
        <v>601452994.88999999</v>
      </c>
      <c r="K2528" s="169">
        <v>0</v>
      </c>
      <c r="L2528" s="169">
        <v>0</v>
      </c>
      <c r="M2528" s="169">
        <v>0</v>
      </c>
      <c r="N2528" s="169">
        <v>0</v>
      </c>
      <c r="O2528" s="169">
        <v>0</v>
      </c>
      <c r="P2528" s="169">
        <v>0</v>
      </c>
      <c r="Q2528" s="169">
        <v>0</v>
      </c>
      <c r="R2528" s="169">
        <v>0</v>
      </c>
    </row>
    <row r="2529" spans="1:18" x14ac:dyDescent="0.25">
      <c r="A2529" s="116" t="s">
        <v>181</v>
      </c>
      <c r="B2529" s="116">
        <v>2020</v>
      </c>
      <c r="C2529" s="116" t="s">
        <v>179</v>
      </c>
      <c r="D2529" s="169">
        <v>18500000</v>
      </c>
      <c r="E2529" s="193">
        <v>18500000</v>
      </c>
      <c r="F2529" s="193">
        <v>18500000</v>
      </c>
      <c r="G2529" s="169">
        <v>1789845</v>
      </c>
      <c r="H2529" s="169">
        <v>1509184</v>
      </c>
      <c r="I2529" s="169">
        <v>3728400.5</v>
      </c>
      <c r="J2529" s="169">
        <v>1496075</v>
      </c>
      <c r="K2529" s="169">
        <v>1648835</v>
      </c>
      <c r="L2529" s="169">
        <v>2194578.75</v>
      </c>
      <c r="M2529" s="169">
        <v>2265121.5</v>
      </c>
      <c r="N2529" s="169">
        <v>149600</v>
      </c>
      <c r="O2529" s="169">
        <v>753800</v>
      </c>
      <c r="P2529" s="169">
        <v>106800</v>
      </c>
      <c r="Q2529" s="169">
        <v>77550</v>
      </c>
      <c r="R2529" s="169">
        <v>0</v>
      </c>
    </row>
    <row r="2530" spans="1:18" x14ac:dyDescent="0.25">
      <c r="A2530" s="180" t="s">
        <v>178</v>
      </c>
      <c r="B2530" s="116">
        <v>2020</v>
      </c>
      <c r="C2530" s="116" t="s">
        <v>177</v>
      </c>
      <c r="D2530" s="169">
        <v>21400000000</v>
      </c>
      <c r="E2530" s="193">
        <v>12644845739</v>
      </c>
      <c r="F2530" s="193">
        <v>12644845739</v>
      </c>
      <c r="G2530" s="169">
        <v>0</v>
      </c>
      <c r="H2530" s="169">
        <v>0</v>
      </c>
      <c r="I2530" s="169">
        <v>12644845739.65</v>
      </c>
      <c r="J2530" s="169">
        <v>0</v>
      </c>
      <c r="K2530" s="169">
        <v>0</v>
      </c>
      <c r="L2530" s="169">
        <v>0</v>
      </c>
      <c r="M2530" s="169">
        <v>0</v>
      </c>
      <c r="N2530" s="169">
        <v>0</v>
      </c>
      <c r="O2530" s="169">
        <v>0</v>
      </c>
      <c r="P2530" s="169">
        <v>0</v>
      </c>
      <c r="Q2530" s="169">
        <v>0</v>
      </c>
      <c r="R2530" s="169">
        <v>0</v>
      </c>
    </row>
    <row r="2531" spans="1:18" x14ac:dyDescent="0.25">
      <c r="A2531" s="116" t="s">
        <v>855</v>
      </c>
      <c r="B2531" s="116">
        <v>2020</v>
      </c>
      <c r="C2531" s="116" t="s">
        <v>512</v>
      </c>
      <c r="D2531" s="169">
        <v>0</v>
      </c>
      <c r="E2531" s="193">
        <v>0</v>
      </c>
      <c r="F2531" s="193">
        <v>0</v>
      </c>
      <c r="G2531" s="169">
        <v>1563706</v>
      </c>
      <c r="H2531" s="169">
        <v>1563706</v>
      </c>
      <c r="I2531" s="169">
        <v>1563706</v>
      </c>
      <c r="J2531" s="169">
        <v>0</v>
      </c>
      <c r="K2531" s="169">
        <v>0</v>
      </c>
      <c r="L2531" s="169">
        <v>0</v>
      </c>
      <c r="M2531" s="169">
        <v>0</v>
      </c>
      <c r="N2531" s="169">
        <v>0</v>
      </c>
      <c r="O2531" s="169">
        <v>0</v>
      </c>
      <c r="P2531" s="169">
        <v>0</v>
      </c>
      <c r="Q2531" s="169">
        <v>0</v>
      </c>
      <c r="R2531" s="169">
        <v>0</v>
      </c>
    </row>
    <row r="2532" spans="1:18" x14ac:dyDescent="0.25">
      <c r="A2532" s="116" t="s">
        <v>176</v>
      </c>
      <c r="B2532" s="116">
        <v>2020</v>
      </c>
      <c r="C2532" s="116" t="s">
        <v>175</v>
      </c>
      <c r="D2532" s="169">
        <v>380000000</v>
      </c>
      <c r="E2532" s="193">
        <v>380000000</v>
      </c>
      <c r="F2532" s="193">
        <v>380000000</v>
      </c>
      <c r="G2532" s="169">
        <v>10851562.1</v>
      </c>
      <c r="H2532" s="169">
        <v>7896365.1399999997</v>
      </c>
      <c r="I2532" s="169">
        <v>4683876.28</v>
      </c>
      <c r="J2532" s="169">
        <v>11900800.65</v>
      </c>
      <c r="K2532" s="169">
        <v>3900790.79</v>
      </c>
      <c r="L2532" s="169">
        <v>47581927.460000001</v>
      </c>
      <c r="M2532" s="169">
        <v>8974103.5999999996</v>
      </c>
      <c r="N2532" s="169">
        <v>3031887.01</v>
      </c>
      <c r="O2532" s="169">
        <v>2999682.1</v>
      </c>
      <c r="P2532" s="169">
        <v>4661606.88</v>
      </c>
      <c r="Q2532" s="169">
        <v>1600276.76</v>
      </c>
      <c r="R2532" s="169">
        <v>0</v>
      </c>
    </row>
    <row r="2533" spans="1:18" x14ac:dyDescent="0.25">
      <c r="A2533" s="116" t="s">
        <v>174</v>
      </c>
      <c r="B2533" s="116">
        <v>2020</v>
      </c>
      <c r="C2533" s="116" t="s">
        <v>173</v>
      </c>
      <c r="D2533" s="169">
        <v>400000000</v>
      </c>
      <c r="E2533" s="193">
        <v>400000000</v>
      </c>
      <c r="F2533" s="193">
        <v>400000000</v>
      </c>
      <c r="G2533" s="169">
        <v>28153994.079999998</v>
      </c>
      <c r="H2533" s="169">
        <v>0</v>
      </c>
      <c r="I2533" s="169">
        <v>0</v>
      </c>
      <c r="J2533" s="169">
        <v>0</v>
      </c>
      <c r="K2533" s="169">
        <v>0</v>
      </c>
      <c r="L2533" s="169">
        <v>8512704.0999999996</v>
      </c>
      <c r="M2533" s="169">
        <v>160906656.72999999</v>
      </c>
      <c r="N2533" s="169">
        <v>100000</v>
      </c>
      <c r="O2533" s="169">
        <v>0</v>
      </c>
      <c r="P2533" s="169">
        <v>0</v>
      </c>
      <c r="Q2533" s="169">
        <v>0</v>
      </c>
      <c r="R2533" s="169">
        <v>0</v>
      </c>
    </row>
    <row r="2534" spans="1:18" x14ac:dyDescent="0.25">
      <c r="A2534" s="116" t="s">
        <v>172</v>
      </c>
      <c r="B2534" s="116">
        <v>2020</v>
      </c>
      <c r="C2534" s="116" t="s">
        <v>171</v>
      </c>
      <c r="D2534" s="169">
        <v>5443000000</v>
      </c>
      <c r="E2534" s="193">
        <v>5443000000</v>
      </c>
      <c r="F2534" s="193">
        <v>5443000000</v>
      </c>
      <c r="G2534" s="169">
        <v>497879383</v>
      </c>
      <c r="H2534" s="169">
        <v>276724614</v>
      </c>
      <c r="I2534" s="169">
        <v>358673011</v>
      </c>
      <c r="J2534" s="169">
        <v>191365411.97</v>
      </c>
      <c r="K2534" s="169">
        <v>422018728</v>
      </c>
      <c r="L2534" s="169">
        <v>365311135</v>
      </c>
      <c r="M2534" s="169">
        <v>806894642.01999998</v>
      </c>
      <c r="N2534" s="169">
        <v>288639557.5</v>
      </c>
      <c r="O2534" s="169">
        <v>317416278.5</v>
      </c>
      <c r="P2534" s="169">
        <v>437959875</v>
      </c>
      <c r="Q2534" s="169">
        <v>293455800</v>
      </c>
      <c r="R2534" s="169">
        <v>3009442</v>
      </c>
    </row>
    <row r="2535" spans="1:18" x14ac:dyDescent="0.25">
      <c r="A2535" s="116" t="s">
        <v>170</v>
      </c>
      <c r="B2535" s="116">
        <v>2020</v>
      </c>
      <c r="C2535" s="116" t="s">
        <v>168</v>
      </c>
      <c r="D2535" s="169">
        <v>1800000000</v>
      </c>
      <c r="E2535" s="193">
        <v>1800000000</v>
      </c>
      <c r="F2535" s="193">
        <v>1800000000</v>
      </c>
      <c r="G2535" s="169">
        <v>73136403.760000005</v>
      </c>
      <c r="H2535" s="169">
        <v>105306259.47</v>
      </c>
      <c r="I2535" s="169">
        <v>272058316.97000003</v>
      </c>
      <c r="J2535" s="169">
        <v>142502709.50999999</v>
      </c>
      <c r="K2535" s="169">
        <v>97973373.430000007</v>
      </c>
      <c r="L2535" s="169">
        <v>46293236.590000004</v>
      </c>
      <c r="M2535" s="169">
        <v>187750298.38</v>
      </c>
      <c r="N2535" s="169">
        <v>179228711.77000001</v>
      </c>
      <c r="O2535" s="169">
        <v>123047077.48</v>
      </c>
      <c r="P2535" s="169">
        <v>214787903.69999999</v>
      </c>
      <c r="Q2535" s="169">
        <v>7306250.3799999999</v>
      </c>
      <c r="R2535" s="169">
        <v>0</v>
      </c>
    </row>
    <row r="2536" spans="1:18" x14ac:dyDescent="0.25">
      <c r="A2536" s="116" t="s">
        <v>167</v>
      </c>
      <c r="B2536" s="116">
        <v>2020</v>
      </c>
      <c r="C2536" s="116" t="s">
        <v>166</v>
      </c>
      <c r="D2536" s="169">
        <v>6860000000</v>
      </c>
      <c r="E2536" s="193">
        <v>6860000000</v>
      </c>
      <c r="F2536" s="193">
        <v>6860000000</v>
      </c>
      <c r="G2536" s="169">
        <v>366309751</v>
      </c>
      <c r="H2536" s="169">
        <v>339751277</v>
      </c>
      <c r="I2536" s="169">
        <v>320599201</v>
      </c>
      <c r="J2536" s="169">
        <v>152231400</v>
      </c>
      <c r="K2536" s="169">
        <v>273171548</v>
      </c>
      <c r="L2536" s="169">
        <v>304730863</v>
      </c>
      <c r="M2536" s="169">
        <v>371832023</v>
      </c>
      <c r="N2536" s="169">
        <v>289838590</v>
      </c>
      <c r="O2536" s="169">
        <v>473173367.77999997</v>
      </c>
      <c r="P2536" s="169">
        <v>723022466</v>
      </c>
      <c r="Q2536" s="169">
        <v>547852357</v>
      </c>
      <c r="R2536" s="169">
        <v>46444397</v>
      </c>
    </row>
    <row r="2537" spans="1:18" x14ac:dyDescent="0.25">
      <c r="A2537" s="116" t="s">
        <v>165</v>
      </c>
      <c r="B2537" s="116">
        <v>2020</v>
      </c>
      <c r="C2537" s="116" t="s">
        <v>164</v>
      </c>
      <c r="D2537" s="169">
        <v>100000000</v>
      </c>
      <c r="E2537" s="193">
        <v>100000000</v>
      </c>
      <c r="F2537" s="193">
        <v>100000000</v>
      </c>
      <c r="G2537" s="169">
        <v>0</v>
      </c>
      <c r="H2537" s="169">
        <v>0</v>
      </c>
      <c r="I2537" s="169">
        <v>0</v>
      </c>
      <c r="J2537" s="169">
        <v>47800</v>
      </c>
      <c r="K2537" s="169">
        <v>0</v>
      </c>
      <c r="L2537" s="169">
        <v>45313719.049999997</v>
      </c>
      <c r="M2537" s="169">
        <v>23197421.66</v>
      </c>
      <c r="N2537" s="169">
        <v>56730.59</v>
      </c>
      <c r="O2537" s="169">
        <v>11517626.050000001</v>
      </c>
      <c r="P2537" s="169">
        <v>2319929</v>
      </c>
      <c r="Q2537" s="169">
        <v>3740674.8</v>
      </c>
      <c r="R2537" s="169">
        <v>0</v>
      </c>
    </row>
    <row r="2538" spans="1:18" x14ac:dyDescent="0.25">
      <c r="A2538" s="116" t="s">
        <v>445</v>
      </c>
      <c r="B2538" s="116">
        <v>2020</v>
      </c>
      <c r="C2538" s="116" t="s">
        <v>444</v>
      </c>
      <c r="D2538" s="169">
        <v>0</v>
      </c>
      <c r="E2538" s="193">
        <v>0</v>
      </c>
      <c r="F2538" s="193">
        <v>0</v>
      </c>
      <c r="G2538" s="169">
        <v>0</v>
      </c>
      <c r="H2538" s="169">
        <v>0</v>
      </c>
      <c r="I2538" s="169">
        <v>3016500</v>
      </c>
      <c r="J2538" s="169">
        <v>20512784.640000001</v>
      </c>
      <c r="K2538" s="169">
        <v>0</v>
      </c>
      <c r="L2538" s="169">
        <v>0</v>
      </c>
      <c r="M2538" s="169">
        <v>0</v>
      </c>
      <c r="N2538" s="169">
        <v>63240000</v>
      </c>
      <c r="O2538" s="169">
        <v>7988000</v>
      </c>
      <c r="P2538" s="169">
        <v>0</v>
      </c>
      <c r="Q2538" s="169">
        <v>0</v>
      </c>
      <c r="R2538" s="169">
        <v>0</v>
      </c>
    </row>
    <row r="2539" spans="1:18" x14ac:dyDescent="0.25">
      <c r="A2539" s="116" t="s">
        <v>163</v>
      </c>
      <c r="B2539" s="116">
        <v>2020</v>
      </c>
      <c r="C2539" s="116" t="s">
        <v>162</v>
      </c>
      <c r="D2539" s="169">
        <v>175000000</v>
      </c>
      <c r="E2539" s="193">
        <v>175000000</v>
      </c>
      <c r="F2539" s="193">
        <v>175000000</v>
      </c>
      <c r="G2539" s="169">
        <v>18504500</v>
      </c>
      <c r="H2539" s="169">
        <v>5395500</v>
      </c>
      <c r="I2539" s="169">
        <v>18199688.170000002</v>
      </c>
      <c r="J2539" s="169">
        <v>10358500</v>
      </c>
      <c r="K2539" s="169">
        <v>15783500</v>
      </c>
      <c r="L2539" s="169">
        <v>20719500</v>
      </c>
      <c r="M2539" s="169">
        <v>30684000</v>
      </c>
      <c r="N2539" s="169">
        <v>45843500</v>
      </c>
      <c r="O2539" s="169">
        <v>28472000</v>
      </c>
      <c r="P2539" s="169">
        <v>12769500</v>
      </c>
      <c r="Q2539" s="169">
        <v>20981500</v>
      </c>
      <c r="R2539" s="169">
        <v>0</v>
      </c>
    </row>
    <row r="2540" spans="1:18" x14ac:dyDescent="0.25">
      <c r="A2540" s="116" t="s">
        <v>161</v>
      </c>
      <c r="B2540" s="116">
        <v>2020</v>
      </c>
      <c r="C2540" s="116" t="s">
        <v>160</v>
      </c>
      <c r="D2540" s="169">
        <v>365300000</v>
      </c>
      <c r="E2540" s="193">
        <v>365300000</v>
      </c>
      <c r="F2540" s="193">
        <v>365300000</v>
      </c>
      <c r="G2540" s="169">
        <v>6385268.29</v>
      </c>
      <c r="H2540" s="169">
        <v>3448020.09</v>
      </c>
      <c r="I2540" s="169">
        <v>6197290.8300000001</v>
      </c>
      <c r="J2540" s="169">
        <v>31192064.059999999</v>
      </c>
      <c r="K2540" s="169">
        <v>15252275.130000001</v>
      </c>
      <c r="L2540" s="169">
        <v>7318057.8399999999</v>
      </c>
      <c r="M2540" s="169">
        <v>13145003.66</v>
      </c>
      <c r="N2540" s="169">
        <v>9927738.8100000005</v>
      </c>
      <c r="O2540" s="169">
        <v>14201154.35</v>
      </c>
      <c r="P2540" s="169">
        <v>-3665728.13</v>
      </c>
      <c r="Q2540" s="169">
        <v>4544360.0199999996</v>
      </c>
      <c r="R2540" s="169">
        <v>209654.12</v>
      </c>
    </row>
    <row r="2541" spans="1:18" x14ac:dyDescent="0.25">
      <c r="A2541" s="116" t="s">
        <v>159</v>
      </c>
      <c r="B2541" s="116">
        <v>2020</v>
      </c>
      <c r="C2541" s="116" t="s">
        <v>158</v>
      </c>
      <c r="D2541" s="169">
        <v>103000000</v>
      </c>
      <c r="E2541" s="193">
        <v>103000000</v>
      </c>
      <c r="F2541" s="193">
        <v>103000000</v>
      </c>
      <c r="G2541" s="169">
        <v>342200529.60000002</v>
      </c>
      <c r="H2541" s="169">
        <v>35254431.420000002</v>
      </c>
      <c r="I2541" s="169">
        <v>0</v>
      </c>
      <c r="J2541" s="169">
        <v>0</v>
      </c>
      <c r="K2541" s="169">
        <v>0</v>
      </c>
      <c r="L2541" s="169">
        <v>68874986.370000005</v>
      </c>
      <c r="M2541" s="169">
        <v>0</v>
      </c>
      <c r="N2541" s="169">
        <v>0</v>
      </c>
      <c r="O2541" s="169">
        <v>2155000</v>
      </c>
      <c r="P2541" s="169">
        <v>32986527.289999999</v>
      </c>
      <c r="Q2541" s="169">
        <v>0</v>
      </c>
      <c r="R2541" s="169">
        <v>0</v>
      </c>
    </row>
    <row r="2542" spans="1:18" x14ac:dyDescent="0.25">
      <c r="A2542" s="116" t="s">
        <v>157</v>
      </c>
      <c r="B2542" s="116">
        <v>2020</v>
      </c>
      <c r="C2542" s="116" t="s">
        <v>156</v>
      </c>
      <c r="D2542" s="169">
        <v>35700000</v>
      </c>
      <c r="E2542" s="193">
        <v>35700000</v>
      </c>
      <c r="F2542" s="193">
        <v>35700000</v>
      </c>
      <c r="G2542" s="169">
        <v>0</v>
      </c>
      <c r="H2542" s="169">
        <v>0</v>
      </c>
      <c r="I2542" s="169">
        <v>0</v>
      </c>
      <c r="J2542" s="169">
        <v>7517000</v>
      </c>
      <c r="K2542" s="169">
        <v>0</v>
      </c>
      <c r="L2542" s="169">
        <v>0</v>
      </c>
      <c r="M2542" s="169">
        <v>0</v>
      </c>
      <c r="N2542" s="169">
        <v>0</v>
      </c>
      <c r="O2542" s="169">
        <v>0</v>
      </c>
      <c r="P2542" s="169">
        <v>0</v>
      </c>
      <c r="Q2542" s="169">
        <v>0</v>
      </c>
      <c r="R2542" s="169">
        <v>0</v>
      </c>
    </row>
    <row r="2543" spans="1:18" x14ac:dyDescent="0.25">
      <c r="A2543" s="116" t="s">
        <v>155</v>
      </c>
      <c r="B2543" s="116">
        <v>2020</v>
      </c>
      <c r="C2543" s="116" t="s">
        <v>154</v>
      </c>
      <c r="D2543" s="169">
        <v>0</v>
      </c>
      <c r="E2543" s="193">
        <v>0</v>
      </c>
      <c r="F2543" s="193">
        <v>0</v>
      </c>
      <c r="G2543" s="169">
        <v>481578.07</v>
      </c>
      <c r="H2543" s="169">
        <v>0</v>
      </c>
      <c r="I2543" s="169">
        <v>0</v>
      </c>
      <c r="J2543" s="169">
        <v>0</v>
      </c>
      <c r="K2543" s="169">
        <v>0</v>
      </c>
      <c r="L2543" s="169">
        <v>0</v>
      </c>
      <c r="M2543" s="169">
        <v>0</v>
      </c>
      <c r="N2543" s="169">
        <v>66930</v>
      </c>
      <c r="O2543" s="169">
        <v>0</v>
      </c>
      <c r="P2543" s="169">
        <v>0</v>
      </c>
      <c r="Q2543" s="169">
        <v>0</v>
      </c>
      <c r="R2543" s="169">
        <v>0</v>
      </c>
    </row>
    <row r="2544" spans="1:18" x14ac:dyDescent="0.25">
      <c r="A2544" s="116" t="s">
        <v>1324</v>
      </c>
      <c r="B2544" s="116">
        <v>2020</v>
      </c>
      <c r="C2544" s="116" t="s">
        <v>1325</v>
      </c>
      <c r="D2544" s="169">
        <v>0</v>
      </c>
      <c r="E2544" s="193">
        <v>0</v>
      </c>
      <c r="F2544" s="193">
        <v>0</v>
      </c>
      <c r="G2544" s="169">
        <v>0</v>
      </c>
      <c r="H2544" s="169">
        <v>0</v>
      </c>
      <c r="I2544" s="169">
        <v>0</v>
      </c>
      <c r="J2544" s="169">
        <v>0</v>
      </c>
      <c r="K2544" s="169">
        <v>3613600</v>
      </c>
      <c r="L2544" s="169">
        <v>1857200</v>
      </c>
      <c r="M2544" s="169">
        <v>7150900</v>
      </c>
      <c r="N2544" s="169">
        <v>17617400</v>
      </c>
      <c r="O2544" s="169">
        <v>9261400</v>
      </c>
      <c r="P2544" s="169">
        <v>14329400</v>
      </c>
      <c r="Q2544" s="169">
        <v>8356400</v>
      </c>
      <c r="R2544" s="169">
        <v>0</v>
      </c>
    </row>
    <row r="2545" spans="1:18" x14ac:dyDescent="0.25">
      <c r="A2545" s="116" t="s">
        <v>153</v>
      </c>
      <c r="B2545" s="116">
        <v>2020</v>
      </c>
      <c r="C2545" s="116" t="s">
        <v>151</v>
      </c>
      <c r="D2545" s="169">
        <v>206000000</v>
      </c>
      <c r="E2545" s="193">
        <v>206000000</v>
      </c>
      <c r="F2545" s="193">
        <v>206000000</v>
      </c>
      <c r="G2545" s="169">
        <v>1006429.9</v>
      </c>
      <c r="H2545" s="169">
        <v>121963.5</v>
      </c>
      <c r="I2545" s="169">
        <v>3532552</v>
      </c>
      <c r="J2545" s="169">
        <v>7617867</v>
      </c>
      <c r="K2545" s="169">
        <v>3910762.13</v>
      </c>
      <c r="L2545" s="169">
        <v>1198060</v>
      </c>
      <c r="M2545" s="169">
        <v>1168249.7</v>
      </c>
      <c r="N2545" s="169">
        <v>476938.25</v>
      </c>
      <c r="O2545" s="169">
        <v>575516.76</v>
      </c>
      <c r="P2545" s="169">
        <v>6860256</v>
      </c>
      <c r="Q2545" s="169">
        <v>0</v>
      </c>
      <c r="R2545" s="169">
        <v>0</v>
      </c>
    </row>
    <row r="2546" spans="1:18" x14ac:dyDescent="0.25">
      <c r="A2546" s="116" t="s">
        <v>150</v>
      </c>
      <c r="B2546" s="116">
        <v>2020</v>
      </c>
      <c r="C2546" s="116" t="s">
        <v>149</v>
      </c>
      <c r="D2546" s="169">
        <v>26000000</v>
      </c>
      <c r="E2546" s="193">
        <v>26000000</v>
      </c>
      <c r="F2546" s="193">
        <v>26000000</v>
      </c>
      <c r="G2546" s="169">
        <v>31495743.350000001</v>
      </c>
      <c r="H2546" s="169">
        <v>0</v>
      </c>
      <c r="I2546" s="169">
        <v>3612019.69</v>
      </c>
      <c r="J2546" s="169">
        <v>31571897.23</v>
      </c>
      <c r="K2546" s="169">
        <v>0</v>
      </c>
      <c r="L2546" s="169">
        <v>0</v>
      </c>
      <c r="M2546" s="169">
        <v>4429502.1900000004</v>
      </c>
      <c r="N2546" s="169">
        <v>850000</v>
      </c>
      <c r="O2546" s="169">
        <v>45689941.609999999</v>
      </c>
      <c r="P2546" s="169">
        <v>13251142.82</v>
      </c>
      <c r="Q2546" s="169">
        <v>0</v>
      </c>
      <c r="R2546" s="169">
        <v>0</v>
      </c>
    </row>
    <row r="2547" spans="1:18" x14ac:dyDescent="0.25">
      <c r="A2547" s="116" t="s">
        <v>147</v>
      </c>
      <c r="B2547" s="116">
        <v>2020</v>
      </c>
      <c r="C2547" s="116" t="s">
        <v>146</v>
      </c>
      <c r="D2547" s="169">
        <v>278000000</v>
      </c>
      <c r="E2547" s="193">
        <v>278000000</v>
      </c>
      <c r="F2547" s="193">
        <v>278000000</v>
      </c>
      <c r="G2547" s="169">
        <v>56617812.840000004</v>
      </c>
      <c r="H2547" s="169">
        <v>39519679.130000003</v>
      </c>
      <c r="I2547" s="169">
        <v>50441389.369999997</v>
      </c>
      <c r="J2547" s="169">
        <v>29166368.890000001</v>
      </c>
      <c r="K2547" s="169">
        <v>47054156.770000003</v>
      </c>
      <c r="L2547" s="169">
        <v>54423496.229999997</v>
      </c>
      <c r="M2547" s="169">
        <v>50016504.850000001</v>
      </c>
      <c r="N2547" s="169">
        <v>47287685.600000001</v>
      </c>
      <c r="O2547" s="169">
        <v>52666996.590000004</v>
      </c>
      <c r="P2547" s="169">
        <v>44759998.060000002</v>
      </c>
      <c r="Q2547" s="169">
        <v>55191770.039999999</v>
      </c>
      <c r="R2547" s="169">
        <v>8241.5400000000009</v>
      </c>
    </row>
    <row r="2548" spans="1:18" x14ac:dyDescent="0.25">
      <c r="A2548" s="116" t="s">
        <v>144</v>
      </c>
      <c r="B2548" s="116">
        <v>2020</v>
      </c>
      <c r="C2548" s="116" t="s">
        <v>143</v>
      </c>
      <c r="D2548" s="169">
        <v>5150000000</v>
      </c>
      <c r="E2548" s="193">
        <v>5150000000</v>
      </c>
      <c r="F2548" s="193">
        <v>5150000000</v>
      </c>
      <c r="G2548" s="169">
        <v>218143820.03</v>
      </c>
      <c r="H2548" s="169">
        <v>325251835.87</v>
      </c>
      <c r="I2548" s="169">
        <v>128585912.7</v>
      </c>
      <c r="J2548" s="169">
        <v>184896787.49000001</v>
      </c>
      <c r="K2548" s="169">
        <v>466960631.06999999</v>
      </c>
      <c r="L2548" s="169">
        <v>297850059.77999997</v>
      </c>
      <c r="M2548" s="169">
        <v>229995962.63999999</v>
      </c>
      <c r="N2548" s="169">
        <v>305321163.97000003</v>
      </c>
      <c r="O2548" s="169">
        <v>254987419.05000001</v>
      </c>
      <c r="P2548" s="169">
        <v>3086620224.54</v>
      </c>
      <c r="Q2548" s="169">
        <v>71605330.519999996</v>
      </c>
      <c r="R2548" s="169">
        <v>0</v>
      </c>
    </row>
    <row r="2549" spans="1:18" x14ac:dyDescent="0.25">
      <c r="A2549" s="116" t="s">
        <v>1344</v>
      </c>
      <c r="B2549" s="116">
        <v>2020</v>
      </c>
      <c r="C2549" s="116" t="s">
        <v>1345</v>
      </c>
      <c r="D2549" s="169">
        <v>0</v>
      </c>
      <c r="E2549" s="189">
        <v>3400000</v>
      </c>
      <c r="F2549" s="189">
        <v>3400000</v>
      </c>
      <c r="G2549" s="190">
        <v>0</v>
      </c>
      <c r="H2549" s="190">
        <v>0</v>
      </c>
      <c r="I2549" s="190">
        <v>0</v>
      </c>
      <c r="J2549" s="190">
        <v>0</v>
      </c>
      <c r="K2549" s="190">
        <v>0</v>
      </c>
      <c r="L2549" s="190">
        <v>0</v>
      </c>
      <c r="M2549" s="190">
        <v>0</v>
      </c>
      <c r="N2549" s="190">
        <v>0</v>
      </c>
      <c r="O2549" s="190">
        <v>0</v>
      </c>
      <c r="P2549" s="190">
        <v>0</v>
      </c>
      <c r="Q2549" s="169">
        <v>0</v>
      </c>
      <c r="R2549" s="169">
        <v>0</v>
      </c>
    </row>
    <row r="2550" spans="1:18" x14ac:dyDescent="0.25">
      <c r="A2550" s="116" t="s">
        <v>142</v>
      </c>
      <c r="B2550" s="116">
        <v>2020</v>
      </c>
      <c r="C2550" s="116" t="s">
        <v>141</v>
      </c>
      <c r="D2550" s="169">
        <v>4950000000</v>
      </c>
      <c r="E2550" s="189">
        <v>6754354731.5299997</v>
      </c>
      <c r="F2550" s="189">
        <v>6754354731.5299997</v>
      </c>
      <c r="G2550" s="190">
        <v>982667644.96000004</v>
      </c>
      <c r="H2550" s="190">
        <v>933502813.61000001</v>
      </c>
      <c r="I2550" s="190">
        <v>1036378778.2</v>
      </c>
      <c r="J2550" s="190">
        <v>959621172.24000001</v>
      </c>
      <c r="K2550" s="190">
        <v>269035895.73000002</v>
      </c>
      <c r="L2550" s="190">
        <v>168889383.00999999</v>
      </c>
      <c r="M2550" s="190">
        <v>409449169.10000002</v>
      </c>
      <c r="N2550" s="190">
        <v>675068865.37</v>
      </c>
      <c r="O2550" s="190">
        <v>2515054063.1199999</v>
      </c>
      <c r="P2550" s="190">
        <v>461205782.91000003</v>
      </c>
      <c r="Q2550" s="169">
        <v>750928626.66999996</v>
      </c>
      <c r="R2550" s="169">
        <v>309955860.27999997</v>
      </c>
    </row>
    <row r="2551" spans="1:18" x14ac:dyDescent="0.25">
      <c r="A2551" s="116" t="s">
        <v>140</v>
      </c>
      <c r="B2551" s="116">
        <v>2020</v>
      </c>
      <c r="C2551" s="116" t="s">
        <v>139</v>
      </c>
      <c r="D2551" s="169">
        <v>33667377884</v>
      </c>
      <c r="E2551" s="189">
        <v>33667377884</v>
      </c>
      <c r="F2551" s="189">
        <v>33667377884</v>
      </c>
      <c r="G2551" s="190">
        <v>0</v>
      </c>
      <c r="H2551" s="190">
        <v>0</v>
      </c>
      <c r="I2551" s="190">
        <v>1899968786.25</v>
      </c>
      <c r="J2551" s="190">
        <v>2219235726</v>
      </c>
      <c r="K2551" s="190">
        <v>13595954610.34</v>
      </c>
      <c r="L2551" s="190">
        <v>14234984465.42</v>
      </c>
      <c r="M2551" s="190">
        <v>0</v>
      </c>
      <c r="N2551" s="190">
        <v>0</v>
      </c>
      <c r="O2551" s="190">
        <v>0</v>
      </c>
      <c r="P2551" s="190">
        <v>0</v>
      </c>
      <c r="Q2551" s="169">
        <v>0</v>
      </c>
      <c r="R2551" s="169">
        <v>0</v>
      </c>
    </row>
    <row r="2552" spans="1:18" x14ac:dyDescent="0.25">
      <c r="A2552" s="116" t="s">
        <v>138</v>
      </c>
      <c r="B2552" s="116">
        <v>2020</v>
      </c>
      <c r="C2552" s="116" t="s">
        <v>137</v>
      </c>
      <c r="D2552" s="169">
        <v>14584669376</v>
      </c>
      <c r="E2552" s="189">
        <v>14584669376</v>
      </c>
      <c r="F2552" s="189">
        <v>14584669376</v>
      </c>
      <c r="G2552" s="190">
        <v>0</v>
      </c>
      <c r="H2552" s="190">
        <v>190000</v>
      </c>
      <c r="I2552" s="190">
        <v>1155667500</v>
      </c>
      <c r="J2552" s="190">
        <v>1135631250</v>
      </c>
      <c r="K2552" s="190">
        <v>1140896250</v>
      </c>
      <c r="L2552" s="190">
        <v>0</v>
      </c>
      <c r="M2552" s="190">
        <v>1119056250</v>
      </c>
      <c r="N2552" s="190">
        <v>1718973750</v>
      </c>
      <c r="O2552" s="190">
        <v>733200000</v>
      </c>
      <c r="P2552" s="190">
        <v>0</v>
      </c>
      <c r="Q2552" s="169">
        <v>0</v>
      </c>
      <c r="R2552" s="169">
        <v>0</v>
      </c>
    </row>
    <row r="2553" spans="1:18" x14ac:dyDescent="0.25">
      <c r="A2553" s="116" t="s">
        <v>134</v>
      </c>
      <c r="B2553" s="116">
        <v>2020</v>
      </c>
      <c r="C2553" s="116" t="s">
        <v>133</v>
      </c>
      <c r="D2553" s="169">
        <v>85378383051</v>
      </c>
      <c r="E2553" s="189">
        <v>85378383051</v>
      </c>
      <c r="F2553" s="189">
        <v>85378383051</v>
      </c>
      <c r="G2553" s="190">
        <v>0</v>
      </c>
      <c r="H2553" s="190">
        <v>7114730000</v>
      </c>
      <c r="I2553" s="190">
        <v>7114730000</v>
      </c>
      <c r="J2553" s="190">
        <v>7114730000</v>
      </c>
      <c r="K2553" s="190">
        <v>0</v>
      </c>
      <c r="L2553" s="190">
        <v>7114730000</v>
      </c>
      <c r="M2553" s="190">
        <v>7114730000</v>
      </c>
      <c r="N2553" s="190">
        <v>0</v>
      </c>
      <c r="O2553" s="190">
        <v>7114730000</v>
      </c>
      <c r="P2553" s="190">
        <v>7114730000</v>
      </c>
      <c r="Q2553" s="169">
        <v>0</v>
      </c>
      <c r="R2553" s="169">
        <v>0</v>
      </c>
    </row>
    <row r="2554" spans="1:18" x14ac:dyDescent="0.25">
      <c r="A2554" s="116" t="s">
        <v>132</v>
      </c>
      <c r="B2554" s="116">
        <v>2020</v>
      </c>
      <c r="C2554" s="116" t="s">
        <v>131</v>
      </c>
      <c r="D2554" s="169">
        <v>17738274829</v>
      </c>
      <c r="E2554" s="189">
        <v>17738274829</v>
      </c>
      <c r="F2554" s="189">
        <v>17738274829</v>
      </c>
      <c r="G2554" s="190">
        <v>0</v>
      </c>
      <c r="H2554" s="190">
        <v>0</v>
      </c>
      <c r="I2554" s="190">
        <v>7290315013.5</v>
      </c>
      <c r="J2554" s="190">
        <v>5550255461.0900002</v>
      </c>
      <c r="K2554" s="190">
        <v>4897704354.4099998</v>
      </c>
      <c r="L2554" s="190">
        <v>0</v>
      </c>
      <c r="M2554" s="190">
        <v>0</v>
      </c>
      <c r="N2554" s="190">
        <v>0</v>
      </c>
      <c r="O2554" s="190">
        <v>0</v>
      </c>
      <c r="P2554" s="190">
        <v>0</v>
      </c>
      <c r="Q2554" s="169">
        <v>0</v>
      </c>
      <c r="R2554" s="169">
        <v>0</v>
      </c>
    </row>
    <row r="2555" spans="1:18" x14ac:dyDescent="0.25">
      <c r="A2555" s="116" t="s">
        <v>130</v>
      </c>
      <c r="B2555" s="116">
        <v>2020</v>
      </c>
      <c r="C2555" s="116" t="s">
        <v>129</v>
      </c>
      <c r="D2555" s="169">
        <v>50000000000</v>
      </c>
      <c r="E2555" s="189">
        <v>50000000000</v>
      </c>
      <c r="F2555" s="189">
        <v>50000000000</v>
      </c>
      <c r="G2555" s="190">
        <v>0</v>
      </c>
      <c r="H2555" s="190">
        <v>4340000000</v>
      </c>
      <c r="I2555" s="190">
        <v>2753984431.8299999</v>
      </c>
      <c r="J2555" s="190">
        <v>3608000000</v>
      </c>
      <c r="K2555" s="190">
        <v>7000000000</v>
      </c>
      <c r="L2555" s="190">
        <v>4376225000</v>
      </c>
      <c r="M2555" s="190">
        <v>4413675000</v>
      </c>
      <c r="N2555" s="190">
        <v>1395454545.45</v>
      </c>
      <c r="O2555" s="190">
        <v>4166666666.6700001</v>
      </c>
      <c r="P2555" s="190">
        <v>0</v>
      </c>
      <c r="Q2555" s="169">
        <v>0</v>
      </c>
      <c r="R2555" s="169">
        <v>0</v>
      </c>
    </row>
    <row r="2556" spans="1:18" x14ac:dyDescent="0.25">
      <c r="A2556" s="116" t="s">
        <v>128</v>
      </c>
      <c r="B2556" s="116">
        <v>2020</v>
      </c>
      <c r="C2556" s="116" t="s">
        <v>127</v>
      </c>
      <c r="D2556" s="169">
        <v>7177242240</v>
      </c>
      <c r="E2556" s="189">
        <v>7177242240</v>
      </c>
      <c r="F2556" s="189">
        <v>7177242240</v>
      </c>
      <c r="G2556" s="190">
        <v>0</v>
      </c>
      <c r="H2556" s="190">
        <v>598103520</v>
      </c>
      <c r="I2556" s="190">
        <v>598103520</v>
      </c>
      <c r="J2556" s="190">
        <v>0</v>
      </c>
      <c r="K2556" s="190">
        <v>598103520</v>
      </c>
      <c r="L2556" s="190">
        <v>0</v>
      </c>
      <c r="M2556" s="190">
        <v>598103520</v>
      </c>
      <c r="N2556" s="190">
        <v>1196207040</v>
      </c>
      <c r="O2556" s="190">
        <v>598103520</v>
      </c>
      <c r="P2556" s="190">
        <v>0</v>
      </c>
      <c r="Q2556" s="169">
        <v>0</v>
      </c>
      <c r="R2556" s="169">
        <v>0</v>
      </c>
    </row>
    <row r="2557" spans="1:18" x14ac:dyDescent="0.25">
      <c r="A2557" s="116" t="s">
        <v>126</v>
      </c>
      <c r="B2557" s="116">
        <v>2020</v>
      </c>
      <c r="C2557" s="116" t="s">
        <v>125</v>
      </c>
      <c r="D2557" s="169">
        <v>3249746900</v>
      </c>
      <c r="E2557" s="189">
        <v>3249746900</v>
      </c>
      <c r="F2557" s="189">
        <v>3249746900</v>
      </c>
      <c r="G2557" s="190">
        <v>0</v>
      </c>
      <c r="H2557" s="190">
        <v>141088654</v>
      </c>
      <c r="I2557" s="190">
        <v>93332721</v>
      </c>
      <c r="J2557" s="190">
        <v>97658835</v>
      </c>
      <c r="K2557" s="190">
        <v>0</v>
      </c>
      <c r="L2557" s="190">
        <v>0</v>
      </c>
      <c r="M2557" s="190">
        <v>228963789.37</v>
      </c>
      <c r="N2557" s="190">
        <v>88760022.579999998</v>
      </c>
      <c r="O2557" s="190">
        <v>363162146.81</v>
      </c>
      <c r="P2557" s="190">
        <v>122350944.11</v>
      </c>
      <c r="Q2557" s="169">
        <v>0</v>
      </c>
      <c r="R2557" s="169">
        <v>0</v>
      </c>
    </row>
    <row r="2558" spans="1:18" x14ac:dyDescent="0.25">
      <c r="A2558" s="116" t="s">
        <v>122</v>
      </c>
      <c r="B2558" s="116">
        <v>2020</v>
      </c>
      <c r="C2558" s="116" t="s">
        <v>121</v>
      </c>
      <c r="D2558" s="169">
        <v>3406883003</v>
      </c>
      <c r="E2558" s="189">
        <v>3406883003</v>
      </c>
      <c r="F2558" s="189">
        <v>3406883003</v>
      </c>
      <c r="G2558" s="190">
        <v>0</v>
      </c>
      <c r="H2558" s="190">
        <v>217659071.31999999</v>
      </c>
      <c r="I2558" s="190">
        <v>470824293.23000002</v>
      </c>
      <c r="J2558" s="190">
        <v>217313754.41999999</v>
      </c>
      <c r="K2558" s="190">
        <v>182322909</v>
      </c>
      <c r="L2558" s="191">
        <v>233001130.13</v>
      </c>
      <c r="M2558" s="190">
        <v>220099386.69999999</v>
      </c>
      <c r="N2558" s="190">
        <v>218754930.06999999</v>
      </c>
      <c r="O2558" s="190">
        <v>219236474.50999999</v>
      </c>
      <c r="P2558" s="190">
        <v>219246530.34</v>
      </c>
      <c r="Q2558" s="169">
        <v>0</v>
      </c>
      <c r="R2558" s="169">
        <v>0</v>
      </c>
    </row>
    <row r="2559" spans="1:18" x14ac:dyDescent="0.25">
      <c r="A2559" s="116" t="s">
        <v>118</v>
      </c>
      <c r="B2559" s="116">
        <v>2020</v>
      </c>
      <c r="C2559" s="116" t="s">
        <v>117</v>
      </c>
      <c r="D2559" s="169">
        <v>663436801</v>
      </c>
      <c r="E2559" s="189">
        <v>663436801</v>
      </c>
      <c r="F2559" s="189">
        <v>663436801</v>
      </c>
      <c r="G2559" s="190">
        <v>0</v>
      </c>
      <c r="H2559" s="190">
        <v>0</v>
      </c>
      <c r="I2559" s="190">
        <v>0</v>
      </c>
      <c r="J2559" s="190">
        <v>96581448.689999998</v>
      </c>
      <c r="K2559" s="190">
        <v>0</v>
      </c>
      <c r="L2559" s="190">
        <v>0</v>
      </c>
      <c r="M2559" s="190">
        <v>0</v>
      </c>
      <c r="N2559" s="190">
        <v>0</v>
      </c>
      <c r="O2559" s="190">
        <v>0</v>
      </c>
      <c r="P2559" s="190">
        <v>0</v>
      </c>
      <c r="Q2559" s="169">
        <v>0</v>
      </c>
      <c r="R2559" s="169">
        <v>0</v>
      </c>
    </row>
    <row r="2560" spans="1:18" x14ac:dyDescent="0.25">
      <c r="A2560" s="116" t="s">
        <v>115</v>
      </c>
      <c r="B2560" s="116">
        <v>2020</v>
      </c>
      <c r="C2560" s="116" t="s">
        <v>114</v>
      </c>
      <c r="D2560" s="169">
        <v>8000000</v>
      </c>
      <c r="E2560" s="189">
        <v>8000000</v>
      </c>
      <c r="F2560" s="189">
        <v>8000000</v>
      </c>
      <c r="G2560" s="190">
        <v>0</v>
      </c>
      <c r="H2560" s="190">
        <v>0</v>
      </c>
      <c r="I2560" s="190">
        <v>0</v>
      </c>
      <c r="J2560" s="190">
        <v>0</v>
      </c>
      <c r="K2560" s="190">
        <v>0</v>
      </c>
      <c r="L2560" s="190">
        <v>5484708</v>
      </c>
      <c r="M2560" s="190">
        <v>0</v>
      </c>
      <c r="N2560" s="190">
        <v>0</v>
      </c>
      <c r="O2560" s="190">
        <v>0</v>
      </c>
      <c r="P2560" s="190">
        <v>0</v>
      </c>
      <c r="Q2560" s="169">
        <v>0</v>
      </c>
      <c r="R2560" s="169">
        <v>0</v>
      </c>
    </row>
    <row r="2561" spans="1:18" x14ac:dyDescent="0.25">
      <c r="A2561" s="116" t="s">
        <v>113</v>
      </c>
      <c r="B2561" s="116">
        <v>2020</v>
      </c>
      <c r="C2561" s="116" t="s">
        <v>112</v>
      </c>
      <c r="D2561" s="169">
        <v>400000</v>
      </c>
      <c r="E2561" s="189">
        <v>400000</v>
      </c>
      <c r="F2561" s="189">
        <v>400000</v>
      </c>
      <c r="G2561" s="190">
        <v>0</v>
      </c>
      <c r="H2561" s="190">
        <v>0</v>
      </c>
      <c r="I2561" s="190">
        <v>400000</v>
      </c>
      <c r="J2561" s="190">
        <v>0</v>
      </c>
      <c r="K2561" s="190">
        <v>0</v>
      </c>
      <c r="L2561" s="190">
        <v>0</v>
      </c>
      <c r="M2561" s="190">
        <v>0</v>
      </c>
      <c r="N2561" s="190">
        <v>0</v>
      </c>
      <c r="O2561" s="190">
        <v>0</v>
      </c>
      <c r="P2561" s="190">
        <v>0</v>
      </c>
      <c r="Q2561" s="169">
        <v>0</v>
      </c>
      <c r="R2561" s="169">
        <v>0</v>
      </c>
    </row>
    <row r="2562" spans="1:18" x14ac:dyDescent="0.25">
      <c r="A2562" s="116" t="s">
        <v>111</v>
      </c>
      <c r="B2562" s="116">
        <v>2020</v>
      </c>
      <c r="C2562" s="116" t="s">
        <v>110</v>
      </c>
      <c r="D2562" s="169">
        <v>53000000</v>
      </c>
      <c r="E2562" s="189">
        <v>53000000</v>
      </c>
      <c r="F2562" s="189">
        <v>53000000</v>
      </c>
      <c r="G2562" s="190">
        <v>0</v>
      </c>
      <c r="H2562" s="190">
        <v>0</v>
      </c>
      <c r="I2562" s="190">
        <v>0</v>
      </c>
      <c r="J2562" s="190">
        <v>0</v>
      </c>
      <c r="K2562" s="190">
        <v>0</v>
      </c>
      <c r="L2562" s="190">
        <v>0</v>
      </c>
      <c r="M2562" s="190">
        <v>0</v>
      </c>
      <c r="N2562" s="190">
        <v>0</v>
      </c>
      <c r="O2562" s="190">
        <v>0</v>
      </c>
      <c r="P2562" s="190">
        <v>0</v>
      </c>
      <c r="Q2562" s="169">
        <v>0</v>
      </c>
      <c r="R2562" s="169">
        <v>0</v>
      </c>
    </row>
    <row r="2563" spans="1:18" x14ac:dyDescent="0.25">
      <c r="A2563" s="116" t="s">
        <v>109</v>
      </c>
      <c r="B2563" s="116">
        <v>2020</v>
      </c>
      <c r="C2563" s="116" t="s">
        <v>108</v>
      </c>
      <c r="D2563" s="169">
        <v>10400000</v>
      </c>
      <c r="E2563" s="189">
        <v>10400000</v>
      </c>
      <c r="F2563" s="189">
        <v>10400000</v>
      </c>
      <c r="G2563" s="190">
        <v>0</v>
      </c>
      <c r="H2563" s="190">
        <v>10400000</v>
      </c>
      <c r="I2563" s="190">
        <v>0</v>
      </c>
      <c r="J2563" s="190">
        <v>0</v>
      </c>
      <c r="K2563" s="190">
        <v>0</v>
      </c>
      <c r="L2563" s="190">
        <v>0</v>
      </c>
      <c r="M2563" s="190">
        <v>0</v>
      </c>
      <c r="N2563" s="190">
        <v>0</v>
      </c>
      <c r="O2563" s="190">
        <v>0</v>
      </c>
      <c r="P2563" s="190">
        <v>0</v>
      </c>
      <c r="Q2563" s="169">
        <v>0</v>
      </c>
      <c r="R2563" s="169">
        <v>0</v>
      </c>
    </row>
    <row r="2564" spans="1:18" x14ac:dyDescent="0.25">
      <c r="A2564" s="116" t="s">
        <v>107</v>
      </c>
      <c r="B2564" s="116">
        <v>2020</v>
      </c>
      <c r="C2564" s="116" t="s">
        <v>106</v>
      </c>
      <c r="D2564" s="169">
        <v>77000000</v>
      </c>
      <c r="E2564" s="189">
        <v>77000000</v>
      </c>
      <c r="F2564" s="189">
        <v>77000000</v>
      </c>
      <c r="G2564" s="190">
        <v>0</v>
      </c>
      <c r="H2564" s="190">
        <v>0</v>
      </c>
      <c r="I2564" s="190">
        <v>0</v>
      </c>
      <c r="J2564" s="190">
        <v>0</v>
      </c>
      <c r="K2564" s="190">
        <v>0</v>
      </c>
      <c r="L2564" s="190">
        <v>0</v>
      </c>
      <c r="M2564" s="190">
        <v>77000000</v>
      </c>
      <c r="N2564" s="190">
        <v>0</v>
      </c>
      <c r="O2564" s="190">
        <v>0</v>
      </c>
      <c r="P2564" s="190">
        <v>0</v>
      </c>
      <c r="Q2564" s="169">
        <v>0</v>
      </c>
      <c r="R2564" s="169">
        <v>0</v>
      </c>
    </row>
    <row r="2565" spans="1:18" x14ac:dyDescent="0.25">
      <c r="A2565" s="116" t="s">
        <v>105</v>
      </c>
      <c r="B2565" s="116">
        <v>2020</v>
      </c>
      <c r="C2565" s="116" t="s">
        <v>104</v>
      </c>
      <c r="D2565" s="169">
        <v>60500000</v>
      </c>
      <c r="E2565" s="189">
        <v>60500000</v>
      </c>
      <c r="F2565" s="189">
        <v>60500000</v>
      </c>
      <c r="G2565" s="190">
        <v>0</v>
      </c>
      <c r="H2565" s="190">
        <v>0</v>
      </c>
      <c r="I2565" s="190">
        <v>60500000</v>
      </c>
      <c r="J2565" s="190">
        <v>0</v>
      </c>
      <c r="K2565" s="190">
        <v>0</v>
      </c>
      <c r="L2565" s="190">
        <v>0</v>
      </c>
      <c r="M2565" s="190">
        <v>0</v>
      </c>
      <c r="N2565" s="190">
        <v>0</v>
      </c>
      <c r="O2565" s="190">
        <v>0</v>
      </c>
      <c r="P2565" s="190">
        <v>0</v>
      </c>
      <c r="Q2565" s="169">
        <v>0</v>
      </c>
      <c r="R2565" s="169">
        <v>0</v>
      </c>
    </row>
    <row r="2566" spans="1:18" x14ac:dyDescent="0.25">
      <c r="A2566" s="116" t="s">
        <v>103</v>
      </c>
      <c r="B2566" s="116">
        <v>2020</v>
      </c>
      <c r="C2566" s="116" t="s">
        <v>102</v>
      </c>
      <c r="D2566" s="169">
        <v>94000000</v>
      </c>
      <c r="E2566" s="189">
        <v>94000000</v>
      </c>
      <c r="F2566" s="189">
        <v>94000000</v>
      </c>
      <c r="G2566" s="190">
        <v>0</v>
      </c>
      <c r="H2566" s="190">
        <v>0</v>
      </c>
      <c r="I2566" s="190">
        <v>94000000</v>
      </c>
      <c r="J2566" s="190">
        <v>0</v>
      </c>
      <c r="K2566" s="190">
        <v>0</v>
      </c>
      <c r="L2566" s="190">
        <v>0</v>
      </c>
      <c r="M2566" s="190">
        <v>0</v>
      </c>
      <c r="N2566" s="190">
        <v>0</v>
      </c>
      <c r="O2566" s="190">
        <v>0</v>
      </c>
      <c r="P2566" s="190">
        <v>0</v>
      </c>
      <c r="Q2566" s="169">
        <v>0</v>
      </c>
      <c r="R2566" s="169">
        <v>0</v>
      </c>
    </row>
    <row r="2567" spans="1:18" x14ac:dyDescent="0.25">
      <c r="A2567" s="116" t="s">
        <v>101</v>
      </c>
      <c r="B2567" s="116">
        <v>2020</v>
      </c>
      <c r="C2567" s="116" t="s">
        <v>100</v>
      </c>
      <c r="D2567" s="169">
        <v>13500000</v>
      </c>
      <c r="E2567" s="189">
        <v>13500000</v>
      </c>
      <c r="F2567" s="189">
        <v>13500000</v>
      </c>
      <c r="G2567" s="190">
        <v>0</v>
      </c>
      <c r="H2567" s="190">
        <v>0</v>
      </c>
      <c r="I2567" s="190">
        <v>0</v>
      </c>
      <c r="J2567" s="190">
        <v>0</v>
      </c>
      <c r="K2567" s="190">
        <v>10000000</v>
      </c>
      <c r="L2567" s="190">
        <v>0</v>
      </c>
      <c r="M2567" s="190">
        <v>0</v>
      </c>
      <c r="N2567" s="190">
        <v>0</v>
      </c>
      <c r="O2567" s="190">
        <v>0</v>
      </c>
      <c r="P2567" s="190">
        <v>0</v>
      </c>
      <c r="Q2567" s="169">
        <v>0</v>
      </c>
      <c r="R2567" s="169">
        <v>0</v>
      </c>
    </row>
    <row r="2568" spans="1:18" x14ac:dyDescent="0.25">
      <c r="A2568" s="116" t="s">
        <v>99</v>
      </c>
      <c r="B2568" s="116">
        <v>2020</v>
      </c>
      <c r="C2568" s="116" t="s">
        <v>98</v>
      </c>
      <c r="D2568" s="169">
        <v>70000000</v>
      </c>
      <c r="E2568" s="189">
        <v>70000000</v>
      </c>
      <c r="F2568" s="189">
        <v>70000000</v>
      </c>
      <c r="G2568" s="190">
        <v>0</v>
      </c>
      <c r="H2568" s="190">
        <v>0</v>
      </c>
      <c r="I2568" s="190">
        <v>0</v>
      </c>
      <c r="J2568" s="190">
        <v>0</v>
      </c>
      <c r="K2568" s="190">
        <v>70000000</v>
      </c>
      <c r="L2568" s="190">
        <v>0</v>
      </c>
      <c r="M2568" s="190">
        <v>0</v>
      </c>
      <c r="N2568" s="190">
        <v>0</v>
      </c>
      <c r="O2568" s="190">
        <v>0</v>
      </c>
      <c r="P2568" s="190">
        <v>0</v>
      </c>
      <c r="Q2568" s="169">
        <v>0</v>
      </c>
      <c r="R2568" s="169">
        <v>0</v>
      </c>
    </row>
    <row r="2569" spans="1:18" x14ac:dyDescent="0.25">
      <c r="A2569" s="116" t="s">
        <v>97</v>
      </c>
      <c r="B2569" s="116">
        <v>2020</v>
      </c>
      <c r="C2569" s="116" t="s">
        <v>96</v>
      </c>
      <c r="D2569" s="169">
        <v>8000000</v>
      </c>
      <c r="E2569" s="189">
        <v>8000000</v>
      </c>
      <c r="F2569" s="189">
        <v>8000000</v>
      </c>
      <c r="G2569" s="190">
        <v>0</v>
      </c>
      <c r="H2569" s="190">
        <v>0</v>
      </c>
      <c r="I2569" s="190">
        <v>0</v>
      </c>
      <c r="J2569" s="190">
        <v>8000000</v>
      </c>
      <c r="K2569" s="190">
        <v>0</v>
      </c>
      <c r="L2569" s="190">
        <v>0</v>
      </c>
      <c r="M2569" s="190">
        <v>0</v>
      </c>
      <c r="N2569" s="190">
        <v>0</v>
      </c>
      <c r="O2569" s="190">
        <v>0</v>
      </c>
      <c r="P2569" s="190">
        <v>0</v>
      </c>
      <c r="Q2569" s="169">
        <v>0</v>
      </c>
      <c r="R2569" s="169">
        <v>0</v>
      </c>
    </row>
    <row r="2570" spans="1:18" x14ac:dyDescent="0.25">
      <c r="A2570" s="116" t="s">
        <v>95</v>
      </c>
      <c r="B2570" s="116">
        <v>2020</v>
      </c>
      <c r="C2570" s="116" t="s">
        <v>94</v>
      </c>
      <c r="D2570" s="169">
        <v>228000000</v>
      </c>
      <c r="E2570" s="189">
        <v>228000000</v>
      </c>
      <c r="F2570" s="189">
        <v>228000000</v>
      </c>
      <c r="G2570" s="190">
        <v>0</v>
      </c>
      <c r="H2570" s="190">
        <v>0</v>
      </c>
      <c r="I2570" s="190">
        <v>0</v>
      </c>
      <c r="J2570" s="190">
        <v>0</v>
      </c>
      <c r="K2570" s="190">
        <v>0</v>
      </c>
      <c r="L2570" s="190">
        <v>0</v>
      </c>
      <c r="M2570" s="190">
        <v>0</v>
      </c>
      <c r="N2570" s="190">
        <v>0</v>
      </c>
      <c r="O2570" s="190">
        <v>0</v>
      </c>
      <c r="P2570" s="190">
        <v>0</v>
      </c>
      <c r="Q2570" s="169">
        <v>0</v>
      </c>
      <c r="R2570" s="169">
        <v>0</v>
      </c>
    </row>
    <row r="2571" spans="1:18" x14ac:dyDescent="0.25">
      <c r="A2571" s="116" t="s">
        <v>93</v>
      </c>
      <c r="B2571" s="116">
        <v>2020</v>
      </c>
      <c r="C2571" s="116" t="s">
        <v>92</v>
      </c>
      <c r="D2571" s="169">
        <v>41000000</v>
      </c>
      <c r="E2571" s="189">
        <v>41000000</v>
      </c>
      <c r="F2571" s="189">
        <v>41000000</v>
      </c>
      <c r="G2571" s="190">
        <v>0</v>
      </c>
      <c r="H2571" s="190">
        <v>0</v>
      </c>
      <c r="I2571" s="190">
        <v>0</v>
      </c>
      <c r="J2571" s="190">
        <v>10250000</v>
      </c>
      <c r="K2571" s="190">
        <v>0</v>
      </c>
      <c r="L2571" s="190">
        <v>0</v>
      </c>
      <c r="M2571" s="190">
        <v>10250000</v>
      </c>
      <c r="N2571" s="190">
        <v>0</v>
      </c>
      <c r="O2571" s="190">
        <v>0</v>
      </c>
      <c r="P2571" s="190">
        <v>0</v>
      </c>
      <c r="Q2571" s="169">
        <v>0</v>
      </c>
      <c r="R2571" s="169">
        <v>0</v>
      </c>
    </row>
    <row r="2572" spans="1:18" x14ac:dyDescent="0.25">
      <c r="A2572" s="116" t="s">
        <v>91</v>
      </c>
      <c r="B2572" s="116">
        <v>2020</v>
      </c>
      <c r="C2572" s="116" t="s">
        <v>90</v>
      </c>
      <c r="D2572" s="169">
        <v>0</v>
      </c>
      <c r="E2572" s="189">
        <v>0</v>
      </c>
      <c r="F2572" s="189">
        <v>0</v>
      </c>
      <c r="G2572" s="190">
        <v>0</v>
      </c>
      <c r="H2572" s="190">
        <v>0</v>
      </c>
      <c r="I2572" s="190">
        <v>0</v>
      </c>
      <c r="J2572" s="190">
        <v>6608472961</v>
      </c>
      <c r="K2572" s="190">
        <v>0</v>
      </c>
      <c r="L2572" s="190">
        <v>0</v>
      </c>
      <c r="M2572" s="190">
        <v>0</v>
      </c>
      <c r="N2572" s="191">
        <v>0</v>
      </c>
      <c r="O2572" s="190">
        <v>0</v>
      </c>
      <c r="P2572" s="190">
        <v>0</v>
      </c>
      <c r="Q2572" s="169">
        <v>0</v>
      </c>
      <c r="R2572" s="169">
        <v>0</v>
      </c>
    </row>
    <row r="2573" spans="1:18" x14ac:dyDescent="0.25">
      <c r="A2573" s="116" t="s">
        <v>89</v>
      </c>
      <c r="B2573" s="116">
        <v>2020</v>
      </c>
      <c r="C2573" s="116" t="s">
        <v>88</v>
      </c>
      <c r="D2573" s="169">
        <v>408853250</v>
      </c>
      <c r="E2573" s="189">
        <v>408853250</v>
      </c>
      <c r="F2573" s="189">
        <v>408853250</v>
      </c>
      <c r="G2573" s="190">
        <v>0</v>
      </c>
      <c r="H2573" s="190">
        <v>68142208.340000004</v>
      </c>
      <c r="I2573" s="190">
        <v>34071104.170000002</v>
      </c>
      <c r="J2573" s="190">
        <v>34071104.170000002</v>
      </c>
      <c r="K2573" s="190">
        <v>0</v>
      </c>
      <c r="L2573" s="190">
        <v>0</v>
      </c>
      <c r="M2573" s="190">
        <v>0</v>
      </c>
      <c r="N2573" s="190">
        <v>34071104.170000002</v>
      </c>
      <c r="O2573" s="190">
        <v>34071104.170000002</v>
      </c>
      <c r="P2573" s="190">
        <v>34071104.170000002</v>
      </c>
      <c r="Q2573" s="169">
        <v>68142208.340000004</v>
      </c>
      <c r="R2573" s="169">
        <v>0</v>
      </c>
    </row>
    <row r="2574" spans="1:18" x14ac:dyDescent="0.25">
      <c r="A2574" s="116" t="s">
        <v>87</v>
      </c>
      <c r="B2574" s="116">
        <v>2020</v>
      </c>
      <c r="C2574" s="116" t="s">
        <v>86</v>
      </c>
      <c r="D2574" s="169">
        <v>445975578</v>
      </c>
      <c r="E2574" s="189">
        <v>445975578</v>
      </c>
      <c r="F2574" s="189">
        <v>445975578</v>
      </c>
      <c r="G2574" s="190">
        <v>0</v>
      </c>
      <c r="H2574" s="190">
        <v>0</v>
      </c>
      <c r="I2574" s="190">
        <v>0</v>
      </c>
      <c r="J2574" s="190">
        <v>0</v>
      </c>
      <c r="K2574" s="190">
        <v>412936131</v>
      </c>
      <c r="L2574" s="190">
        <v>0</v>
      </c>
      <c r="M2574" s="190">
        <v>0</v>
      </c>
      <c r="N2574" s="190">
        <v>0</v>
      </c>
      <c r="O2574" s="190">
        <v>0</v>
      </c>
      <c r="P2574" s="190">
        <v>0</v>
      </c>
      <c r="Q2574" s="169">
        <v>0</v>
      </c>
      <c r="R2574" s="169">
        <v>0</v>
      </c>
    </row>
    <row r="2575" spans="1:18" x14ac:dyDescent="0.25">
      <c r="A2575" s="116" t="s">
        <v>85</v>
      </c>
      <c r="B2575" s="116">
        <v>2020</v>
      </c>
      <c r="C2575" s="116" t="s">
        <v>84</v>
      </c>
      <c r="D2575" s="169">
        <v>15000000</v>
      </c>
      <c r="E2575" s="189">
        <v>15000000</v>
      </c>
      <c r="F2575" s="189">
        <v>15000000</v>
      </c>
      <c r="G2575" s="190">
        <v>0</v>
      </c>
      <c r="H2575" s="190">
        <v>0</v>
      </c>
      <c r="I2575" s="190">
        <v>0</v>
      </c>
      <c r="J2575" s="190">
        <v>0</v>
      </c>
      <c r="K2575" s="190">
        <v>0</v>
      </c>
      <c r="L2575" s="190">
        <v>0</v>
      </c>
      <c r="M2575" s="190">
        <v>0</v>
      </c>
      <c r="N2575" s="190">
        <v>0</v>
      </c>
      <c r="O2575" s="190">
        <v>0</v>
      </c>
      <c r="P2575" s="190">
        <v>0</v>
      </c>
      <c r="Q2575" s="169">
        <v>0</v>
      </c>
      <c r="R2575" s="169">
        <v>0</v>
      </c>
    </row>
    <row r="2576" spans="1:18" x14ac:dyDescent="0.25">
      <c r="A2576" s="116" t="s">
        <v>83</v>
      </c>
      <c r="B2576" s="116">
        <v>2020</v>
      </c>
      <c r="C2576" s="116" t="s">
        <v>82</v>
      </c>
      <c r="D2576" s="169">
        <v>1160000000</v>
      </c>
      <c r="E2576" s="189">
        <v>1160000000</v>
      </c>
      <c r="F2576" s="189">
        <v>1160000000</v>
      </c>
      <c r="G2576" s="190">
        <v>32827763.25</v>
      </c>
      <c r="H2576" s="190">
        <v>35391690.479999997</v>
      </c>
      <c r="I2576" s="190">
        <v>50091939.43</v>
      </c>
      <c r="J2576" s="190">
        <v>120457976.40000001</v>
      </c>
      <c r="K2576" s="190">
        <v>82315762.650000006</v>
      </c>
      <c r="L2576" s="190">
        <v>60186704.880000003</v>
      </c>
      <c r="M2576" s="190">
        <v>62003087.32</v>
      </c>
      <c r="N2576" s="190">
        <v>42513758.909999996</v>
      </c>
      <c r="O2576" s="190">
        <v>45840667.409999996</v>
      </c>
      <c r="P2576" s="190">
        <v>116945785.59</v>
      </c>
      <c r="Q2576" s="169">
        <v>61621187.039999999</v>
      </c>
      <c r="R2576" s="169">
        <v>0</v>
      </c>
    </row>
    <row r="2577" spans="1:18" x14ac:dyDescent="0.25">
      <c r="A2577" s="116" t="s">
        <v>80</v>
      </c>
      <c r="B2577" s="116">
        <v>2020</v>
      </c>
      <c r="C2577" s="116" t="s">
        <v>79</v>
      </c>
      <c r="D2577" s="169">
        <v>217700000</v>
      </c>
      <c r="E2577" s="189">
        <v>217700000</v>
      </c>
      <c r="F2577" s="189">
        <v>217700000</v>
      </c>
      <c r="G2577" s="190">
        <v>0</v>
      </c>
      <c r="H2577" s="190">
        <v>0</v>
      </c>
      <c r="I2577" s="190">
        <v>0</v>
      </c>
      <c r="J2577" s="190">
        <v>130000000</v>
      </c>
      <c r="K2577" s="190">
        <v>0</v>
      </c>
      <c r="L2577" s="190">
        <v>0</v>
      </c>
      <c r="M2577" s="190">
        <v>0</v>
      </c>
      <c r="N2577" s="190">
        <v>0</v>
      </c>
      <c r="O2577" s="190">
        <v>0</v>
      </c>
      <c r="P2577" s="190">
        <v>0</v>
      </c>
      <c r="Q2577" s="169">
        <v>0</v>
      </c>
      <c r="R2577" s="169">
        <v>0</v>
      </c>
    </row>
    <row r="2578" spans="1:18" x14ac:dyDescent="0.25">
      <c r="A2578" s="116" t="s">
        <v>78</v>
      </c>
      <c r="B2578" s="116">
        <v>2020</v>
      </c>
      <c r="C2578" s="116" t="s">
        <v>77</v>
      </c>
      <c r="D2578" s="169">
        <v>349900000</v>
      </c>
      <c r="E2578" s="189">
        <v>349900000</v>
      </c>
      <c r="F2578" s="189">
        <v>349900000</v>
      </c>
      <c r="G2578" s="190">
        <v>0</v>
      </c>
      <c r="H2578" s="190">
        <v>0</v>
      </c>
      <c r="I2578" s="190">
        <v>0</v>
      </c>
      <c r="J2578" s="190">
        <v>0</v>
      </c>
      <c r="K2578" s="190">
        <v>0</v>
      </c>
      <c r="L2578" s="190">
        <v>0</v>
      </c>
      <c r="M2578" s="190">
        <v>0</v>
      </c>
      <c r="N2578" s="190">
        <v>0</v>
      </c>
      <c r="O2578" s="190">
        <v>0</v>
      </c>
      <c r="P2578" s="190">
        <v>0</v>
      </c>
      <c r="Q2578" s="169">
        <v>0</v>
      </c>
      <c r="R2578" s="169">
        <v>0</v>
      </c>
    </row>
    <row r="2579" spans="1:18" x14ac:dyDescent="0.25">
      <c r="A2579" s="116" t="s">
        <v>76</v>
      </c>
      <c r="B2579" s="116">
        <v>2020</v>
      </c>
      <c r="C2579" s="116" t="s">
        <v>75</v>
      </c>
      <c r="D2579" s="169">
        <v>51300000</v>
      </c>
      <c r="E2579" s="189">
        <v>51300000</v>
      </c>
      <c r="F2579" s="189">
        <v>51300000</v>
      </c>
      <c r="G2579" s="190">
        <v>0</v>
      </c>
      <c r="H2579" s="190">
        <v>0</v>
      </c>
      <c r="I2579" s="190">
        <v>0</v>
      </c>
      <c r="J2579" s="190">
        <v>0</v>
      </c>
      <c r="K2579" s="190">
        <v>0</v>
      </c>
      <c r="L2579" s="190">
        <v>51300000</v>
      </c>
      <c r="M2579" s="190">
        <v>0</v>
      </c>
      <c r="N2579" s="190">
        <v>0</v>
      </c>
      <c r="O2579" s="190">
        <v>0</v>
      </c>
      <c r="P2579" s="190">
        <v>0</v>
      </c>
      <c r="Q2579" s="169">
        <v>0</v>
      </c>
      <c r="R2579" s="169">
        <v>0</v>
      </c>
    </row>
    <row r="2580" spans="1:18" x14ac:dyDescent="0.25">
      <c r="A2580" s="116" t="s">
        <v>74</v>
      </c>
      <c r="B2580" s="116">
        <v>2020</v>
      </c>
      <c r="C2580" s="116" t="s">
        <v>73</v>
      </c>
      <c r="D2580" s="169">
        <v>42200000</v>
      </c>
      <c r="E2580" s="189">
        <v>42200000</v>
      </c>
      <c r="F2580" s="189">
        <v>42200000</v>
      </c>
      <c r="G2580" s="190">
        <v>0</v>
      </c>
      <c r="H2580" s="190">
        <v>0</v>
      </c>
      <c r="I2580" s="190">
        <v>0</v>
      </c>
      <c r="J2580" s="190">
        <v>0</v>
      </c>
      <c r="K2580" s="190">
        <v>0</v>
      </c>
      <c r="L2580" s="190">
        <v>0</v>
      </c>
      <c r="M2580" s="190">
        <v>0</v>
      </c>
      <c r="N2580" s="190">
        <v>0</v>
      </c>
      <c r="O2580" s="190">
        <v>0</v>
      </c>
      <c r="P2580" s="190">
        <v>0</v>
      </c>
      <c r="Q2580" s="169">
        <v>0</v>
      </c>
      <c r="R2580" s="169">
        <v>0</v>
      </c>
    </row>
    <row r="2581" spans="1:18" x14ac:dyDescent="0.25">
      <c r="A2581" s="116" t="s">
        <v>72</v>
      </c>
      <c r="B2581" s="116">
        <v>2020</v>
      </c>
      <c r="C2581" s="116" t="s">
        <v>71</v>
      </c>
      <c r="D2581" s="169">
        <v>35300000</v>
      </c>
      <c r="E2581" s="189">
        <v>35300000</v>
      </c>
      <c r="F2581" s="189">
        <v>35300000</v>
      </c>
      <c r="G2581" s="190">
        <v>0</v>
      </c>
      <c r="H2581" s="190">
        <v>0</v>
      </c>
      <c r="I2581" s="190">
        <v>0</v>
      </c>
      <c r="J2581" s="190">
        <v>0</v>
      </c>
      <c r="K2581" s="190">
        <v>0</v>
      </c>
      <c r="L2581" s="190">
        <v>0</v>
      </c>
      <c r="M2581" s="190">
        <v>0</v>
      </c>
      <c r="N2581" s="190">
        <v>0</v>
      </c>
      <c r="O2581" s="190">
        <v>0</v>
      </c>
      <c r="P2581" s="190">
        <v>0</v>
      </c>
      <c r="Q2581" s="169">
        <v>0</v>
      </c>
      <c r="R2581" s="169">
        <v>0</v>
      </c>
    </row>
    <row r="2582" spans="1:18" x14ac:dyDescent="0.25">
      <c r="A2582" s="116" t="s">
        <v>70</v>
      </c>
      <c r="B2582" s="116">
        <v>2020</v>
      </c>
      <c r="C2582" s="116" t="s">
        <v>69</v>
      </c>
      <c r="D2582" s="169">
        <v>17300000</v>
      </c>
      <c r="E2582" s="189">
        <v>17300000</v>
      </c>
      <c r="F2582" s="189">
        <v>17300000</v>
      </c>
      <c r="G2582" s="190">
        <v>0</v>
      </c>
      <c r="H2582" s="190">
        <v>0</v>
      </c>
      <c r="I2582" s="190">
        <v>0</v>
      </c>
      <c r="J2582" s="190">
        <v>0</v>
      </c>
      <c r="K2582" s="190">
        <v>0</v>
      </c>
      <c r="L2582" s="190">
        <v>0</v>
      </c>
      <c r="M2582" s="190">
        <v>0</v>
      </c>
      <c r="N2582" s="190">
        <v>0</v>
      </c>
      <c r="O2582" s="190">
        <v>0</v>
      </c>
      <c r="P2582" s="190">
        <v>0</v>
      </c>
      <c r="Q2582" s="169">
        <v>0</v>
      </c>
      <c r="R2582" s="169">
        <v>0</v>
      </c>
    </row>
    <row r="2583" spans="1:18" x14ac:dyDescent="0.25">
      <c r="A2583" s="116" t="s">
        <v>1322</v>
      </c>
      <c r="B2583" s="116">
        <v>2020</v>
      </c>
      <c r="C2583" s="116" t="s">
        <v>1323</v>
      </c>
      <c r="D2583" s="101">
        <v>0</v>
      </c>
      <c r="E2583" s="189">
        <v>15955943820</v>
      </c>
      <c r="F2583" s="189">
        <v>15955943820</v>
      </c>
      <c r="G2583" s="190">
        <v>0</v>
      </c>
      <c r="H2583" s="190">
        <v>0</v>
      </c>
      <c r="I2583" s="190">
        <v>0</v>
      </c>
      <c r="J2583" s="190">
        <v>0</v>
      </c>
      <c r="K2583" s="190">
        <v>1040700900</v>
      </c>
      <c r="L2583" s="190">
        <v>7899389868</v>
      </c>
      <c r="M2583" s="190">
        <v>5975706221</v>
      </c>
      <c r="N2583" s="191">
        <v>1040146831</v>
      </c>
      <c r="O2583" s="190">
        <v>0</v>
      </c>
      <c r="P2583" s="190">
        <v>0</v>
      </c>
      <c r="Q2583" s="169">
        <v>0</v>
      </c>
      <c r="R2583" s="169">
        <v>0</v>
      </c>
    </row>
    <row r="2584" spans="1:18" x14ac:dyDescent="0.25">
      <c r="A2584" s="116" t="s">
        <v>68</v>
      </c>
      <c r="B2584" s="116">
        <v>2020</v>
      </c>
      <c r="C2584" s="116" t="s">
        <v>67</v>
      </c>
      <c r="D2584" s="101">
        <v>903300000</v>
      </c>
      <c r="E2584" s="189">
        <v>903300000</v>
      </c>
      <c r="F2584" s="189">
        <v>903300000</v>
      </c>
      <c r="G2584" s="190">
        <v>607500000</v>
      </c>
      <c r="H2584" s="190">
        <v>0</v>
      </c>
      <c r="I2584" s="190">
        <v>0</v>
      </c>
      <c r="J2584" s="190">
        <v>0</v>
      </c>
      <c r="K2584" s="190">
        <v>0</v>
      </c>
      <c r="L2584" s="190">
        <v>0</v>
      </c>
      <c r="M2584" s="190">
        <v>0</v>
      </c>
      <c r="N2584" s="190">
        <v>0</v>
      </c>
      <c r="O2584" s="190">
        <v>0</v>
      </c>
      <c r="P2584" s="190">
        <v>0</v>
      </c>
      <c r="Q2584" s="169">
        <v>0</v>
      </c>
      <c r="R2584" s="169">
        <v>0</v>
      </c>
    </row>
    <row r="2585" spans="1:18" x14ac:dyDescent="0.25">
      <c r="A2585" s="116" t="s">
        <v>64</v>
      </c>
      <c r="B2585" s="116">
        <v>2020</v>
      </c>
      <c r="C2585" s="116" t="s">
        <v>63</v>
      </c>
      <c r="D2585" s="101">
        <v>1375500000</v>
      </c>
      <c r="E2585" s="189">
        <v>1375500000</v>
      </c>
      <c r="F2585" s="189">
        <v>1375500000</v>
      </c>
      <c r="G2585" s="190">
        <v>0</v>
      </c>
      <c r="H2585" s="190">
        <v>0</v>
      </c>
      <c r="I2585" s="190">
        <v>0</v>
      </c>
      <c r="J2585" s="190">
        <v>0</v>
      </c>
      <c r="K2585" s="190">
        <v>0</v>
      </c>
      <c r="L2585" s="190">
        <v>0</v>
      </c>
      <c r="M2585" s="190">
        <v>0</v>
      </c>
      <c r="N2585" s="190">
        <v>0</v>
      </c>
      <c r="O2585" s="190">
        <v>0</v>
      </c>
      <c r="P2585" s="190">
        <v>0</v>
      </c>
      <c r="Q2585" s="169">
        <v>0</v>
      </c>
      <c r="R2585" s="169">
        <v>0</v>
      </c>
    </row>
    <row r="2586" spans="1:18" x14ac:dyDescent="0.25">
      <c r="A2586" s="116" t="s">
        <v>62</v>
      </c>
      <c r="B2586" s="116">
        <v>2020</v>
      </c>
      <c r="C2586" s="116" t="s">
        <v>61</v>
      </c>
      <c r="D2586" s="101">
        <v>22500000</v>
      </c>
      <c r="E2586" s="189">
        <v>22500000</v>
      </c>
      <c r="F2586" s="189">
        <v>22500000</v>
      </c>
      <c r="G2586" s="190">
        <v>0</v>
      </c>
      <c r="H2586" s="190">
        <v>0</v>
      </c>
      <c r="I2586" s="190">
        <v>0</v>
      </c>
      <c r="J2586" s="190">
        <v>0</v>
      </c>
      <c r="K2586" s="190">
        <v>0</v>
      </c>
      <c r="L2586" s="190">
        <v>22500000</v>
      </c>
      <c r="M2586" s="190">
        <v>0</v>
      </c>
      <c r="N2586" s="190">
        <v>0</v>
      </c>
      <c r="O2586" s="190">
        <v>0</v>
      </c>
      <c r="P2586" s="190">
        <v>0</v>
      </c>
      <c r="Q2586" s="169">
        <v>0</v>
      </c>
      <c r="R2586" s="169">
        <v>0</v>
      </c>
    </row>
    <row r="2587" spans="1:18" x14ac:dyDescent="0.25">
      <c r="A2587" s="116" t="s">
        <v>60</v>
      </c>
      <c r="B2587" s="116">
        <v>2020</v>
      </c>
      <c r="C2587" s="116" t="s">
        <v>59</v>
      </c>
      <c r="D2587" s="101">
        <v>28200000</v>
      </c>
      <c r="E2587" s="189">
        <v>28200000</v>
      </c>
      <c r="F2587" s="189">
        <v>28200000</v>
      </c>
      <c r="G2587" s="190">
        <v>0</v>
      </c>
      <c r="H2587" s="190">
        <v>0</v>
      </c>
      <c r="I2587" s="190">
        <v>0</v>
      </c>
      <c r="J2587" s="190">
        <v>51300000</v>
      </c>
      <c r="K2587" s="190">
        <v>0</v>
      </c>
      <c r="L2587" s="191">
        <v>-51300000</v>
      </c>
      <c r="M2587" s="190">
        <v>0</v>
      </c>
      <c r="N2587" s="190">
        <v>28200000</v>
      </c>
      <c r="O2587" s="190">
        <v>0</v>
      </c>
      <c r="P2587" s="190">
        <v>0</v>
      </c>
      <c r="Q2587" s="169">
        <v>0</v>
      </c>
      <c r="R2587" s="169">
        <v>0</v>
      </c>
    </row>
    <row r="2588" spans="1:18" x14ac:dyDescent="0.25">
      <c r="A2588" s="116" t="s">
        <v>1284</v>
      </c>
      <c r="B2588" s="116">
        <v>2020</v>
      </c>
      <c r="C2588" s="116" t="s">
        <v>1285</v>
      </c>
      <c r="D2588" s="101">
        <v>3145000000</v>
      </c>
      <c r="E2588" s="189">
        <v>3145000000</v>
      </c>
      <c r="F2588" s="189">
        <v>3145000000</v>
      </c>
      <c r="G2588" s="190">
        <v>426933006.43000001</v>
      </c>
      <c r="H2588" s="190">
        <v>1551827.14</v>
      </c>
      <c r="I2588" s="190">
        <v>208133907.77000001</v>
      </c>
      <c r="J2588" s="190">
        <v>248428537.50999999</v>
      </c>
      <c r="K2588" s="190">
        <v>228636784.37</v>
      </c>
      <c r="L2588" s="190">
        <v>192166944.25999999</v>
      </c>
      <c r="M2588" s="190">
        <v>207312178.33000001</v>
      </c>
      <c r="N2588" s="190">
        <v>212247370.47999999</v>
      </c>
      <c r="O2588" s="190">
        <v>429338090.58999997</v>
      </c>
      <c r="P2588" s="190">
        <v>179188042.24000001</v>
      </c>
      <c r="Q2588" s="169">
        <v>-5009738.3899999997</v>
      </c>
      <c r="R2588" s="169">
        <v>0</v>
      </c>
    </row>
    <row r="2589" spans="1:18" x14ac:dyDescent="0.25">
      <c r="A2589" s="116" t="s">
        <v>1286</v>
      </c>
      <c r="B2589" s="116">
        <v>2020</v>
      </c>
      <c r="C2589" s="116" t="s">
        <v>1287</v>
      </c>
      <c r="D2589" s="101">
        <v>1105000000</v>
      </c>
      <c r="E2589" s="189">
        <v>1105000000</v>
      </c>
      <c r="F2589" s="189">
        <v>1105000000</v>
      </c>
      <c r="G2589" s="190">
        <v>72242355.920000002</v>
      </c>
      <c r="H2589" s="190">
        <v>343924165.61000001</v>
      </c>
      <c r="I2589" s="190">
        <v>66239475.060000002</v>
      </c>
      <c r="J2589" s="190">
        <v>72125011.060000002</v>
      </c>
      <c r="K2589" s="190">
        <v>180141649.37</v>
      </c>
      <c r="L2589" s="190">
        <v>169739596.03</v>
      </c>
      <c r="M2589" s="190">
        <v>140906056.91999999</v>
      </c>
      <c r="N2589" s="190">
        <v>94464415.209999993</v>
      </c>
      <c r="O2589" s="190">
        <v>-132505307.90000001</v>
      </c>
      <c r="P2589" s="190">
        <v>169604869.44</v>
      </c>
      <c r="Q2589" s="169">
        <v>170662106.78</v>
      </c>
      <c r="R2589" s="169">
        <v>0</v>
      </c>
    </row>
    <row r="2590" spans="1:18" x14ac:dyDescent="0.25">
      <c r="A2590" s="116" t="s">
        <v>57</v>
      </c>
      <c r="B2590" s="116">
        <v>2020</v>
      </c>
      <c r="C2590" s="116" t="s">
        <v>56</v>
      </c>
      <c r="D2590" s="101"/>
      <c r="E2590" s="189">
        <v>49634900</v>
      </c>
      <c r="F2590" s="189">
        <v>49634900</v>
      </c>
      <c r="G2590" s="190">
        <v>0</v>
      </c>
      <c r="H2590" s="190">
        <v>0</v>
      </c>
      <c r="I2590" s="190">
        <v>0</v>
      </c>
      <c r="J2590" s="190">
        <v>0</v>
      </c>
      <c r="K2590" s="190">
        <v>0</v>
      </c>
      <c r="L2590" s="190">
        <v>0</v>
      </c>
      <c r="M2590" s="190">
        <v>49634900</v>
      </c>
      <c r="N2590" s="190">
        <v>0</v>
      </c>
      <c r="O2590" s="190">
        <v>0</v>
      </c>
      <c r="P2590" s="190">
        <v>0</v>
      </c>
      <c r="Q2590" s="169">
        <v>0</v>
      </c>
      <c r="R2590" s="169">
        <v>0</v>
      </c>
    </row>
    <row r="2591" spans="1:18" x14ac:dyDescent="0.25">
      <c r="A2591" s="116" t="s">
        <v>1318</v>
      </c>
      <c r="B2591" s="116">
        <v>2020</v>
      </c>
      <c r="C2591" s="116" t="s">
        <v>1319</v>
      </c>
      <c r="D2591" s="101">
        <v>6608472961</v>
      </c>
      <c r="E2591" s="189">
        <v>4986046263</v>
      </c>
      <c r="F2591" s="189">
        <v>4986046263</v>
      </c>
      <c r="G2591" s="190">
        <v>0</v>
      </c>
      <c r="H2591" s="190">
        <v>0</v>
      </c>
      <c r="I2591" s="190">
        <v>0</v>
      </c>
      <c r="J2591" s="190">
        <v>0</v>
      </c>
      <c r="K2591" s="190">
        <v>0</v>
      </c>
      <c r="L2591" s="190">
        <v>0</v>
      </c>
      <c r="M2591" s="190">
        <v>0</v>
      </c>
      <c r="N2591" s="190">
        <v>0</v>
      </c>
      <c r="O2591" s="190">
        <v>0</v>
      </c>
      <c r="P2591" s="190">
        <v>0</v>
      </c>
      <c r="Q2591" s="169">
        <v>0</v>
      </c>
      <c r="R2591" s="169">
        <v>0</v>
      </c>
    </row>
    <row r="2592" spans="1:18" x14ac:dyDescent="0.25">
      <c r="A2592" s="116" t="s">
        <v>1326</v>
      </c>
      <c r="B2592" s="116">
        <v>2020</v>
      </c>
      <c r="C2592" s="116" t="s">
        <v>1327</v>
      </c>
      <c r="D2592" s="169">
        <v>0</v>
      </c>
      <c r="E2592" s="189">
        <v>75000000000</v>
      </c>
      <c r="F2592" s="189">
        <v>75000000000</v>
      </c>
      <c r="G2592" s="190">
        <v>0</v>
      </c>
      <c r="H2592" s="190">
        <v>0</v>
      </c>
      <c r="I2592" s="190">
        <v>0</v>
      </c>
      <c r="J2592" s="190">
        <v>0</v>
      </c>
      <c r="K2592" s="190">
        <v>75000000000</v>
      </c>
      <c r="L2592" s="190">
        <v>0</v>
      </c>
      <c r="M2592" s="190">
        <v>0</v>
      </c>
      <c r="N2592" s="191">
        <v>0</v>
      </c>
      <c r="O2592" s="190">
        <v>0</v>
      </c>
      <c r="P2592" s="190">
        <v>0</v>
      </c>
      <c r="Q2592" s="169">
        <v>0</v>
      </c>
      <c r="R2592" s="169">
        <v>0</v>
      </c>
    </row>
    <row r="2593" spans="1:18" x14ac:dyDescent="0.25">
      <c r="A2593" s="116" t="s">
        <v>49</v>
      </c>
      <c r="B2593" s="116">
        <v>2020</v>
      </c>
      <c r="C2593" s="116" t="s">
        <v>48</v>
      </c>
      <c r="D2593" s="101">
        <v>732814048336</v>
      </c>
      <c r="E2593" s="189">
        <v>832814048336</v>
      </c>
      <c r="F2593" s="189">
        <v>832814048336</v>
      </c>
      <c r="G2593" s="190">
        <v>1034840383.15</v>
      </c>
      <c r="H2593" s="190">
        <v>5038746799.3000002</v>
      </c>
      <c r="I2593" s="190">
        <v>35492797993.269997</v>
      </c>
      <c r="J2593" s="190">
        <v>659321335.23000002</v>
      </c>
      <c r="K2593" s="190">
        <v>36432066915.080002</v>
      </c>
      <c r="L2593" s="190">
        <v>10309124624.209999</v>
      </c>
      <c r="M2593" s="190">
        <v>79307607457.509995</v>
      </c>
      <c r="N2593" s="190">
        <v>65424972114.669998</v>
      </c>
      <c r="O2593" s="190">
        <v>68894563028.789993</v>
      </c>
      <c r="P2593" s="190">
        <v>40943733877.059998</v>
      </c>
      <c r="Q2593" s="169">
        <v>64200988785.349998</v>
      </c>
      <c r="R2593" s="169">
        <v>0</v>
      </c>
    </row>
    <row r="2594" spans="1:18" x14ac:dyDescent="0.25">
      <c r="A2594" s="116" t="s">
        <v>47</v>
      </c>
      <c r="B2594" s="116">
        <v>2020</v>
      </c>
      <c r="C2594" s="116" t="s">
        <v>46</v>
      </c>
      <c r="D2594" s="101">
        <v>9386215110</v>
      </c>
      <c r="E2594" s="189">
        <v>9386215110</v>
      </c>
      <c r="F2594" s="189">
        <v>9386215110</v>
      </c>
      <c r="G2594" s="190">
        <v>0</v>
      </c>
      <c r="H2594" s="190">
        <v>0</v>
      </c>
      <c r="I2594" s="190">
        <v>0</v>
      </c>
      <c r="J2594" s="190">
        <v>0</v>
      </c>
      <c r="K2594" s="190">
        <v>0</v>
      </c>
      <c r="L2594" s="190">
        <v>0</v>
      </c>
      <c r="M2594" s="190">
        <v>0</v>
      </c>
      <c r="N2594" s="190">
        <v>0</v>
      </c>
      <c r="O2594" s="190">
        <v>0</v>
      </c>
      <c r="P2594" s="190">
        <v>0</v>
      </c>
      <c r="Q2594" s="169">
        <v>0</v>
      </c>
      <c r="R2594" s="169">
        <v>0</v>
      </c>
    </row>
    <row r="2595" spans="1:18" x14ac:dyDescent="0.25">
      <c r="A2595" s="116" t="s">
        <v>45</v>
      </c>
      <c r="B2595" s="116">
        <v>2020</v>
      </c>
      <c r="C2595" s="116" t="s">
        <v>44</v>
      </c>
      <c r="D2595" s="101">
        <v>150000000000</v>
      </c>
      <c r="E2595" s="189">
        <v>150000000000</v>
      </c>
      <c r="F2595" s="189">
        <v>150000000000</v>
      </c>
      <c r="G2595" s="190">
        <v>0</v>
      </c>
      <c r="H2595" s="190">
        <v>0</v>
      </c>
      <c r="I2595" s="190">
        <v>0</v>
      </c>
      <c r="J2595" s="190">
        <v>0</v>
      </c>
      <c r="K2595" s="190">
        <v>0</v>
      </c>
      <c r="L2595" s="190">
        <v>0</v>
      </c>
      <c r="M2595" s="190">
        <v>0</v>
      </c>
      <c r="N2595" s="190">
        <v>0</v>
      </c>
      <c r="O2595" s="190">
        <v>0</v>
      </c>
      <c r="P2595" s="190">
        <v>0</v>
      </c>
      <c r="Q2595" s="169">
        <v>0</v>
      </c>
      <c r="R2595" s="169">
        <v>0</v>
      </c>
    </row>
    <row r="2596" spans="1:18" x14ac:dyDescent="0.25">
      <c r="A2596" s="116" t="s">
        <v>43</v>
      </c>
      <c r="B2596" s="116">
        <v>2020</v>
      </c>
      <c r="C2596" s="116" t="s">
        <v>42</v>
      </c>
      <c r="D2596" s="169">
        <v>4152612940568</v>
      </c>
      <c r="E2596" s="189">
        <v>3573494378132.75</v>
      </c>
      <c r="F2596" s="189">
        <v>3573494378132.75</v>
      </c>
      <c r="G2596" s="190">
        <v>163290753746.62</v>
      </c>
      <c r="H2596" s="190">
        <v>170882748045.14999</v>
      </c>
      <c r="I2596" s="190">
        <v>207723215026.19</v>
      </c>
      <c r="J2596" s="190">
        <v>60645899880.93</v>
      </c>
      <c r="K2596" s="190">
        <v>29819375683.869999</v>
      </c>
      <c r="L2596" s="190">
        <v>100669245573</v>
      </c>
      <c r="M2596" s="190">
        <v>316261855727.66998</v>
      </c>
      <c r="N2596" s="190">
        <v>203455500503.07001</v>
      </c>
      <c r="O2596" s="190">
        <v>507647469646.67999</v>
      </c>
      <c r="P2596" s="190">
        <v>276654675596.79999</v>
      </c>
      <c r="Q2596" s="169">
        <v>191758836932.35999</v>
      </c>
      <c r="R2596" s="169">
        <v>0</v>
      </c>
    </row>
    <row r="2597" spans="1:18" x14ac:dyDescent="0.25">
      <c r="A2597" s="116" t="s">
        <v>41</v>
      </c>
      <c r="B2597" s="116">
        <v>2020</v>
      </c>
      <c r="C2597" s="116" t="s">
        <v>40</v>
      </c>
      <c r="D2597" s="169">
        <v>0</v>
      </c>
      <c r="E2597" s="189">
        <v>1795787361.1300001</v>
      </c>
      <c r="F2597" s="169">
        <v>0</v>
      </c>
      <c r="G2597" s="190">
        <v>0</v>
      </c>
      <c r="H2597" s="190">
        <v>0</v>
      </c>
      <c r="I2597" s="190">
        <v>0</v>
      </c>
      <c r="J2597" s="190">
        <v>0</v>
      </c>
      <c r="K2597" s="190">
        <v>0</v>
      </c>
      <c r="L2597" s="190">
        <v>0</v>
      </c>
      <c r="M2597" s="190">
        <v>0</v>
      </c>
      <c r="N2597" s="190">
        <v>0</v>
      </c>
      <c r="O2597" s="190">
        <v>0</v>
      </c>
      <c r="P2597" s="190">
        <v>0</v>
      </c>
      <c r="Q2597" s="169">
        <v>0</v>
      </c>
      <c r="R2597" s="169">
        <v>0</v>
      </c>
    </row>
    <row r="2598" spans="1:18" x14ac:dyDescent="0.25">
      <c r="A2598" s="116" t="s">
        <v>1308</v>
      </c>
      <c r="B2598" s="116">
        <v>2020</v>
      </c>
      <c r="C2598" s="116" t="s">
        <v>1312</v>
      </c>
      <c r="D2598" s="169">
        <v>0</v>
      </c>
      <c r="E2598" s="189">
        <v>32074736400</v>
      </c>
      <c r="F2598" s="169">
        <v>298605000</v>
      </c>
      <c r="G2598" s="190">
        <v>0</v>
      </c>
      <c r="H2598" s="190">
        <v>0</v>
      </c>
      <c r="I2598" s="190">
        <v>0</v>
      </c>
      <c r="J2598" s="190">
        <v>0</v>
      </c>
      <c r="K2598" s="190">
        <v>0</v>
      </c>
      <c r="L2598" s="190">
        <v>0</v>
      </c>
      <c r="M2598" s="190">
        <v>0</v>
      </c>
      <c r="N2598" s="190">
        <v>298605000</v>
      </c>
      <c r="O2598" s="190">
        <v>0</v>
      </c>
      <c r="P2598" s="190">
        <v>0</v>
      </c>
      <c r="Q2598" s="169">
        <v>0</v>
      </c>
      <c r="R2598" s="169">
        <v>0</v>
      </c>
    </row>
    <row r="2599" spans="1:18" x14ac:dyDescent="0.25">
      <c r="A2599" s="116" t="s">
        <v>39</v>
      </c>
      <c r="B2599" s="116">
        <v>2020</v>
      </c>
      <c r="C2599" s="116" t="s">
        <v>38</v>
      </c>
      <c r="D2599" s="169">
        <v>0</v>
      </c>
      <c r="E2599" s="189">
        <v>2003121168.4400001</v>
      </c>
      <c r="F2599" s="169">
        <v>0</v>
      </c>
      <c r="G2599" s="190">
        <v>0</v>
      </c>
      <c r="H2599" s="190">
        <v>0</v>
      </c>
      <c r="I2599" s="190">
        <v>0</v>
      </c>
      <c r="J2599" s="190">
        <v>0</v>
      </c>
      <c r="K2599" s="190">
        <v>0</v>
      </c>
      <c r="L2599" s="190">
        <v>0</v>
      </c>
      <c r="M2599" s="190">
        <v>0</v>
      </c>
      <c r="N2599" s="190">
        <v>0</v>
      </c>
      <c r="O2599" s="190">
        <v>0</v>
      </c>
      <c r="P2599" s="190">
        <v>0</v>
      </c>
      <c r="Q2599" s="169">
        <v>0</v>
      </c>
      <c r="R2599" s="169">
        <v>0</v>
      </c>
    </row>
    <row r="2600" spans="1:18" x14ac:dyDescent="0.25">
      <c r="A2600" s="116" t="s">
        <v>35</v>
      </c>
      <c r="B2600" s="116">
        <v>2020</v>
      </c>
      <c r="C2600" s="116" t="s">
        <v>34</v>
      </c>
      <c r="D2600" s="169">
        <v>0</v>
      </c>
      <c r="E2600" s="189">
        <v>5579019748.1999998</v>
      </c>
      <c r="F2600" s="169">
        <v>0</v>
      </c>
      <c r="G2600" s="190">
        <v>0</v>
      </c>
      <c r="H2600" s="190">
        <v>0</v>
      </c>
      <c r="I2600" s="190">
        <v>0</v>
      </c>
      <c r="J2600" s="190">
        <v>0</v>
      </c>
      <c r="K2600" s="190">
        <v>0</v>
      </c>
      <c r="L2600" s="190">
        <v>0</v>
      </c>
      <c r="M2600" s="190">
        <v>0</v>
      </c>
      <c r="N2600" s="190">
        <v>0</v>
      </c>
      <c r="O2600" s="190">
        <v>0</v>
      </c>
      <c r="P2600" s="190">
        <v>0</v>
      </c>
      <c r="Q2600" s="169">
        <v>0</v>
      </c>
      <c r="R2600" s="169">
        <v>0</v>
      </c>
    </row>
    <row r="2601" spans="1:18" x14ac:dyDescent="0.25">
      <c r="A2601" s="116" t="s">
        <v>29</v>
      </c>
      <c r="B2601" s="116">
        <v>2020</v>
      </c>
      <c r="C2601" s="116" t="s">
        <v>28</v>
      </c>
      <c r="D2601" s="169">
        <v>0</v>
      </c>
      <c r="E2601" s="189">
        <v>93466517.420000002</v>
      </c>
      <c r="F2601" s="169">
        <v>0</v>
      </c>
      <c r="G2601" s="190">
        <v>0</v>
      </c>
      <c r="H2601" s="190">
        <v>0</v>
      </c>
      <c r="I2601" s="190">
        <v>0</v>
      </c>
      <c r="J2601" s="190">
        <v>0</v>
      </c>
      <c r="K2601" s="190">
        <v>0</v>
      </c>
      <c r="L2601" s="190">
        <v>0</v>
      </c>
      <c r="M2601" s="190">
        <v>0</v>
      </c>
      <c r="N2601" s="190">
        <v>0</v>
      </c>
      <c r="O2601" s="190">
        <v>0</v>
      </c>
      <c r="P2601" s="190">
        <v>0</v>
      </c>
      <c r="Q2601" s="169">
        <v>0</v>
      </c>
      <c r="R2601" s="169">
        <v>0</v>
      </c>
    </row>
    <row r="2602" spans="1:18" x14ac:dyDescent="0.25">
      <c r="A2602" s="116" t="s">
        <v>27</v>
      </c>
      <c r="B2602" s="116">
        <v>2020</v>
      </c>
      <c r="C2602" s="116" t="s">
        <v>26</v>
      </c>
      <c r="D2602" s="169">
        <v>0</v>
      </c>
      <c r="E2602" s="189">
        <v>11874890347.629999</v>
      </c>
      <c r="F2602" s="169">
        <v>1210335244.3</v>
      </c>
      <c r="G2602" s="190">
        <v>16745645.77</v>
      </c>
      <c r="H2602" s="190">
        <v>98728110.370000005</v>
      </c>
      <c r="I2602" s="190">
        <v>235787814.00999999</v>
      </c>
      <c r="J2602" s="190">
        <v>259205697.72</v>
      </c>
      <c r="K2602" s="190">
        <v>182831257.37</v>
      </c>
      <c r="L2602" s="190">
        <v>55609818.170000002</v>
      </c>
      <c r="M2602" s="190">
        <v>68677393.159999996</v>
      </c>
      <c r="N2602" s="190">
        <v>81835764.859999999</v>
      </c>
      <c r="O2602" s="190">
        <v>99351154.969999999</v>
      </c>
      <c r="P2602" s="190">
        <v>111562587.90000001</v>
      </c>
      <c r="Q2602" s="169">
        <v>0</v>
      </c>
      <c r="R2602" s="169">
        <v>0</v>
      </c>
    </row>
    <row r="2603" spans="1:18" x14ac:dyDescent="0.25">
      <c r="A2603" s="116" t="s">
        <v>25</v>
      </c>
      <c r="B2603" s="116">
        <v>2020</v>
      </c>
      <c r="C2603" s="116" t="s">
        <v>24</v>
      </c>
      <c r="D2603" s="169">
        <v>0</v>
      </c>
      <c r="E2603" s="189">
        <v>139170700000</v>
      </c>
      <c r="F2603" s="169">
        <v>0</v>
      </c>
      <c r="G2603" s="190">
        <v>0</v>
      </c>
      <c r="H2603" s="190">
        <v>0</v>
      </c>
      <c r="I2603" s="190">
        <v>0</v>
      </c>
      <c r="J2603" s="190">
        <v>0</v>
      </c>
      <c r="K2603" s="190">
        <v>0</v>
      </c>
      <c r="L2603" s="190">
        <v>0</v>
      </c>
      <c r="M2603" s="190">
        <v>0</v>
      </c>
      <c r="N2603" s="190">
        <v>0</v>
      </c>
      <c r="O2603" s="190">
        <v>0</v>
      </c>
      <c r="P2603" s="190">
        <v>0</v>
      </c>
      <c r="Q2603" s="169">
        <v>0</v>
      </c>
      <c r="R2603" s="169">
        <v>0</v>
      </c>
    </row>
    <row r="2604" spans="1:18" x14ac:dyDescent="0.25">
      <c r="A2604" s="116" t="s">
        <v>23</v>
      </c>
      <c r="B2604" s="116">
        <v>2020</v>
      </c>
      <c r="C2604" s="116" t="s">
        <v>22</v>
      </c>
      <c r="D2604" s="169">
        <v>0</v>
      </c>
      <c r="E2604" s="189">
        <v>30254500000</v>
      </c>
      <c r="F2604" s="169">
        <v>0</v>
      </c>
      <c r="G2604" s="190">
        <v>0</v>
      </c>
      <c r="H2604" s="190">
        <v>0</v>
      </c>
      <c r="I2604" s="190">
        <v>0</v>
      </c>
      <c r="J2604" s="190">
        <v>0</v>
      </c>
      <c r="K2604" s="190">
        <v>0</v>
      </c>
      <c r="L2604" s="190">
        <v>0</v>
      </c>
      <c r="M2604" s="190">
        <v>0</v>
      </c>
      <c r="N2604" s="190">
        <v>0</v>
      </c>
      <c r="O2604" s="190">
        <v>0</v>
      </c>
      <c r="P2604" s="190">
        <v>0</v>
      </c>
      <c r="Q2604" s="169">
        <v>0</v>
      </c>
      <c r="R2604" s="169">
        <v>0</v>
      </c>
    </row>
    <row r="2605" spans="1:18" x14ac:dyDescent="0.25">
      <c r="A2605" s="116" t="s">
        <v>21</v>
      </c>
      <c r="B2605" s="116">
        <v>2020</v>
      </c>
      <c r="C2605" s="116" t="s">
        <v>18</v>
      </c>
      <c r="D2605" s="169">
        <v>0</v>
      </c>
      <c r="E2605" s="189">
        <v>58798699500.449997</v>
      </c>
      <c r="F2605" s="169">
        <v>711657371.60000002</v>
      </c>
      <c r="G2605" s="190">
        <v>31100941.18</v>
      </c>
      <c r="H2605" s="190">
        <v>48485477.25</v>
      </c>
      <c r="I2605" s="190">
        <v>51794879.039999999</v>
      </c>
      <c r="J2605" s="190">
        <v>67168458.209999993</v>
      </c>
      <c r="K2605" s="190">
        <v>69408364.459999993</v>
      </c>
      <c r="L2605" s="190">
        <v>111454816.41</v>
      </c>
      <c r="M2605" s="190">
        <v>77757931.980000004</v>
      </c>
      <c r="N2605" s="190">
        <v>57890057.450000003</v>
      </c>
      <c r="O2605" s="190">
        <v>101498928.73</v>
      </c>
      <c r="P2605" s="190">
        <v>95097516.890000001</v>
      </c>
      <c r="Q2605" s="169">
        <v>0</v>
      </c>
      <c r="R2605" s="169">
        <v>0</v>
      </c>
    </row>
    <row r="2606" spans="1:18" x14ac:dyDescent="0.25">
      <c r="A2606" s="116" t="s">
        <v>1235</v>
      </c>
      <c r="B2606" s="116">
        <v>2020</v>
      </c>
      <c r="C2606" s="116" t="s">
        <v>1236</v>
      </c>
      <c r="D2606" s="169">
        <v>0</v>
      </c>
      <c r="E2606" s="189">
        <v>535478800</v>
      </c>
      <c r="F2606" s="169">
        <v>0</v>
      </c>
      <c r="G2606" s="190">
        <v>0</v>
      </c>
      <c r="H2606" s="190">
        <v>0</v>
      </c>
      <c r="I2606" s="190">
        <v>0</v>
      </c>
      <c r="J2606" s="190">
        <v>0</v>
      </c>
      <c r="K2606" s="190">
        <v>0</v>
      </c>
      <c r="L2606" s="190">
        <v>0</v>
      </c>
      <c r="M2606" s="190">
        <v>0</v>
      </c>
      <c r="N2606" s="190">
        <v>0</v>
      </c>
      <c r="O2606" s="190">
        <v>0</v>
      </c>
      <c r="P2606" s="190">
        <v>0</v>
      </c>
      <c r="Q2606" s="169">
        <v>0</v>
      </c>
      <c r="R2606" s="169">
        <v>0</v>
      </c>
    </row>
    <row r="2607" spans="1:18" x14ac:dyDescent="0.25">
      <c r="A2607" s="116" t="s">
        <v>1241</v>
      </c>
      <c r="B2607" s="116">
        <v>2020</v>
      </c>
      <c r="C2607" s="116" t="s">
        <v>1242</v>
      </c>
      <c r="D2607" s="169">
        <v>0</v>
      </c>
      <c r="E2607" s="189">
        <v>81373344448.759995</v>
      </c>
      <c r="F2607" s="169">
        <v>9587673499.3199997</v>
      </c>
      <c r="G2607" s="190">
        <v>0</v>
      </c>
      <c r="H2607" s="190">
        <v>505298839.68000001</v>
      </c>
      <c r="I2607" s="190">
        <v>1808256564.49</v>
      </c>
      <c r="J2607" s="190">
        <v>923556566.13999999</v>
      </c>
      <c r="K2607" s="190">
        <v>534407160.58999997</v>
      </c>
      <c r="L2607" s="190">
        <v>806065291.17999995</v>
      </c>
      <c r="M2607" s="190">
        <v>600511756.27999997</v>
      </c>
      <c r="N2607" s="190">
        <v>1276402568.5599999</v>
      </c>
      <c r="O2607" s="190">
        <v>720999632.87</v>
      </c>
      <c r="P2607" s="190">
        <v>2412175119.5300002</v>
      </c>
      <c r="Q2607" s="169">
        <v>0</v>
      </c>
      <c r="R2607" s="169">
        <v>0</v>
      </c>
    </row>
    <row r="2608" spans="1:18" x14ac:dyDescent="0.25">
      <c r="A2608" s="116" t="s">
        <v>1309</v>
      </c>
      <c r="B2608" s="116">
        <v>2020</v>
      </c>
      <c r="C2608" s="116" t="s">
        <v>1313</v>
      </c>
      <c r="D2608" s="169">
        <v>0</v>
      </c>
      <c r="E2608" s="189">
        <v>57200709693</v>
      </c>
      <c r="F2608" s="169">
        <v>57200709693</v>
      </c>
      <c r="G2608" s="190">
        <v>0</v>
      </c>
      <c r="H2608" s="190">
        <v>19820830917.369999</v>
      </c>
      <c r="I2608" s="190">
        <v>37379878775.629997</v>
      </c>
      <c r="J2608" s="190">
        <v>0</v>
      </c>
      <c r="K2608" s="190">
        <v>0</v>
      </c>
      <c r="L2608" s="190">
        <v>0</v>
      </c>
      <c r="M2608" s="190">
        <v>0</v>
      </c>
      <c r="N2608" s="190">
        <v>0</v>
      </c>
      <c r="O2608" s="190">
        <v>0</v>
      </c>
      <c r="P2608" s="190">
        <v>0</v>
      </c>
      <c r="Q2608" s="169">
        <v>0</v>
      </c>
      <c r="R2608" s="169">
        <v>0</v>
      </c>
    </row>
    <row r="2609" spans="1:18" x14ac:dyDescent="0.25">
      <c r="A2609" s="116" t="s">
        <v>1346</v>
      </c>
      <c r="B2609" s="116">
        <v>2020</v>
      </c>
      <c r="C2609" s="116" t="s">
        <v>1347</v>
      </c>
      <c r="D2609" s="169">
        <v>0</v>
      </c>
      <c r="E2609" s="189">
        <v>131612900000</v>
      </c>
      <c r="F2609" s="169">
        <v>44202103927.940002</v>
      </c>
      <c r="G2609" s="190">
        <v>0</v>
      </c>
      <c r="H2609" s="190">
        <v>0</v>
      </c>
      <c r="I2609" s="190">
        <v>0</v>
      </c>
      <c r="J2609" s="190">
        <v>0</v>
      </c>
      <c r="K2609" s="190">
        <v>0</v>
      </c>
      <c r="L2609" s="190">
        <v>0</v>
      </c>
      <c r="M2609" s="190">
        <v>0</v>
      </c>
      <c r="N2609" s="190">
        <v>0</v>
      </c>
      <c r="O2609" s="190">
        <v>14462154300.610001</v>
      </c>
      <c r="P2609" s="190">
        <v>29739949627.330002</v>
      </c>
      <c r="Q2609" s="169">
        <v>0</v>
      </c>
      <c r="R2609" s="169">
        <v>0</v>
      </c>
    </row>
    <row r="2610" spans="1:18" x14ac:dyDescent="0.25">
      <c r="A2610" s="116" t="s">
        <v>17</v>
      </c>
      <c r="B2610" s="116">
        <v>2020</v>
      </c>
      <c r="C2610" s="116" t="s">
        <v>16</v>
      </c>
      <c r="D2610" s="169">
        <v>0</v>
      </c>
      <c r="E2610" s="189">
        <v>67904700000</v>
      </c>
      <c r="F2610" s="169">
        <v>60216050000</v>
      </c>
      <c r="G2610" s="190">
        <v>0</v>
      </c>
      <c r="H2610" s="190">
        <v>0</v>
      </c>
      <c r="I2610" s="190">
        <v>0</v>
      </c>
      <c r="J2610" s="190">
        <v>0</v>
      </c>
      <c r="K2610" s="190">
        <v>28519000000</v>
      </c>
      <c r="L2610" s="190">
        <v>31697050000</v>
      </c>
      <c r="M2610" s="190">
        <v>0</v>
      </c>
      <c r="N2610" s="190">
        <v>0</v>
      </c>
      <c r="O2610" s="190">
        <v>0</v>
      </c>
      <c r="P2610" s="190">
        <v>0</v>
      </c>
      <c r="Q2610" s="169">
        <v>0</v>
      </c>
      <c r="R2610" s="169">
        <v>0</v>
      </c>
    </row>
    <row r="2611" spans="1:18" x14ac:dyDescent="0.25">
      <c r="A2611" s="116" t="s">
        <v>13</v>
      </c>
      <c r="B2611" s="116">
        <v>2020</v>
      </c>
      <c r="C2611" s="116" t="s">
        <v>11</v>
      </c>
      <c r="D2611" s="169">
        <v>0</v>
      </c>
      <c r="E2611" s="189">
        <v>471934547.75</v>
      </c>
      <c r="F2611" s="169">
        <v>0</v>
      </c>
      <c r="G2611" s="190">
        <v>0</v>
      </c>
      <c r="H2611" s="190">
        <v>0</v>
      </c>
      <c r="I2611" s="190">
        <v>0</v>
      </c>
      <c r="J2611" s="190">
        <v>0</v>
      </c>
      <c r="K2611" s="190">
        <v>0</v>
      </c>
      <c r="L2611" s="190">
        <v>0</v>
      </c>
      <c r="M2611" s="190">
        <v>0</v>
      </c>
      <c r="N2611" s="190">
        <v>0</v>
      </c>
      <c r="O2611" s="190">
        <v>0</v>
      </c>
      <c r="P2611" s="190">
        <v>0</v>
      </c>
      <c r="Q2611" s="169">
        <v>0</v>
      </c>
      <c r="R2611" s="169">
        <v>0</v>
      </c>
    </row>
    <row r="2612" spans="1:18" x14ac:dyDescent="0.25">
      <c r="A2612" s="116" t="s">
        <v>10</v>
      </c>
      <c r="B2612" s="116">
        <v>2020</v>
      </c>
      <c r="C2612" s="116" t="s">
        <v>9</v>
      </c>
      <c r="D2612" s="169">
        <v>0</v>
      </c>
      <c r="E2612" s="189">
        <v>754868880.95000005</v>
      </c>
      <c r="F2612" s="169">
        <v>506672837.48000002</v>
      </c>
      <c r="G2612" s="190">
        <v>0</v>
      </c>
      <c r="H2612" s="190">
        <v>0</v>
      </c>
      <c r="I2612" s="190">
        <v>313644825</v>
      </c>
      <c r="J2612" s="190">
        <v>193028012.47999999</v>
      </c>
      <c r="K2612" s="190">
        <v>0</v>
      </c>
      <c r="L2612" s="190">
        <v>0</v>
      </c>
      <c r="M2612" s="190">
        <v>0</v>
      </c>
      <c r="N2612" s="190">
        <v>0</v>
      </c>
      <c r="O2612" s="190">
        <v>0</v>
      </c>
      <c r="P2612" s="190">
        <v>0</v>
      </c>
      <c r="Q2612" s="169">
        <v>0</v>
      </c>
      <c r="R2612" s="169">
        <v>0</v>
      </c>
    </row>
    <row r="2613" spans="1:18" x14ac:dyDescent="0.25">
      <c r="A2613" s="116" t="s">
        <v>1320</v>
      </c>
      <c r="B2613" s="116">
        <v>2020</v>
      </c>
      <c r="C2613" s="116" t="s">
        <v>1321</v>
      </c>
      <c r="D2613" s="169">
        <v>0</v>
      </c>
      <c r="E2613" s="189">
        <v>290710000000</v>
      </c>
      <c r="F2613" s="169">
        <v>290663994583.40002</v>
      </c>
      <c r="G2613" s="190">
        <v>0</v>
      </c>
      <c r="H2613" s="190">
        <v>0</v>
      </c>
      <c r="I2613" s="190">
        <v>0</v>
      </c>
      <c r="J2613" s="190">
        <v>0</v>
      </c>
      <c r="K2613" s="190">
        <v>31390875000</v>
      </c>
      <c r="L2613" s="190">
        <v>147173742242.17001</v>
      </c>
      <c r="M2613" s="190">
        <v>14582501403.790001</v>
      </c>
      <c r="N2613" s="190">
        <v>15200861552.01</v>
      </c>
      <c r="O2613" s="190">
        <v>82292264385.429993</v>
      </c>
      <c r="P2613" s="190">
        <v>23750000</v>
      </c>
      <c r="Q2613" s="169">
        <v>0</v>
      </c>
      <c r="R2613" s="169">
        <v>0</v>
      </c>
    </row>
    <row r="2614" spans="1:18" x14ac:dyDescent="0.25">
      <c r="A2614" s="116" t="s">
        <v>1348</v>
      </c>
      <c r="B2614" s="116">
        <v>2020</v>
      </c>
      <c r="C2614" s="116" t="s">
        <v>1349</v>
      </c>
      <c r="D2614" s="169">
        <v>0</v>
      </c>
      <c r="E2614" s="189">
        <v>85728857988.899994</v>
      </c>
      <c r="F2614" s="169">
        <v>0</v>
      </c>
      <c r="G2614" s="190">
        <v>0</v>
      </c>
      <c r="H2614" s="190">
        <v>0</v>
      </c>
      <c r="I2614" s="190">
        <v>0</v>
      </c>
      <c r="J2614" s="190">
        <v>0</v>
      </c>
      <c r="K2614" s="190">
        <v>0</v>
      </c>
      <c r="L2614" s="190">
        <v>0</v>
      </c>
      <c r="M2614" s="190">
        <v>0</v>
      </c>
      <c r="N2614" s="190">
        <v>0</v>
      </c>
      <c r="O2614" s="190">
        <v>0</v>
      </c>
      <c r="P2614" s="190">
        <v>0</v>
      </c>
      <c r="Q2614" s="169">
        <v>0</v>
      </c>
      <c r="R2614" s="169">
        <v>0</v>
      </c>
    </row>
    <row r="2615" spans="1:18" x14ac:dyDescent="0.25">
      <c r="A2615" s="116" t="s">
        <v>1350</v>
      </c>
      <c r="B2615" s="116">
        <v>2020</v>
      </c>
      <c r="C2615" s="116" t="s">
        <v>1351</v>
      </c>
      <c r="D2615" s="169">
        <v>0</v>
      </c>
      <c r="E2615" s="189">
        <v>311860335975.53003</v>
      </c>
      <c r="F2615" s="169">
        <v>68092293798.68</v>
      </c>
      <c r="G2615" s="190">
        <v>0</v>
      </c>
      <c r="H2615" s="190">
        <v>0</v>
      </c>
      <c r="I2615" s="190">
        <v>0</v>
      </c>
      <c r="J2615" s="190">
        <v>0</v>
      </c>
      <c r="K2615" s="190">
        <v>0</v>
      </c>
      <c r="L2615" s="190">
        <v>0</v>
      </c>
      <c r="M2615" s="190">
        <v>0</v>
      </c>
      <c r="N2615" s="190">
        <v>0</v>
      </c>
      <c r="O2615" s="190">
        <v>0</v>
      </c>
      <c r="P2615" s="190">
        <v>68092293798.68</v>
      </c>
      <c r="Q2615" s="169">
        <v>0</v>
      </c>
      <c r="R2615" s="169">
        <v>0</v>
      </c>
    </row>
    <row r="2616" spans="1:18" x14ac:dyDescent="0.25">
      <c r="A2616" s="116" t="s">
        <v>6</v>
      </c>
      <c r="B2616" s="116">
        <v>2020</v>
      </c>
      <c r="C2616" s="116" t="s">
        <v>4</v>
      </c>
      <c r="D2616" s="169">
        <v>0</v>
      </c>
      <c r="E2616" s="189">
        <v>4124321100.3400002</v>
      </c>
      <c r="F2616" s="169">
        <v>0</v>
      </c>
      <c r="G2616" s="190">
        <v>0</v>
      </c>
      <c r="H2616" s="190">
        <v>0</v>
      </c>
      <c r="I2616" s="190">
        <v>0</v>
      </c>
      <c r="J2616" s="190">
        <v>0</v>
      </c>
      <c r="K2616" s="190">
        <v>0</v>
      </c>
      <c r="L2616" s="190">
        <v>0</v>
      </c>
      <c r="M2616" s="190">
        <v>0</v>
      </c>
      <c r="N2616" s="190">
        <v>0</v>
      </c>
      <c r="O2616" s="190">
        <v>0</v>
      </c>
      <c r="P2616" s="190">
        <v>0</v>
      </c>
      <c r="Q2616" s="169">
        <v>0</v>
      </c>
      <c r="R2616" s="169">
        <v>0</v>
      </c>
    </row>
    <row r="2617" spans="1:18" x14ac:dyDescent="0.25">
      <c r="A2617" s="180" t="s">
        <v>5</v>
      </c>
      <c r="B2617" s="116">
        <v>2020</v>
      </c>
      <c r="C2617" s="116" t="s">
        <v>4</v>
      </c>
      <c r="D2617" s="103">
        <v>0</v>
      </c>
      <c r="E2617" s="189">
        <v>135472932272.55</v>
      </c>
      <c r="F2617" s="169">
        <v>15201182603.24</v>
      </c>
      <c r="G2617" s="190">
        <v>0</v>
      </c>
      <c r="H2617" s="190">
        <v>0</v>
      </c>
      <c r="I2617" s="190">
        <v>958422120.28999996</v>
      </c>
      <c r="J2617" s="190">
        <v>2118061750.1300001</v>
      </c>
      <c r="K2617" s="190">
        <v>0</v>
      </c>
      <c r="L2617" s="190">
        <v>2448916885.1399999</v>
      </c>
      <c r="M2617" s="190">
        <v>0</v>
      </c>
      <c r="N2617" s="190">
        <v>3486382226.3899999</v>
      </c>
      <c r="O2617" s="190">
        <v>1333723741.03</v>
      </c>
      <c r="P2617" s="190">
        <v>4855675880.2600002</v>
      </c>
      <c r="Q2617" s="169">
        <v>0</v>
      </c>
      <c r="R2617" s="169">
        <v>0</v>
      </c>
    </row>
    <row r="2618" spans="1:18" x14ac:dyDescent="0.25">
      <c r="A2618" s="180" t="s">
        <v>1310</v>
      </c>
      <c r="B2618" s="116">
        <v>2020</v>
      </c>
      <c r="C2618" s="116" t="s">
        <v>1314</v>
      </c>
      <c r="D2618" s="103">
        <v>0</v>
      </c>
      <c r="E2618" s="189">
        <v>50786692666.699997</v>
      </c>
      <c r="F2618" s="169">
        <v>0</v>
      </c>
      <c r="G2618" s="190">
        <v>0</v>
      </c>
      <c r="H2618" s="190">
        <v>0</v>
      </c>
      <c r="I2618" s="190">
        <v>0</v>
      </c>
      <c r="J2618" s="190">
        <v>0</v>
      </c>
      <c r="K2618" s="190">
        <v>0</v>
      </c>
      <c r="L2618" s="190">
        <v>0</v>
      </c>
      <c r="M2618" s="190">
        <v>0</v>
      </c>
      <c r="N2618" s="190">
        <v>0</v>
      </c>
      <c r="O2618" s="190">
        <v>0</v>
      </c>
      <c r="P2618" s="190">
        <v>0</v>
      </c>
      <c r="Q2618" s="169">
        <v>0</v>
      </c>
      <c r="R2618" s="169">
        <v>0</v>
      </c>
    </row>
    <row r="2619" spans="1:18" x14ac:dyDescent="0.25">
      <c r="A2619" s="101" t="s">
        <v>550</v>
      </c>
      <c r="B2619" s="101">
        <v>2020</v>
      </c>
      <c r="C2619" s="101" t="s">
        <v>549</v>
      </c>
      <c r="D2619" s="169">
        <v>0</v>
      </c>
      <c r="E2619" s="189">
        <v>46467129.380000003</v>
      </c>
      <c r="F2619" s="189">
        <v>46467129.380000003</v>
      </c>
      <c r="G2619" s="190">
        <v>0</v>
      </c>
      <c r="H2619" s="190">
        <v>0</v>
      </c>
      <c r="I2619" s="190">
        <v>0</v>
      </c>
      <c r="J2619" s="190">
        <v>0</v>
      </c>
      <c r="K2619" s="190">
        <v>0</v>
      </c>
      <c r="L2619" s="190">
        <v>0</v>
      </c>
      <c r="M2619" s="190">
        <v>46467129.380000003</v>
      </c>
      <c r="N2619" s="190">
        <v>0</v>
      </c>
      <c r="O2619" s="190">
        <v>0</v>
      </c>
      <c r="P2619" s="190">
        <v>0</v>
      </c>
      <c r="Q2619" s="169">
        <v>0</v>
      </c>
      <c r="R2619" s="169">
        <v>0</v>
      </c>
    </row>
    <row r="2620" spans="1:18" x14ac:dyDescent="0.25">
      <c r="A2620" t="s">
        <v>413</v>
      </c>
      <c r="B2620">
        <v>2020</v>
      </c>
      <c r="C2620" t="s">
        <v>412</v>
      </c>
      <c r="D2620" s="169">
        <v>0</v>
      </c>
      <c r="E2620">
        <v>601664170000.87</v>
      </c>
      <c r="F2620" s="101">
        <v>601664170000.87</v>
      </c>
      <c r="G2620" s="101">
        <v>0</v>
      </c>
      <c r="H2620" s="101">
        <v>0</v>
      </c>
      <c r="I2620" s="101">
        <v>601664170000.87</v>
      </c>
      <c r="J2620" s="101">
        <v>0</v>
      </c>
      <c r="K2620" s="101">
        <v>0</v>
      </c>
      <c r="L2620" s="101">
        <v>0</v>
      </c>
      <c r="M2620" s="101">
        <v>0</v>
      </c>
      <c r="N2620" s="101">
        <v>0</v>
      </c>
      <c r="O2620" s="101">
        <v>0</v>
      </c>
      <c r="P2620" s="101">
        <v>0</v>
      </c>
      <c r="Q2620" s="101">
        <v>0</v>
      </c>
      <c r="R2620">
        <v>0</v>
      </c>
    </row>
  </sheetData>
  <autoFilter ref="A1:R2620" xr:uid="{00000000-0009-0000-0000-000000000000}"/>
  <conditionalFormatting sqref="G2263:O2263 M2100:R2235 M2237:R2262 F2419:F2437 Q2448:R2619 G1:R2099 G2264:R2447 G2620:R1048576">
    <cfRule type="cellIs" dxfId="104" priority="9" operator="lessThan">
      <formula>0</formula>
    </cfRule>
  </conditionalFormatting>
  <conditionalFormatting sqref="P2263:R2263">
    <cfRule type="cellIs" dxfId="103" priority="6" operator="lessThan">
      <formula>0</formula>
    </cfRule>
  </conditionalFormatting>
  <conditionalFormatting sqref="A2448:A2618">
    <cfRule type="duplicateValues" dxfId="102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B3:J10"/>
  <sheetViews>
    <sheetView workbookViewId="0">
      <selection activeCell="D12" sqref="D12"/>
    </sheetView>
  </sheetViews>
  <sheetFormatPr baseColWidth="10" defaultRowHeight="15" x14ac:dyDescent="0.25"/>
  <cols>
    <col min="4" max="4" width="15.42578125" customWidth="1"/>
    <col min="5" max="5" width="14.42578125" customWidth="1"/>
    <col min="6" max="6" width="14.7109375" customWidth="1"/>
    <col min="7" max="7" width="15.5703125" customWidth="1"/>
    <col min="8" max="8" width="17" customWidth="1"/>
    <col min="9" max="9" width="14.28515625" customWidth="1"/>
    <col min="10" max="10" width="15.140625" customWidth="1"/>
  </cols>
  <sheetData>
    <row r="3" spans="2:10" x14ac:dyDescent="0.25">
      <c r="C3" s="194" t="s">
        <v>1128</v>
      </c>
      <c r="D3" s="194"/>
      <c r="E3" s="194"/>
      <c r="F3" s="194"/>
      <c r="G3" s="194"/>
      <c r="H3" s="194"/>
      <c r="I3" s="194"/>
      <c r="J3" s="194"/>
    </row>
    <row r="4" spans="2:10" ht="45" customHeight="1" x14ac:dyDescent="0.25">
      <c r="C4" s="88"/>
      <c r="D4" s="89" t="s">
        <v>232</v>
      </c>
      <c r="E4" s="89" t="s">
        <v>336</v>
      </c>
      <c r="F4" s="89" t="s">
        <v>1119</v>
      </c>
      <c r="G4" s="89" t="s">
        <v>830</v>
      </c>
      <c r="H4" s="89" t="s">
        <v>1120</v>
      </c>
      <c r="I4" s="89" t="s">
        <v>265</v>
      </c>
      <c r="J4" s="89" t="s">
        <v>1121</v>
      </c>
    </row>
    <row r="5" spans="2:10" ht="60" customHeight="1" x14ac:dyDescent="0.25">
      <c r="B5" s="195" t="s">
        <v>1129</v>
      </c>
      <c r="C5" s="94" t="s">
        <v>540</v>
      </c>
      <c r="D5" s="91" t="s">
        <v>1122</v>
      </c>
      <c r="E5" s="91" t="s">
        <v>1122</v>
      </c>
      <c r="F5" s="91" t="s">
        <v>1122</v>
      </c>
      <c r="G5" s="91" t="s">
        <v>1122</v>
      </c>
      <c r="H5" s="91" t="s">
        <v>1122</v>
      </c>
      <c r="I5" s="91" t="s">
        <v>1122</v>
      </c>
      <c r="J5" s="90" t="s">
        <v>1122</v>
      </c>
    </row>
    <row r="6" spans="2:10" ht="30" x14ac:dyDescent="0.25">
      <c r="B6" s="196"/>
      <c r="C6" s="94" t="s">
        <v>539</v>
      </c>
      <c r="D6" s="92" t="s">
        <v>1123</v>
      </c>
      <c r="E6" s="92" t="s">
        <v>1123</v>
      </c>
      <c r="F6" s="92" t="s">
        <v>1123</v>
      </c>
      <c r="G6" s="92" t="s">
        <v>1123</v>
      </c>
      <c r="H6" s="92" t="s">
        <v>1123</v>
      </c>
      <c r="I6" s="92" t="s">
        <v>1123</v>
      </c>
      <c r="J6" s="93" t="s">
        <v>1123</v>
      </c>
    </row>
    <row r="7" spans="2:10" ht="45" x14ac:dyDescent="0.25">
      <c r="B7" s="196"/>
      <c r="C7" s="94" t="s">
        <v>1117</v>
      </c>
      <c r="D7" s="91" t="s">
        <v>1127</v>
      </c>
      <c r="E7" s="91" t="s">
        <v>1124</v>
      </c>
      <c r="F7" s="91" t="s">
        <v>1127</v>
      </c>
      <c r="G7" s="91" t="s">
        <v>1127</v>
      </c>
      <c r="H7" s="91" t="s">
        <v>1127</v>
      </c>
      <c r="I7" s="91" t="s">
        <v>1127</v>
      </c>
      <c r="J7" s="90" t="s">
        <v>1127</v>
      </c>
    </row>
    <row r="8" spans="2:10" ht="18" customHeight="1" x14ac:dyDescent="0.25">
      <c r="B8" s="196"/>
      <c r="C8" s="94" t="s">
        <v>1118</v>
      </c>
      <c r="D8" s="92" t="s">
        <v>1127</v>
      </c>
      <c r="E8" s="92" t="s">
        <v>1127</v>
      </c>
      <c r="F8" s="92" t="s">
        <v>1127</v>
      </c>
      <c r="G8" s="92" t="s">
        <v>1127</v>
      </c>
      <c r="H8" s="92" t="s">
        <v>1127</v>
      </c>
      <c r="I8" s="92" t="s">
        <v>1127</v>
      </c>
      <c r="J8" s="93" t="s">
        <v>1127</v>
      </c>
    </row>
    <row r="9" spans="2:10" ht="45" x14ac:dyDescent="0.25">
      <c r="B9" s="196"/>
      <c r="C9" s="94" t="s">
        <v>536</v>
      </c>
      <c r="D9" s="91" t="s">
        <v>1127</v>
      </c>
      <c r="E9" s="91" t="s">
        <v>1127</v>
      </c>
      <c r="F9" s="91" t="s">
        <v>1119</v>
      </c>
      <c r="G9" s="91" t="s">
        <v>830</v>
      </c>
      <c r="H9" s="91" t="s">
        <v>1127</v>
      </c>
      <c r="I9" s="91" t="s">
        <v>1127</v>
      </c>
      <c r="J9" s="90" t="s">
        <v>1126</v>
      </c>
    </row>
    <row r="10" spans="2:10" ht="44.25" customHeight="1" x14ac:dyDescent="0.25">
      <c r="B10" s="197"/>
      <c r="C10" s="94" t="s">
        <v>535</v>
      </c>
      <c r="D10" s="92" t="s">
        <v>1127</v>
      </c>
      <c r="E10" s="92" t="s">
        <v>1127</v>
      </c>
      <c r="F10" s="92" t="s">
        <v>1127</v>
      </c>
      <c r="G10" s="92" t="s">
        <v>1127</v>
      </c>
      <c r="H10" s="92" t="s">
        <v>1125</v>
      </c>
      <c r="I10" s="92" t="s">
        <v>831</v>
      </c>
      <c r="J10" s="93" t="s">
        <v>1127</v>
      </c>
    </row>
  </sheetData>
  <mergeCells count="2">
    <mergeCell ref="C3:J3"/>
    <mergeCell ref="B5:B1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B368"/>
  <sheetViews>
    <sheetView topLeftCell="A41" workbookViewId="0">
      <selection activeCell="A44" sqref="A44"/>
    </sheetView>
  </sheetViews>
  <sheetFormatPr baseColWidth="10" defaultRowHeight="15" x14ac:dyDescent="0.25"/>
  <cols>
    <col min="1" max="1" width="35.28515625" bestFit="1" customWidth="1"/>
    <col min="2" max="2" width="141.85546875" bestFit="1" customWidth="1"/>
  </cols>
  <sheetData>
    <row r="1" spans="1:2" x14ac:dyDescent="0.25">
      <c r="A1" s="13" t="s">
        <v>789</v>
      </c>
      <c r="B1" s="12" t="s">
        <v>788</v>
      </c>
    </row>
    <row r="2" spans="1:2" x14ac:dyDescent="0.25">
      <c r="A2" s="11" t="s">
        <v>787</v>
      </c>
      <c r="B2" s="6" t="s">
        <v>786</v>
      </c>
    </row>
    <row r="3" spans="1:2" x14ac:dyDescent="0.25">
      <c r="A3" s="9" t="s">
        <v>785</v>
      </c>
      <c r="B3" s="9" t="s">
        <v>784</v>
      </c>
    </row>
    <row r="4" spans="1:2" x14ac:dyDescent="0.25">
      <c r="A4" s="9" t="s">
        <v>783</v>
      </c>
      <c r="B4" s="9" t="s">
        <v>782</v>
      </c>
    </row>
    <row r="5" spans="1:2" x14ac:dyDescent="0.25">
      <c r="A5" s="9" t="s">
        <v>781</v>
      </c>
      <c r="B5" s="9" t="s">
        <v>336</v>
      </c>
    </row>
    <row r="6" spans="1:2" x14ac:dyDescent="0.25">
      <c r="A6" s="6" t="s">
        <v>780</v>
      </c>
      <c r="B6" s="6" t="s">
        <v>779</v>
      </c>
    </row>
    <row r="7" spans="1:2" x14ac:dyDescent="0.25">
      <c r="A7" s="6" t="s">
        <v>360</v>
      </c>
      <c r="B7" s="6" t="s">
        <v>359</v>
      </c>
    </row>
    <row r="8" spans="1:2" x14ac:dyDescent="0.25">
      <c r="A8" s="6" t="s">
        <v>358</v>
      </c>
      <c r="B8" s="6" t="s">
        <v>357</v>
      </c>
    </row>
    <row r="9" spans="1:2" x14ac:dyDescent="0.25">
      <c r="A9" s="6" t="s">
        <v>356</v>
      </c>
      <c r="B9" s="6" t="s">
        <v>355</v>
      </c>
    </row>
    <row r="10" spans="1:2" x14ac:dyDescent="0.25">
      <c r="A10" s="6" t="s">
        <v>778</v>
      </c>
      <c r="B10" s="6" t="s">
        <v>777</v>
      </c>
    </row>
    <row r="11" spans="1:2" x14ac:dyDescent="0.25">
      <c r="A11" s="6" t="s">
        <v>353</v>
      </c>
      <c r="B11" s="6" t="s">
        <v>352</v>
      </c>
    </row>
    <row r="12" spans="1:2" x14ac:dyDescent="0.25">
      <c r="A12" s="6" t="s">
        <v>351</v>
      </c>
      <c r="B12" s="6" t="s">
        <v>350</v>
      </c>
    </row>
    <row r="13" spans="1:2" x14ac:dyDescent="0.25">
      <c r="A13" s="6" t="s">
        <v>776</v>
      </c>
      <c r="B13" s="6" t="s">
        <v>775</v>
      </c>
    </row>
    <row r="14" spans="1:2" x14ac:dyDescent="0.25">
      <c r="A14" s="6" t="s">
        <v>774</v>
      </c>
      <c r="B14" s="6" t="s">
        <v>773</v>
      </c>
    </row>
    <row r="15" spans="1:2" x14ac:dyDescent="0.25">
      <c r="A15" s="6" t="s">
        <v>348</v>
      </c>
      <c r="B15" s="6" t="s">
        <v>344</v>
      </c>
    </row>
    <row r="16" spans="1:2" x14ac:dyDescent="0.25">
      <c r="A16" s="6" t="s">
        <v>347</v>
      </c>
      <c r="B16" s="6" t="s">
        <v>342</v>
      </c>
    </row>
    <row r="17" spans="1:2" x14ac:dyDescent="0.25">
      <c r="A17" s="6" t="s">
        <v>772</v>
      </c>
      <c r="B17" s="6" t="s">
        <v>771</v>
      </c>
    </row>
    <row r="18" spans="1:2" x14ac:dyDescent="0.25">
      <c r="A18" s="6" t="s">
        <v>345</v>
      </c>
      <c r="B18" s="6" t="s">
        <v>344</v>
      </c>
    </row>
    <row r="19" spans="1:2" x14ac:dyDescent="0.25">
      <c r="A19" s="6" t="s">
        <v>343</v>
      </c>
      <c r="B19" s="6" t="s">
        <v>342</v>
      </c>
    </row>
    <row r="20" spans="1:2" x14ac:dyDescent="0.25">
      <c r="A20" s="6" t="s">
        <v>770</v>
      </c>
      <c r="B20" s="6" t="s">
        <v>769</v>
      </c>
    </row>
    <row r="21" spans="1:2" x14ac:dyDescent="0.25">
      <c r="A21" s="6" t="s">
        <v>340</v>
      </c>
      <c r="B21" s="6" t="s">
        <v>339</v>
      </c>
    </row>
    <row r="22" spans="1:2" x14ac:dyDescent="0.25">
      <c r="A22" s="6" t="s">
        <v>768</v>
      </c>
      <c r="B22" s="6" t="s">
        <v>767</v>
      </c>
    </row>
    <row r="23" spans="1:2" x14ac:dyDescent="0.25">
      <c r="A23" s="6" t="s">
        <v>338</v>
      </c>
      <c r="B23" s="6" t="s">
        <v>337</v>
      </c>
    </row>
    <row r="24" spans="1:2" x14ac:dyDescent="0.25">
      <c r="A24" s="6" t="s">
        <v>766</v>
      </c>
      <c r="B24" s="6" t="s">
        <v>765</v>
      </c>
    </row>
    <row r="25" spans="1:2" x14ac:dyDescent="0.25">
      <c r="A25" s="6" t="s">
        <v>764</v>
      </c>
      <c r="B25" s="6" t="s">
        <v>333</v>
      </c>
    </row>
    <row r="26" spans="1:2" x14ac:dyDescent="0.25">
      <c r="A26" s="6" t="s">
        <v>335</v>
      </c>
      <c r="B26" s="6" t="s">
        <v>334</v>
      </c>
    </row>
    <row r="27" spans="1:2" x14ac:dyDescent="0.25">
      <c r="A27" s="6" t="s">
        <v>763</v>
      </c>
      <c r="B27" s="6" t="s">
        <v>327</v>
      </c>
    </row>
    <row r="28" spans="1:2" x14ac:dyDescent="0.25">
      <c r="A28" s="9" t="s">
        <v>332</v>
      </c>
      <c r="B28" s="9" t="s">
        <v>331</v>
      </c>
    </row>
    <row r="29" spans="1:2" x14ac:dyDescent="0.25">
      <c r="A29" s="6" t="s">
        <v>329</v>
      </c>
      <c r="B29" s="6" t="s">
        <v>328</v>
      </c>
    </row>
    <row r="30" spans="1:2" x14ac:dyDescent="0.25">
      <c r="A30" s="6" t="s">
        <v>762</v>
      </c>
      <c r="B30" s="6" t="s">
        <v>761</v>
      </c>
    </row>
    <row r="31" spans="1:2" x14ac:dyDescent="0.25">
      <c r="A31" s="6" t="s">
        <v>325</v>
      </c>
      <c r="B31" s="6" t="s">
        <v>324</v>
      </c>
    </row>
    <row r="32" spans="1:2" x14ac:dyDescent="0.25">
      <c r="A32" s="6" t="s">
        <v>378</v>
      </c>
      <c r="B32" s="6" t="s">
        <v>411</v>
      </c>
    </row>
    <row r="33" spans="1:2" x14ac:dyDescent="0.25">
      <c r="A33" s="6" t="s">
        <v>323</v>
      </c>
      <c r="B33" s="6" t="s">
        <v>321</v>
      </c>
    </row>
    <row r="34" spans="1:2" x14ac:dyDescent="0.25">
      <c r="A34" s="6" t="s">
        <v>760</v>
      </c>
      <c r="B34" s="6" t="s">
        <v>759</v>
      </c>
    </row>
    <row r="35" spans="1:2" x14ac:dyDescent="0.25">
      <c r="A35" s="6" t="s">
        <v>320</v>
      </c>
      <c r="B35" s="6" t="s">
        <v>319</v>
      </c>
    </row>
    <row r="36" spans="1:2" x14ac:dyDescent="0.25">
      <c r="A36" s="6" t="s">
        <v>758</v>
      </c>
      <c r="B36" s="6" t="s">
        <v>757</v>
      </c>
    </row>
    <row r="37" spans="1:2" x14ac:dyDescent="0.25">
      <c r="A37" s="6" t="s">
        <v>317</v>
      </c>
      <c r="B37" s="6" t="s">
        <v>316</v>
      </c>
    </row>
    <row r="38" spans="1:2" x14ac:dyDescent="0.25">
      <c r="A38" s="6" t="s">
        <v>756</v>
      </c>
      <c r="B38" s="6" t="s">
        <v>755</v>
      </c>
    </row>
    <row r="39" spans="1:2" x14ac:dyDescent="0.25">
      <c r="A39" s="6" t="s">
        <v>754</v>
      </c>
      <c r="B39" s="6" t="s">
        <v>753</v>
      </c>
    </row>
    <row r="40" spans="1:2" x14ac:dyDescent="0.25">
      <c r="A40" s="9" t="s">
        <v>752</v>
      </c>
      <c r="B40" s="9" t="s">
        <v>751</v>
      </c>
    </row>
    <row r="41" spans="1:2" x14ac:dyDescent="0.25">
      <c r="A41" s="6" t="s">
        <v>313</v>
      </c>
      <c r="B41" s="6" t="s">
        <v>312</v>
      </c>
    </row>
    <row r="42" spans="1:2" x14ac:dyDescent="0.25">
      <c r="A42" s="6" t="s">
        <v>310</v>
      </c>
      <c r="B42" s="6" t="s">
        <v>309</v>
      </c>
    </row>
    <row r="43" spans="1:2" x14ac:dyDescent="0.25">
      <c r="A43" s="9" t="s">
        <v>750</v>
      </c>
      <c r="B43" s="9" t="s">
        <v>749</v>
      </c>
    </row>
    <row r="44" spans="1:2" x14ac:dyDescent="0.25">
      <c r="A44" s="6" t="s">
        <v>306</v>
      </c>
      <c r="B44" s="6" t="s">
        <v>305</v>
      </c>
    </row>
    <row r="45" spans="1:2" x14ac:dyDescent="0.25">
      <c r="A45" s="6" t="s">
        <v>303</v>
      </c>
      <c r="B45" s="6" t="s">
        <v>302</v>
      </c>
    </row>
    <row r="46" spans="1:2" x14ac:dyDescent="0.25">
      <c r="A46" s="6" t="s">
        <v>748</v>
      </c>
      <c r="B46" s="6" t="s">
        <v>747</v>
      </c>
    </row>
    <row r="47" spans="1:2" x14ac:dyDescent="0.25">
      <c r="A47" s="6" t="s">
        <v>746</v>
      </c>
      <c r="B47" s="6" t="s">
        <v>745</v>
      </c>
    </row>
    <row r="48" spans="1:2" x14ac:dyDescent="0.25">
      <c r="A48" s="6" t="s">
        <v>744</v>
      </c>
      <c r="B48" s="6" t="s">
        <v>743</v>
      </c>
    </row>
    <row r="49" spans="1:2" x14ac:dyDescent="0.25">
      <c r="A49" s="9" t="s">
        <v>742</v>
      </c>
      <c r="B49" s="9" t="s">
        <v>741</v>
      </c>
    </row>
    <row r="50" spans="1:2" x14ac:dyDescent="0.25">
      <c r="A50" s="6" t="s">
        <v>298</v>
      </c>
      <c r="B50" s="6" t="s">
        <v>281</v>
      </c>
    </row>
    <row r="51" spans="1:2" x14ac:dyDescent="0.25">
      <c r="A51" s="6" t="s">
        <v>297</v>
      </c>
      <c r="B51" s="6" t="s">
        <v>287</v>
      </c>
    </row>
    <row r="52" spans="1:2" x14ac:dyDescent="0.25">
      <c r="A52" s="6" t="s">
        <v>740</v>
      </c>
      <c r="B52" s="6" t="s">
        <v>739</v>
      </c>
    </row>
    <row r="53" spans="1:2" x14ac:dyDescent="0.25">
      <c r="A53" s="6" t="s">
        <v>738</v>
      </c>
      <c r="B53" s="6" t="s">
        <v>737</v>
      </c>
    </row>
    <row r="54" spans="1:2" x14ac:dyDescent="0.25">
      <c r="A54" s="6" t="s">
        <v>295</v>
      </c>
      <c r="B54" s="6" t="s">
        <v>281</v>
      </c>
    </row>
    <row r="55" spans="1:2" x14ac:dyDescent="0.25">
      <c r="A55" s="6" t="s">
        <v>294</v>
      </c>
      <c r="B55" s="6" t="s">
        <v>287</v>
      </c>
    </row>
    <row r="56" spans="1:2" x14ac:dyDescent="0.25">
      <c r="A56" s="6" t="s">
        <v>736</v>
      </c>
      <c r="B56" s="6" t="s">
        <v>735</v>
      </c>
    </row>
    <row r="57" spans="1:2" x14ac:dyDescent="0.25">
      <c r="A57" s="6" t="s">
        <v>292</v>
      </c>
      <c r="B57" s="6" t="s">
        <v>281</v>
      </c>
    </row>
    <row r="58" spans="1:2" x14ac:dyDescent="0.25">
      <c r="A58" s="6" t="s">
        <v>291</v>
      </c>
      <c r="B58" s="6" t="s">
        <v>287</v>
      </c>
    </row>
    <row r="59" spans="1:2" x14ac:dyDescent="0.25">
      <c r="A59" s="6" t="s">
        <v>734</v>
      </c>
      <c r="B59" s="6" t="s">
        <v>733</v>
      </c>
    </row>
    <row r="60" spans="1:2" x14ac:dyDescent="0.25">
      <c r="A60" s="6" t="s">
        <v>289</v>
      </c>
      <c r="B60" s="6" t="s">
        <v>287</v>
      </c>
    </row>
    <row r="61" spans="1:2" x14ac:dyDescent="0.25">
      <c r="A61" s="6" t="s">
        <v>732</v>
      </c>
      <c r="B61" s="6" t="s">
        <v>731</v>
      </c>
    </row>
    <row r="62" spans="1:2" x14ac:dyDescent="0.25">
      <c r="A62" s="6" t="s">
        <v>286</v>
      </c>
      <c r="B62" s="6" t="s">
        <v>285</v>
      </c>
    </row>
    <row r="63" spans="1:2" x14ac:dyDescent="0.25">
      <c r="A63" s="6" t="s">
        <v>730</v>
      </c>
      <c r="B63" s="6" t="s">
        <v>729</v>
      </c>
    </row>
    <row r="64" spans="1:2" x14ac:dyDescent="0.25">
      <c r="A64" s="6" t="s">
        <v>283</v>
      </c>
      <c r="B64" s="6" t="s">
        <v>282</v>
      </c>
    </row>
    <row r="65" spans="1:2" x14ac:dyDescent="0.25">
      <c r="A65" s="6" t="s">
        <v>280</v>
      </c>
      <c r="B65" s="6" t="s">
        <v>279</v>
      </c>
    </row>
    <row r="66" spans="1:2" x14ac:dyDescent="0.25">
      <c r="A66" s="6" t="s">
        <v>728</v>
      </c>
      <c r="B66" s="6" t="s">
        <v>727</v>
      </c>
    </row>
    <row r="67" spans="1:2" x14ac:dyDescent="0.25">
      <c r="A67" s="6" t="s">
        <v>726</v>
      </c>
      <c r="B67" s="6" t="s">
        <v>725</v>
      </c>
    </row>
    <row r="68" spans="1:2" x14ac:dyDescent="0.25">
      <c r="A68" s="6" t="s">
        <v>276</v>
      </c>
      <c r="B68" s="6" t="s">
        <v>275</v>
      </c>
    </row>
    <row r="69" spans="1:2" x14ac:dyDescent="0.25">
      <c r="A69" s="6" t="s">
        <v>274</v>
      </c>
      <c r="B69" s="6" t="s">
        <v>273</v>
      </c>
    </row>
    <row r="70" spans="1:2" x14ac:dyDescent="0.25">
      <c r="A70" s="6" t="s">
        <v>724</v>
      </c>
      <c r="B70" s="6" t="s">
        <v>723</v>
      </c>
    </row>
    <row r="71" spans="1:2" x14ac:dyDescent="0.25">
      <c r="A71" s="6" t="s">
        <v>722</v>
      </c>
      <c r="B71" s="6" t="s">
        <v>721</v>
      </c>
    </row>
    <row r="72" spans="1:2" x14ac:dyDescent="0.25">
      <c r="A72" s="9" t="s">
        <v>268</v>
      </c>
      <c r="B72" s="9" t="s">
        <v>267</v>
      </c>
    </row>
    <row r="73" spans="1:2" x14ac:dyDescent="0.25">
      <c r="A73" s="6" t="s">
        <v>720</v>
      </c>
      <c r="B73" s="6" t="s">
        <v>719</v>
      </c>
    </row>
    <row r="74" spans="1:2" x14ac:dyDescent="0.25">
      <c r="A74" s="6" t="s">
        <v>264</v>
      </c>
      <c r="B74" s="6" t="s">
        <v>263</v>
      </c>
    </row>
    <row r="75" spans="1:2" x14ac:dyDescent="0.25">
      <c r="A75" s="6" t="s">
        <v>718</v>
      </c>
      <c r="B75" s="6" t="s">
        <v>717</v>
      </c>
    </row>
    <row r="76" spans="1:2" x14ac:dyDescent="0.25">
      <c r="A76" s="6" t="s">
        <v>260</v>
      </c>
      <c r="B76" s="6" t="s">
        <v>259</v>
      </c>
    </row>
    <row r="77" spans="1:2" x14ac:dyDescent="0.25">
      <c r="A77" s="6" t="s">
        <v>258</v>
      </c>
      <c r="B77" s="6" t="s">
        <v>257</v>
      </c>
    </row>
    <row r="78" spans="1:2" x14ac:dyDescent="0.25">
      <c r="A78" s="6" t="s">
        <v>256</v>
      </c>
      <c r="B78" s="6" t="s">
        <v>255</v>
      </c>
    </row>
    <row r="79" spans="1:2" x14ac:dyDescent="0.25">
      <c r="A79" s="6" t="s">
        <v>716</v>
      </c>
      <c r="B79" s="6" t="s">
        <v>715</v>
      </c>
    </row>
    <row r="80" spans="1:2" x14ac:dyDescent="0.25">
      <c r="A80" s="6" t="s">
        <v>714</v>
      </c>
      <c r="B80" s="6" t="s">
        <v>713</v>
      </c>
    </row>
    <row r="81" spans="1:2" x14ac:dyDescent="0.25">
      <c r="A81" s="6" t="s">
        <v>253</v>
      </c>
      <c r="B81" s="6" t="s">
        <v>252</v>
      </c>
    </row>
    <row r="82" spans="1:2" x14ac:dyDescent="0.25">
      <c r="A82" s="6" t="s">
        <v>251</v>
      </c>
      <c r="B82" s="6" t="s">
        <v>250</v>
      </c>
    </row>
    <row r="83" spans="1:2" x14ac:dyDescent="0.25">
      <c r="A83" s="6" t="s">
        <v>712</v>
      </c>
      <c r="B83" s="6" t="s">
        <v>247</v>
      </c>
    </row>
    <row r="84" spans="1:2" x14ac:dyDescent="0.25">
      <c r="A84" s="6" t="s">
        <v>249</v>
      </c>
      <c r="B84" s="6" t="s">
        <v>248</v>
      </c>
    </row>
    <row r="85" spans="1:2" x14ac:dyDescent="0.25">
      <c r="A85" s="6" t="s">
        <v>711</v>
      </c>
      <c r="B85" s="6" t="s">
        <v>710</v>
      </c>
    </row>
    <row r="86" spans="1:2" x14ac:dyDescent="0.25">
      <c r="A86" s="6" t="s">
        <v>709</v>
      </c>
      <c r="B86" s="6" t="s">
        <v>708</v>
      </c>
    </row>
    <row r="87" spans="1:2" x14ac:dyDescent="0.25">
      <c r="A87" s="6" t="s">
        <v>246</v>
      </c>
      <c r="B87" s="6" t="s">
        <v>245</v>
      </c>
    </row>
    <row r="88" spans="1:2" x14ac:dyDescent="0.25">
      <c r="A88" s="6" t="s">
        <v>244</v>
      </c>
      <c r="B88" s="6" t="s">
        <v>243</v>
      </c>
    </row>
    <row r="89" spans="1:2" x14ac:dyDescent="0.25">
      <c r="A89" s="6" t="s">
        <v>242</v>
      </c>
      <c r="B89" s="6" t="s">
        <v>241</v>
      </c>
    </row>
    <row r="90" spans="1:2" x14ac:dyDescent="0.25">
      <c r="A90" s="6" t="s">
        <v>240</v>
      </c>
      <c r="B90" s="6" t="s">
        <v>239</v>
      </c>
    </row>
    <row r="91" spans="1:2" x14ac:dyDescent="0.25">
      <c r="A91" s="6" t="s">
        <v>707</v>
      </c>
      <c r="B91" s="6" t="s">
        <v>706</v>
      </c>
    </row>
    <row r="92" spans="1:2" x14ac:dyDescent="0.25">
      <c r="A92" s="6" t="s">
        <v>705</v>
      </c>
      <c r="B92" s="6" t="s">
        <v>704</v>
      </c>
    </row>
    <row r="93" spans="1:2" x14ac:dyDescent="0.25">
      <c r="A93" s="6" t="s">
        <v>236</v>
      </c>
      <c r="B93" s="6" t="s">
        <v>235</v>
      </c>
    </row>
    <row r="94" spans="1:2" x14ac:dyDescent="0.25">
      <c r="A94" s="6" t="s">
        <v>703</v>
      </c>
      <c r="B94" s="6" t="s">
        <v>702</v>
      </c>
    </row>
    <row r="95" spans="1:2" x14ac:dyDescent="0.25">
      <c r="A95" s="6" t="s">
        <v>234</v>
      </c>
      <c r="B95" s="6" t="s">
        <v>233</v>
      </c>
    </row>
    <row r="96" spans="1:2" x14ac:dyDescent="0.25">
      <c r="A96" s="9" t="s">
        <v>701</v>
      </c>
      <c r="B96" s="9" t="s">
        <v>700</v>
      </c>
    </row>
    <row r="97" spans="1:2" x14ac:dyDescent="0.25">
      <c r="A97" s="6" t="s">
        <v>699</v>
      </c>
      <c r="B97" s="6" t="s">
        <v>698</v>
      </c>
    </row>
    <row r="98" spans="1:2" x14ac:dyDescent="0.25">
      <c r="A98" s="6" t="s">
        <v>697</v>
      </c>
      <c r="B98" s="6" t="s">
        <v>696</v>
      </c>
    </row>
    <row r="99" spans="1:2" x14ac:dyDescent="0.25">
      <c r="A99" s="6" t="s">
        <v>695</v>
      </c>
      <c r="B99" s="6" t="s">
        <v>694</v>
      </c>
    </row>
    <row r="100" spans="1:2" x14ac:dyDescent="0.25">
      <c r="A100" s="6" t="s">
        <v>230</v>
      </c>
      <c r="B100" s="6" t="s">
        <v>229</v>
      </c>
    </row>
    <row r="101" spans="1:2" x14ac:dyDescent="0.25">
      <c r="A101" s="6" t="s">
        <v>377</v>
      </c>
      <c r="B101" s="6" t="s">
        <v>410</v>
      </c>
    </row>
    <row r="102" spans="1:2" x14ac:dyDescent="0.25">
      <c r="A102" s="6" t="s">
        <v>693</v>
      </c>
      <c r="B102" s="6" t="s">
        <v>692</v>
      </c>
    </row>
    <row r="103" spans="1:2" x14ac:dyDescent="0.25">
      <c r="A103" s="6" t="s">
        <v>228</v>
      </c>
      <c r="B103" s="6" t="s">
        <v>227</v>
      </c>
    </row>
    <row r="104" spans="1:2" x14ac:dyDescent="0.25">
      <c r="A104" s="6" t="s">
        <v>691</v>
      </c>
      <c r="B104" s="6" t="s">
        <v>690</v>
      </c>
    </row>
    <row r="105" spans="1:2" x14ac:dyDescent="0.25">
      <c r="A105" s="6" t="s">
        <v>226</v>
      </c>
      <c r="B105" s="6" t="s">
        <v>225</v>
      </c>
    </row>
    <row r="106" spans="1:2" x14ac:dyDescent="0.25">
      <c r="A106" s="6" t="s">
        <v>224</v>
      </c>
      <c r="B106" s="6" t="s">
        <v>223</v>
      </c>
    </row>
    <row r="107" spans="1:2" x14ac:dyDescent="0.25">
      <c r="A107" s="7" t="s">
        <v>376</v>
      </c>
      <c r="B107" s="7" t="s">
        <v>223</v>
      </c>
    </row>
    <row r="108" spans="1:2" x14ac:dyDescent="0.25">
      <c r="A108" s="9" t="s">
        <v>689</v>
      </c>
      <c r="B108" s="9" t="s">
        <v>688</v>
      </c>
    </row>
    <row r="109" spans="1:2" x14ac:dyDescent="0.25">
      <c r="A109" s="6" t="s">
        <v>687</v>
      </c>
      <c r="B109" s="6" t="s">
        <v>686</v>
      </c>
    </row>
    <row r="110" spans="1:2" x14ac:dyDescent="0.25">
      <c r="A110" s="6" t="s">
        <v>685</v>
      </c>
      <c r="B110" s="6" t="s">
        <v>684</v>
      </c>
    </row>
    <row r="111" spans="1:2" x14ac:dyDescent="0.25">
      <c r="A111" s="6" t="s">
        <v>683</v>
      </c>
      <c r="B111" s="6" t="s">
        <v>682</v>
      </c>
    </row>
    <row r="112" spans="1:2" x14ac:dyDescent="0.25">
      <c r="A112" s="6" t="s">
        <v>681</v>
      </c>
      <c r="B112" s="6" t="s">
        <v>220</v>
      </c>
    </row>
    <row r="113" spans="1:2" x14ac:dyDescent="0.25">
      <c r="A113" s="6" t="s">
        <v>222</v>
      </c>
      <c r="B113" s="6" t="s">
        <v>221</v>
      </c>
    </row>
    <row r="114" spans="1:2" x14ac:dyDescent="0.25">
      <c r="A114" s="6" t="s">
        <v>680</v>
      </c>
      <c r="B114" s="6" t="s">
        <v>679</v>
      </c>
    </row>
    <row r="115" spans="1:2" x14ac:dyDescent="0.25">
      <c r="A115" s="6" t="s">
        <v>219</v>
      </c>
      <c r="B115" s="6" t="s">
        <v>218</v>
      </c>
    </row>
    <row r="116" spans="1:2" x14ac:dyDescent="0.25">
      <c r="A116" s="6" t="s">
        <v>217</v>
      </c>
      <c r="B116" s="6" t="s">
        <v>216</v>
      </c>
    </row>
    <row r="117" spans="1:2" x14ac:dyDescent="0.25">
      <c r="A117" s="7" t="s">
        <v>678</v>
      </c>
      <c r="B117" s="7" t="s">
        <v>677</v>
      </c>
    </row>
    <row r="118" spans="1:2" x14ac:dyDescent="0.25">
      <c r="A118" s="6" t="s">
        <v>676</v>
      </c>
      <c r="B118" s="6" t="s">
        <v>675</v>
      </c>
    </row>
    <row r="119" spans="1:2" x14ac:dyDescent="0.25">
      <c r="A119" s="6" t="s">
        <v>215</v>
      </c>
      <c r="B119" s="6" t="s">
        <v>214</v>
      </c>
    </row>
    <row r="120" spans="1:2" x14ac:dyDescent="0.25">
      <c r="A120" s="10" t="s">
        <v>674</v>
      </c>
      <c r="B120" s="10" t="s">
        <v>673</v>
      </c>
    </row>
    <row r="121" spans="1:2" x14ac:dyDescent="0.25">
      <c r="A121" s="10" t="s">
        <v>375</v>
      </c>
      <c r="B121" s="10" t="s">
        <v>672</v>
      </c>
    </row>
    <row r="122" spans="1:2" x14ac:dyDescent="0.25">
      <c r="A122" s="6" t="s">
        <v>671</v>
      </c>
      <c r="B122" s="6" t="s">
        <v>670</v>
      </c>
    </row>
    <row r="123" spans="1:2" x14ac:dyDescent="0.25">
      <c r="A123" s="6" t="s">
        <v>669</v>
      </c>
      <c r="B123" s="6" t="s">
        <v>668</v>
      </c>
    </row>
    <row r="124" spans="1:2" x14ac:dyDescent="0.25">
      <c r="A124" s="6" t="s">
        <v>213</v>
      </c>
      <c r="B124" s="6" t="s">
        <v>212</v>
      </c>
    </row>
    <row r="125" spans="1:2" x14ac:dyDescent="0.25">
      <c r="A125" s="6" t="s">
        <v>211</v>
      </c>
      <c r="B125" s="6" t="s">
        <v>210</v>
      </c>
    </row>
    <row r="126" spans="1:2" x14ac:dyDescent="0.25">
      <c r="A126" s="6" t="s">
        <v>667</v>
      </c>
      <c r="B126" s="6" t="s">
        <v>208</v>
      </c>
    </row>
    <row r="127" spans="1:2" x14ac:dyDescent="0.25">
      <c r="A127" s="6" t="s">
        <v>209</v>
      </c>
      <c r="B127" s="6" t="s">
        <v>208</v>
      </c>
    </row>
    <row r="128" spans="1:2" x14ac:dyDescent="0.25">
      <c r="A128" s="6" t="s">
        <v>666</v>
      </c>
      <c r="B128" s="6" t="s">
        <v>665</v>
      </c>
    </row>
    <row r="129" spans="1:2" x14ac:dyDescent="0.25">
      <c r="A129" s="6" t="s">
        <v>207</v>
      </c>
      <c r="B129" s="6" t="s">
        <v>206</v>
      </c>
    </row>
    <row r="130" spans="1:2" x14ac:dyDescent="0.25">
      <c r="A130" s="6" t="s">
        <v>205</v>
      </c>
      <c r="B130" s="6" t="s">
        <v>204</v>
      </c>
    </row>
    <row r="131" spans="1:2" x14ac:dyDescent="0.25">
      <c r="A131" s="6" t="s">
        <v>664</v>
      </c>
      <c r="B131" s="6" t="s">
        <v>663</v>
      </c>
    </row>
    <row r="132" spans="1:2" x14ac:dyDescent="0.25">
      <c r="A132" s="6" t="s">
        <v>662</v>
      </c>
      <c r="B132" s="6" t="s">
        <v>661</v>
      </c>
    </row>
    <row r="133" spans="1:2" x14ac:dyDescent="0.25">
      <c r="A133" s="6" t="s">
        <v>660</v>
      </c>
      <c r="B133" s="6" t="s">
        <v>201</v>
      </c>
    </row>
    <row r="134" spans="1:2" x14ac:dyDescent="0.25">
      <c r="A134" s="7" t="s">
        <v>374</v>
      </c>
      <c r="B134" s="7" t="s">
        <v>405</v>
      </c>
    </row>
    <row r="135" spans="1:2" x14ac:dyDescent="0.25">
      <c r="A135" s="6" t="s">
        <v>203</v>
      </c>
      <c r="B135" s="6" t="s">
        <v>202</v>
      </c>
    </row>
    <row r="136" spans="1:2" x14ac:dyDescent="0.25">
      <c r="A136" s="6" t="s">
        <v>659</v>
      </c>
      <c r="B136" s="6" t="s">
        <v>192</v>
      </c>
    </row>
    <row r="137" spans="1:2" x14ac:dyDescent="0.25">
      <c r="A137" s="6" t="s">
        <v>200</v>
      </c>
      <c r="B137" s="6" t="s">
        <v>199</v>
      </c>
    </row>
    <row r="138" spans="1:2" x14ac:dyDescent="0.25">
      <c r="A138" s="6" t="s">
        <v>198</v>
      </c>
      <c r="B138" s="6" t="s">
        <v>197</v>
      </c>
    </row>
    <row r="139" spans="1:2" x14ac:dyDescent="0.25">
      <c r="A139" s="6" t="s">
        <v>196</v>
      </c>
      <c r="B139" s="6" t="s">
        <v>195</v>
      </c>
    </row>
    <row r="140" spans="1:2" x14ac:dyDescent="0.25">
      <c r="A140" s="6" t="s">
        <v>194</v>
      </c>
      <c r="B140" s="6" t="s">
        <v>193</v>
      </c>
    </row>
    <row r="141" spans="1:2" x14ac:dyDescent="0.25">
      <c r="A141" s="6" t="s">
        <v>658</v>
      </c>
      <c r="B141" s="6" t="s">
        <v>657</v>
      </c>
    </row>
    <row r="142" spans="1:2" x14ac:dyDescent="0.25">
      <c r="A142" s="6" t="s">
        <v>656</v>
      </c>
      <c r="B142" s="6" t="s">
        <v>655</v>
      </c>
    </row>
    <row r="143" spans="1:2" x14ac:dyDescent="0.25">
      <c r="A143" s="6" t="s">
        <v>191</v>
      </c>
      <c r="B143" s="6" t="s">
        <v>190</v>
      </c>
    </row>
    <row r="144" spans="1:2" x14ac:dyDescent="0.25">
      <c r="A144" s="6" t="s">
        <v>189</v>
      </c>
      <c r="B144" s="6" t="s">
        <v>188</v>
      </c>
    </row>
    <row r="145" spans="1:2" x14ac:dyDescent="0.25">
      <c r="A145" s="6" t="s">
        <v>654</v>
      </c>
      <c r="B145" s="6" t="s">
        <v>180</v>
      </c>
    </row>
    <row r="146" spans="1:2" x14ac:dyDescent="0.25">
      <c r="A146" s="6" t="s">
        <v>187</v>
      </c>
      <c r="B146" s="6" t="s">
        <v>186</v>
      </c>
    </row>
    <row r="147" spans="1:2" x14ac:dyDescent="0.25">
      <c r="A147" s="6" t="s">
        <v>185</v>
      </c>
      <c r="B147" s="6" t="s">
        <v>184</v>
      </c>
    </row>
    <row r="148" spans="1:2" x14ac:dyDescent="0.25">
      <c r="A148" s="6" t="s">
        <v>183</v>
      </c>
      <c r="B148" s="6" t="s">
        <v>182</v>
      </c>
    </row>
    <row r="149" spans="1:2" x14ac:dyDescent="0.25">
      <c r="A149" s="6" t="s">
        <v>181</v>
      </c>
      <c r="B149" s="6" t="s">
        <v>179</v>
      </c>
    </row>
    <row r="150" spans="1:2" x14ac:dyDescent="0.25">
      <c r="A150" s="6" t="s">
        <v>653</v>
      </c>
      <c r="B150" s="6" t="s">
        <v>652</v>
      </c>
    </row>
    <row r="151" spans="1:2" x14ac:dyDescent="0.25">
      <c r="A151" s="6" t="s">
        <v>651</v>
      </c>
      <c r="B151" s="6" t="s">
        <v>650</v>
      </c>
    </row>
    <row r="152" spans="1:2" x14ac:dyDescent="0.25">
      <c r="A152" s="6" t="s">
        <v>178</v>
      </c>
      <c r="B152" s="6" t="s">
        <v>177</v>
      </c>
    </row>
    <row r="153" spans="1:2" x14ac:dyDescent="0.25">
      <c r="A153" s="6" t="s">
        <v>649</v>
      </c>
      <c r="B153" s="6" t="s">
        <v>648</v>
      </c>
    </row>
    <row r="154" spans="1:2" x14ac:dyDescent="0.25">
      <c r="A154" s="6" t="s">
        <v>647</v>
      </c>
      <c r="B154" s="6" t="s">
        <v>646</v>
      </c>
    </row>
    <row r="155" spans="1:2" x14ac:dyDescent="0.25">
      <c r="A155" s="6" t="s">
        <v>645</v>
      </c>
      <c r="B155" s="6" t="s">
        <v>644</v>
      </c>
    </row>
    <row r="156" spans="1:2" x14ac:dyDescent="0.25">
      <c r="A156" s="6" t="s">
        <v>373</v>
      </c>
      <c r="B156" s="6" t="s">
        <v>404</v>
      </c>
    </row>
    <row r="157" spans="1:2" x14ac:dyDescent="0.25">
      <c r="A157" s="6" t="s">
        <v>643</v>
      </c>
      <c r="B157" s="6" t="s">
        <v>642</v>
      </c>
    </row>
    <row r="158" spans="1:2" x14ac:dyDescent="0.25">
      <c r="A158" s="6" t="s">
        <v>176</v>
      </c>
      <c r="B158" s="6" t="s">
        <v>175</v>
      </c>
    </row>
    <row r="159" spans="1:2" x14ac:dyDescent="0.25">
      <c r="A159" s="6" t="s">
        <v>641</v>
      </c>
      <c r="B159" s="6" t="s">
        <v>640</v>
      </c>
    </row>
    <row r="160" spans="1:2" x14ac:dyDescent="0.25">
      <c r="A160" s="6" t="s">
        <v>639</v>
      </c>
      <c r="B160" s="6" t="s">
        <v>638</v>
      </c>
    </row>
    <row r="161" spans="1:2" x14ac:dyDescent="0.25">
      <c r="A161" s="6" t="s">
        <v>174</v>
      </c>
      <c r="B161" s="6" t="s">
        <v>173</v>
      </c>
    </row>
    <row r="162" spans="1:2" x14ac:dyDescent="0.25">
      <c r="A162" s="6" t="s">
        <v>637</v>
      </c>
      <c r="B162" s="6" t="s">
        <v>169</v>
      </c>
    </row>
    <row r="163" spans="1:2" x14ac:dyDescent="0.25">
      <c r="A163" s="6" t="s">
        <v>172</v>
      </c>
      <c r="B163" s="6" t="s">
        <v>171</v>
      </c>
    </row>
    <row r="164" spans="1:2" x14ac:dyDescent="0.25">
      <c r="A164" s="6" t="s">
        <v>170</v>
      </c>
      <c r="B164" s="6" t="s">
        <v>168</v>
      </c>
    </row>
    <row r="165" spans="1:2" x14ac:dyDescent="0.25">
      <c r="A165" s="6" t="s">
        <v>636</v>
      </c>
      <c r="B165" s="6" t="s">
        <v>635</v>
      </c>
    </row>
    <row r="166" spans="1:2" x14ac:dyDescent="0.25">
      <c r="A166" s="6" t="s">
        <v>167</v>
      </c>
      <c r="B166" s="6" t="s">
        <v>166</v>
      </c>
    </row>
    <row r="167" spans="1:2" x14ac:dyDescent="0.25">
      <c r="A167" s="6" t="s">
        <v>165</v>
      </c>
      <c r="B167" s="6" t="s">
        <v>164</v>
      </c>
    </row>
    <row r="168" spans="1:2" x14ac:dyDescent="0.25">
      <c r="A168" s="6" t="s">
        <v>634</v>
      </c>
      <c r="B168" s="6" t="s">
        <v>152</v>
      </c>
    </row>
    <row r="169" spans="1:2" x14ac:dyDescent="0.25">
      <c r="A169" s="6" t="s">
        <v>163</v>
      </c>
      <c r="B169" s="6" t="s">
        <v>162</v>
      </c>
    </row>
    <row r="170" spans="1:2" x14ac:dyDescent="0.25">
      <c r="A170" s="6" t="s">
        <v>161</v>
      </c>
      <c r="B170" s="6" t="s">
        <v>160</v>
      </c>
    </row>
    <row r="171" spans="1:2" x14ac:dyDescent="0.25">
      <c r="A171" s="6" t="s">
        <v>159</v>
      </c>
      <c r="B171" s="6" t="s">
        <v>158</v>
      </c>
    </row>
    <row r="172" spans="1:2" x14ac:dyDescent="0.25">
      <c r="A172" s="6" t="s">
        <v>157</v>
      </c>
      <c r="B172" s="6" t="s">
        <v>156</v>
      </c>
    </row>
    <row r="173" spans="1:2" x14ac:dyDescent="0.25">
      <c r="A173" s="6" t="s">
        <v>155</v>
      </c>
      <c r="B173" s="6" t="s">
        <v>154</v>
      </c>
    </row>
    <row r="174" spans="1:2" x14ac:dyDescent="0.25">
      <c r="A174" s="6" t="s">
        <v>153</v>
      </c>
      <c r="B174" s="6" t="s">
        <v>151</v>
      </c>
    </row>
    <row r="175" spans="1:2" x14ac:dyDescent="0.25">
      <c r="A175" s="6" t="s">
        <v>633</v>
      </c>
      <c r="B175" s="6" t="s">
        <v>632</v>
      </c>
    </row>
    <row r="176" spans="1:2" x14ac:dyDescent="0.25">
      <c r="A176" s="6" t="s">
        <v>631</v>
      </c>
      <c r="B176" s="6" t="s">
        <v>148</v>
      </c>
    </row>
    <row r="177" spans="1:2" x14ac:dyDescent="0.25">
      <c r="A177" s="6" t="s">
        <v>150</v>
      </c>
      <c r="B177" s="6" t="s">
        <v>149</v>
      </c>
    </row>
    <row r="178" spans="1:2" x14ac:dyDescent="0.25">
      <c r="A178" s="6" t="s">
        <v>630</v>
      </c>
      <c r="B178" s="6" t="s">
        <v>145</v>
      </c>
    </row>
    <row r="179" spans="1:2" x14ac:dyDescent="0.25">
      <c r="A179" s="6" t="s">
        <v>147</v>
      </c>
      <c r="B179" s="6" t="s">
        <v>146</v>
      </c>
    </row>
    <row r="180" spans="1:2" x14ac:dyDescent="0.25">
      <c r="A180" s="6" t="s">
        <v>629</v>
      </c>
      <c r="B180" s="6" t="s">
        <v>628</v>
      </c>
    </row>
    <row r="181" spans="1:2" x14ac:dyDescent="0.25">
      <c r="A181" s="6" t="s">
        <v>144</v>
      </c>
      <c r="B181" s="6" t="s">
        <v>143</v>
      </c>
    </row>
    <row r="182" spans="1:2" x14ac:dyDescent="0.25">
      <c r="A182" s="6" t="s">
        <v>142</v>
      </c>
      <c r="B182" s="6" t="s">
        <v>141</v>
      </c>
    </row>
    <row r="183" spans="1:2" x14ac:dyDescent="0.25">
      <c r="A183" s="9" t="s">
        <v>627</v>
      </c>
      <c r="B183" s="9" t="s">
        <v>626</v>
      </c>
    </row>
    <row r="184" spans="1:2" x14ac:dyDescent="0.25">
      <c r="A184" s="6" t="s">
        <v>625</v>
      </c>
      <c r="B184" s="6" t="s">
        <v>624</v>
      </c>
    </row>
    <row r="185" spans="1:2" x14ac:dyDescent="0.25">
      <c r="A185" s="6" t="s">
        <v>623</v>
      </c>
      <c r="B185" s="6" t="s">
        <v>401</v>
      </c>
    </row>
    <row r="186" spans="1:2" x14ac:dyDescent="0.25">
      <c r="A186" s="6" t="s">
        <v>402</v>
      </c>
      <c r="B186" s="6" t="s">
        <v>399</v>
      </c>
    </row>
    <row r="187" spans="1:2" x14ac:dyDescent="0.25">
      <c r="A187" s="6" t="s">
        <v>622</v>
      </c>
      <c r="B187" s="6" t="s">
        <v>116</v>
      </c>
    </row>
    <row r="188" spans="1:2" x14ac:dyDescent="0.25">
      <c r="A188" s="6" t="s">
        <v>621</v>
      </c>
      <c r="B188" s="6" t="s">
        <v>620</v>
      </c>
    </row>
    <row r="189" spans="1:2" x14ac:dyDescent="0.25">
      <c r="A189" s="6" t="s">
        <v>140</v>
      </c>
      <c r="B189" s="6" t="s">
        <v>139</v>
      </c>
    </row>
    <row r="190" spans="1:2" x14ac:dyDescent="0.25">
      <c r="A190" s="6" t="s">
        <v>372</v>
      </c>
      <c r="B190" s="6" t="s">
        <v>398</v>
      </c>
    </row>
    <row r="191" spans="1:2" x14ac:dyDescent="0.25">
      <c r="A191" s="6" t="s">
        <v>138</v>
      </c>
      <c r="B191" s="6" t="s">
        <v>137</v>
      </c>
    </row>
    <row r="192" spans="1:2" x14ac:dyDescent="0.25">
      <c r="A192" s="6" t="s">
        <v>136</v>
      </c>
      <c r="B192" s="6" t="s">
        <v>135</v>
      </c>
    </row>
    <row r="193" spans="1:2" x14ac:dyDescent="0.25">
      <c r="A193" s="6" t="s">
        <v>134</v>
      </c>
      <c r="B193" s="6" t="s">
        <v>133</v>
      </c>
    </row>
    <row r="194" spans="1:2" x14ac:dyDescent="0.25">
      <c r="A194" s="6" t="s">
        <v>132</v>
      </c>
      <c r="B194" s="6" t="s">
        <v>131</v>
      </c>
    </row>
    <row r="195" spans="1:2" x14ac:dyDescent="0.25">
      <c r="A195" s="6" t="s">
        <v>130</v>
      </c>
      <c r="B195" s="6" t="s">
        <v>129</v>
      </c>
    </row>
    <row r="196" spans="1:2" x14ac:dyDescent="0.25">
      <c r="A196" s="6" t="s">
        <v>128</v>
      </c>
      <c r="B196" s="6" t="s">
        <v>127</v>
      </c>
    </row>
    <row r="197" spans="1:2" x14ac:dyDescent="0.25">
      <c r="A197" s="6" t="s">
        <v>126</v>
      </c>
      <c r="B197" s="6" t="s">
        <v>125</v>
      </c>
    </row>
    <row r="198" spans="1:2" x14ac:dyDescent="0.25">
      <c r="A198" s="6" t="s">
        <v>124</v>
      </c>
      <c r="B198" s="6" t="s">
        <v>123</v>
      </c>
    </row>
    <row r="199" spans="1:2" x14ac:dyDescent="0.25">
      <c r="A199" s="6" t="s">
        <v>122</v>
      </c>
      <c r="B199" s="6" t="s">
        <v>121</v>
      </c>
    </row>
    <row r="200" spans="1:2" x14ac:dyDescent="0.25">
      <c r="A200" s="6" t="s">
        <v>120</v>
      </c>
      <c r="B200" s="6" t="s">
        <v>119</v>
      </c>
    </row>
    <row r="201" spans="1:2" x14ac:dyDescent="0.25">
      <c r="A201" s="6" t="s">
        <v>118</v>
      </c>
      <c r="B201" s="6" t="s">
        <v>117</v>
      </c>
    </row>
    <row r="202" spans="1:2" x14ac:dyDescent="0.25">
      <c r="A202" s="6" t="s">
        <v>395</v>
      </c>
      <c r="B202" s="6" t="s">
        <v>394</v>
      </c>
    </row>
    <row r="203" spans="1:2" x14ac:dyDescent="0.25">
      <c r="A203" s="6" t="s">
        <v>371</v>
      </c>
      <c r="B203" s="6" t="s">
        <v>619</v>
      </c>
    </row>
    <row r="204" spans="1:2" x14ac:dyDescent="0.25">
      <c r="A204" s="6" t="s">
        <v>618</v>
      </c>
      <c r="B204" s="6" t="s">
        <v>617</v>
      </c>
    </row>
    <row r="205" spans="1:2" x14ac:dyDescent="0.25">
      <c r="A205" s="6" t="s">
        <v>616</v>
      </c>
      <c r="B205" s="6" t="s">
        <v>609</v>
      </c>
    </row>
    <row r="206" spans="1:2" x14ac:dyDescent="0.25">
      <c r="A206" s="6" t="s">
        <v>115</v>
      </c>
      <c r="B206" s="6" t="s">
        <v>114</v>
      </c>
    </row>
    <row r="207" spans="1:2" x14ac:dyDescent="0.25">
      <c r="A207" s="6" t="s">
        <v>113</v>
      </c>
      <c r="B207" s="6" t="s">
        <v>112</v>
      </c>
    </row>
    <row r="208" spans="1:2" x14ac:dyDescent="0.25">
      <c r="A208" s="6" t="s">
        <v>111</v>
      </c>
      <c r="B208" s="6" t="s">
        <v>110</v>
      </c>
    </row>
    <row r="209" spans="1:2" x14ac:dyDescent="0.25">
      <c r="A209" s="6" t="s">
        <v>109</v>
      </c>
      <c r="B209" s="6" t="s">
        <v>108</v>
      </c>
    </row>
    <row r="210" spans="1:2" x14ac:dyDescent="0.25">
      <c r="A210" s="6" t="s">
        <v>107</v>
      </c>
      <c r="B210" s="6" t="s">
        <v>106</v>
      </c>
    </row>
    <row r="211" spans="1:2" x14ac:dyDescent="0.25">
      <c r="A211" s="6" t="s">
        <v>105</v>
      </c>
      <c r="B211" s="6" t="s">
        <v>104</v>
      </c>
    </row>
    <row r="212" spans="1:2" x14ac:dyDescent="0.25">
      <c r="A212" s="6" t="s">
        <v>103</v>
      </c>
      <c r="B212" s="6" t="s">
        <v>102</v>
      </c>
    </row>
    <row r="213" spans="1:2" x14ac:dyDescent="0.25">
      <c r="A213" s="6" t="s">
        <v>101</v>
      </c>
      <c r="B213" s="6" t="s">
        <v>100</v>
      </c>
    </row>
    <row r="214" spans="1:2" x14ac:dyDescent="0.25">
      <c r="A214" s="6" t="s">
        <v>99</v>
      </c>
      <c r="B214" s="6" t="s">
        <v>98</v>
      </c>
    </row>
    <row r="215" spans="1:2" x14ac:dyDescent="0.25">
      <c r="A215" s="6" t="s">
        <v>97</v>
      </c>
      <c r="B215" s="6" t="s">
        <v>96</v>
      </c>
    </row>
    <row r="216" spans="1:2" x14ac:dyDescent="0.25">
      <c r="A216" s="6" t="s">
        <v>95</v>
      </c>
      <c r="B216" s="6" t="s">
        <v>94</v>
      </c>
    </row>
    <row r="217" spans="1:2" x14ac:dyDescent="0.25">
      <c r="A217" s="6" t="s">
        <v>93</v>
      </c>
      <c r="B217" s="6" t="s">
        <v>92</v>
      </c>
    </row>
    <row r="218" spans="1:2" x14ac:dyDescent="0.25">
      <c r="A218" s="6" t="s">
        <v>91</v>
      </c>
      <c r="B218" s="6" t="s">
        <v>90</v>
      </c>
    </row>
    <row r="219" spans="1:2" x14ac:dyDescent="0.25">
      <c r="A219" s="6" t="s">
        <v>89</v>
      </c>
      <c r="B219" s="6" t="s">
        <v>88</v>
      </c>
    </row>
    <row r="220" spans="1:2" x14ac:dyDescent="0.25">
      <c r="A220" s="6" t="s">
        <v>87</v>
      </c>
      <c r="B220" s="6" t="s">
        <v>86</v>
      </c>
    </row>
    <row r="221" spans="1:2" x14ac:dyDescent="0.25">
      <c r="A221" s="6" t="s">
        <v>85</v>
      </c>
      <c r="B221" s="6" t="s">
        <v>84</v>
      </c>
    </row>
    <row r="222" spans="1:2" x14ac:dyDescent="0.25">
      <c r="A222" s="6" t="s">
        <v>393</v>
      </c>
      <c r="B222" s="6" t="s">
        <v>392</v>
      </c>
    </row>
    <row r="223" spans="1:2" x14ac:dyDescent="0.25">
      <c r="A223" s="6" t="s">
        <v>615</v>
      </c>
      <c r="B223" s="6" t="s">
        <v>81</v>
      </c>
    </row>
    <row r="224" spans="1:2" x14ac:dyDescent="0.25">
      <c r="A224" s="6" t="s">
        <v>83</v>
      </c>
      <c r="B224" s="6" t="s">
        <v>82</v>
      </c>
    </row>
    <row r="225" spans="1:2" x14ac:dyDescent="0.25">
      <c r="A225" s="6" t="s">
        <v>614</v>
      </c>
      <c r="B225" s="6" t="s">
        <v>613</v>
      </c>
    </row>
    <row r="226" spans="1:2" x14ac:dyDescent="0.25">
      <c r="A226" s="6" t="s">
        <v>612</v>
      </c>
      <c r="B226" s="6" t="s">
        <v>609</v>
      </c>
    </row>
    <row r="227" spans="1:2" x14ac:dyDescent="0.25">
      <c r="A227" s="6" t="s">
        <v>80</v>
      </c>
      <c r="B227" s="6" t="s">
        <v>79</v>
      </c>
    </row>
    <row r="228" spans="1:2" x14ac:dyDescent="0.25">
      <c r="A228" s="6" t="s">
        <v>78</v>
      </c>
      <c r="B228" s="6" t="s">
        <v>77</v>
      </c>
    </row>
    <row r="229" spans="1:2" x14ac:dyDescent="0.25">
      <c r="A229" s="6" t="s">
        <v>76</v>
      </c>
      <c r="B229" s="6" t="s">
        <v>75</v>
      </c>
    </row>
    <row r="230" spans="1:2" x14ac:dyDescent="0.25">
      <c r="A230" s="6" t="s">
        <v>74</v>
      </c>
      <c r="B230" s="6" t="s">
        <v>73</v>
      </c>
    </row>
    <row r="231" spans="1:2" x14ac:dyDescent="0.25">
      <c r="A231" s="6" t="s">
        <v>72</v>
      </c>
      <c r="B231" s="6" t="s">
        <v>71</v>
      </c>
    </row>
    <row r="232" spans="1:2" x14ac:dyDescent="0.25">
      <c r="A232" s="6" t="s">
        <v>70</v>
      </c>
      <c r="B232" s="6" t="s">
        <v>69</v>
      </c>
    </row>
    <row r="233" spans="1:2" x14ac:dyDescent="0.25">
      <c r="A233" s="6" t="s">
        <v>611</v>
      </c>
      <c r="B233" s="6" t="s">
        <v>58</v>
      </c>
    </row>
    <row r="234" spans="1:2" x14ac:dyDescent="0.25">
      <c r="A234" s="6" t="s">
        <v>610</v>
      </c>
      <c r="B234" s="6" t="s">
        <v>609</v>
      </c>
    </row>
    <row r="235" spans="1:2" x14ac:dyDescent="0.25">
      <c r="A235" s="6" t="s">
        <v>68</v>
      </c>
      <c r="B235" s="6" t="s">
        <v>67</v>
      </c>
    </row>
    <row r="236" spans="1:2" x14ac:dyDescent="0.25">
      <c r="A236" s="6" t="s">
        <v>66</v>
      </c>
      <c r="B236" s="6" t="s">
        <v>65</v>
      </c>
    </row>
    <row r="237" spans="1:2" x14ac:dyDescent="0.25">
      <c r="A237" s="6" t="s">
        <v>64</v>
      </c>
      <c r="B237" s="6" t="s">
        <v>63</v>
      </c>
    </row>
    <row r="238" spans="1:2" x14ac:dyDescent="0.25">
      <c r="A238" s="6" t="s">
        <v>62</v>
      </c>
      <c r="B238" s="6" t="s">
        <v>61</v>
      </c>
    </row>
    <row r="239" spans="1:2" x14ac:dyDescent="0.25">
      <c r="A239" s="6" t="s">
        <v>60</v>
      </c>
      <c r="B239" s="6" t="s">
        <v>59</v>
      </c>
    </row>
    <row r="240" spans="1:2" x14ac:dyDescent="0.25">
      <c r="A240" s="6" t="s">
        <v>608</v>
      </c>
      <c r="B240" s="6" t="s">
        <v>607</v>
      </c>
    </row>
    <row r="241" spans="1:2" x14ac:dyDescent="0.25">
      <c r="A241" s="6" t="s">
        <v>606</v>
      </c>
      <c r="B241" s="6" t="s">
        <v>605</v>
      </c>
    </row>
    <row r="242" spans="1:2" x14ac:dyDescent="0.25">
      <c r="A242" s="6" t="s">
        <v>370</v>
      </c>
      <c r="B242" s="6" t="s">
        <v>424</v>
      </c>
    </row>
    <row r="243" spans="1:2" x14ac:dyDescent="0.25">
      <c r="A243" s="6" t="s">
        <v>57</v>
      </c>
      <c r="B243" s="6" t="s">
        <v>56</v>
      </c>
    </row>
    <row r="244" spans="1:2" x14ac:dyDescent="0.25">
      <c r="A244" s="6" t="s">
        <v>369</v>
      </c>
      <c r="B244" s="6" t="s">
        <v>604</v>
      </c>
    </row>
    <row r="245" spans="1:2" x14ac:dyDescent="0.25">
      <c r="A245" s="6" t="s">
        <v>603</v>
      </c>
      <c r="B245" s="6" t="s">
        <v>602</v>
      </c>
    </row>
    <row r="246" spans="1:2" x14ac:dyDescent="0.25">
      <c r="A246" s="6" t="s">
        <v>601</v>
      </c>
      <c r="B246" s="6" t="s">
        <v>600</v>
      </c>
    </row>
    <row r="247" spans="1:2" x14ac:dyDescent="0.25">
      <c r="A247" s="6" t="s">
        <v>599</v>
      </c>
      <c r="B247" s="6" t="s">
        <v>598</v>
      </c>
    </row>
    <row r="248" spans="1:2" x14ac:dyDescent="0.25">
      <c r="A248" s="6" t="s">
        <v>597</v>
      </c>
      <c r="B248" s="6" t="s">
        <v>596</v>
      </c>
    </row>
    <row r="249" spans="1:2" x14ac:dyDescent="0.25">
      <c r="A249" s="6" t="s">
        <v>367</v>
      </c>
      <c r="B249" s="6" t="s">
        <v>385</v>
      </c>
    </row>
    <row r="250" spans="1:2" x14ac:dyDescent="0.25">
      <c r="A250" s="6" t="s">
        <v>366</v>
      </c>
      <c r="B250" s="6" t="s">
        <v>384</v>
      </c>
    </row>
    <row r="251" spans="1:2" x14ac:dyDescent="0.25">
      <c r="A251" s="6" t="s">
        <v>365</v>
      </c>
      <c r="B251" s="6" t="s">
        <v>119</v>
      </c>
    </row>
    <row r="252" spans="1:2" x14ac:dyDescent="0.25">
      <c r="A252" s="6" t="s">
        <v>364</v>
      </c>
      <c r="B252" s="6" t="s">
        <v>595</v>
      </c>
    </row>
    <row r="253" spans="1:2" x14ac:dyDescent="0.25">
      <c r="A253" s="6" t="s">
        <v>54</v>
      </c>
      <c r="B253" s="6" t="s">
        <v>53</v>
      </c>
    </row>
    <row r="254" spans="1:2" x14ac:dyDescent="0.25">
      <c r="A254" s="6" t="s">
        <v>363</v>
      </c>
      <c r="B254" s="6" t="s">
        <v>594</v>
      </c>
    </row>
    <row r="255" spans="1:2" x14ac:dyDescent="0.25">
      <c r="A255" s="6" t="s">
        <v>362</v>
      </c>
      <c r="B255" s="6" t="s">
        <v>593</v>
      </c>
    </row>
    <row r="256" spans="1:2" x14ac:dyDescent="0.25">
      <c r="A256" s="6" t="s">
        <v>52</v>
      </c>
      <c r="B256" s="6" t="s">
        <v>51</v>
      </c>
    </row>
    <row r="257" spans="1:2" x14ac:dyDescent="0.25">
      <c r="A257" s="9" t="s">
        <v>592</v>
      </c>
      <c r="B257" s="9" t="s">
        <v>591</v>
      </c>
    </row>
    <row r="258" spans="1:2" x14ac:dyDescent="0.25">
      <c r="A258" s="6" t="s">
        <v>590</v>
      </c>
      <c r="B258" s="6" t="s">
        <v>589</v>
      </c>
    </row>
    <row r="259" spans="1:2" x14ac:dyDescent="0.25">
      <c r="A259" s="6" t="s">
        <v>588</v>
      </c>
      <c r="B259" s="6" t="s">
        <v>587</v>
      </c>
    </row>
    <row r="260" spans="1:2" x14ac:dyDescent="0.25">
      <c r="A260" s="6" t="s">
        <v>586</v>
      </c>
      <c r="B260" s="6" t="s">
        <v>585</v>
      </c>
    </row>
    <row r="261" spans="1:2" x14ac:dyDescent="0.25">
      <c r="A261" s="6" t="s">
        <v>49</v>
      </c>
      <c r="B261" s="6" t="s">
        <v>48</v>
      </c>
    </row>
    <row r="262" spans="1:2" x14ac:dyDescent="0.25">
      <c r="A262" s="6" t="s">
        <v>47</v>
      </c>
      <c r="B262" s="6" t="s">
        <v>46</v>
      </c>
    </row>
    <row r="263" spans="1:2" x14ac:dyDescent="0.25">
      <c r="A263" s="6" t="s">
        <v>45</v>
      </c>
      <c r="B263" s="6" t="s">
        <v>44</v>
      </c>
    </row>
    <row r="264" spans="1:2" x14ac:dyDescent="0.25">
      <c r="A264" s="6" t="s">
        <v>584</v>
      </c>
      <c r="B264" s="6" t="s">
        <v>583</v>
      </c>
    </row>
    <row r="265" spans="1:2" x14ac:dyDescent="0.25">
      <c r="A265" s="6" t="s">
        <v>43</v>
      </c>
      <c r="B265" s="6" t="s">
        <v>42</v>
      </c>
    </row>
    <row r="266" spans="1:2" x14ac:dyDescent="0.25">
      <c r="A266" s="6" t="s">
        <v>459</v>
      </c>
      <c r="B266" s="6" t="s">
        <v>458</v>
      </c>
    </row>
    <row r="267" spans="1:2" x14ac:dyDescent="0.25">
      <c r="A267" s="6" t="s">
        <v>582</v>
      </c>
      <c r="B267" s="6" t="s">
        <v>581</v>
      </c>
    </row>
    <row r="268" spans="1:2" x14ac:dyDescent="0.25">
      <c r="A268" s="6" t="s">
        <v>580</v>
      </c>
      <c r="B268" s="6" t="s">
        <v>579</v>
      </c>
    </row>
    <row r="269" spans="1:2" x14ac:dyDescent="0.25">
      <c r="A269" s="6" t="s">
        <v>578</v>
      </c>
      <c r="B269" s="6" t="s">
        <v>577</v>
      </c>
    </row>
    <row r="270" spans="1:2" x14ac:dyDescent="0.25">
      <c r="A270" s="6" t="s">
        <v>576</v>
      </c>
      <c r="B270" s="6" t="s">
        <v>575</v>
      </c>
    </row>
    <row r="271" spans="1:2" x14ac:dyDescent="0.25">
      <c r="A271" s="6" t="s">
        <v>574</v>
      </c>
      <c r="B271" s="6" t="s">
        <v>573</v>
      </c>
    </row>
    <row r="272" spans="1:2" x14ac:dyDescent="0.25">
      <c r="A272" s="6" t="s">
        <v>572</v>
      </c>
      <c r="B272" s="6" t="s">
        <v>571</v>
      </c>
    </row>
    <row r="273" spans="1:2" x14ac:dyDescent="0.25">
      <c r="A273" s="6" t="s">
        <v>457</v>
      </c>
      <c r="B273" s="6" t="s">
        <v>456</v>
      </c>
    </row>
    <row r="274" spans="1:2" x14ac:dyDescent="0.25">
      <c r="A274" s="6" t="s">
        <v>41</v>
      </c>
      <c r="B274" s="6" t="s">
        <v>40</v>
      </c>
    </row>
    <row r="275" spans="1:2" x14ac:dyDescent="0.25">
      <c r="A275" s="6" t="s">
        <v>39</v>
      </c>
      <c r="B275" s="6" t="s">
        <v>38</v>
      </c>
    </row>
    <row r="276" spans="1:2" x14ac:dyDescent="0.25">
      <c r="A276" s="6" t="s">
        <v>570</v>
      </c>
      <c r="B276" s="6" t="s">
        <v>19</v>
      </c>
    </row>
    <row r="277" spans="1:2" x14ac:dyDescent="0.25">
      <c r="A277" s="6" t="s">
        <v>419</v>
      </c>
      <c r="B277" s="6" t="s">
        <v>418</v>
      </c>
    </row>
    <row r="278" spans="1:2" x14ac:dyDescent="0.25">
      <c r="A278" s="6" t="s">
        <v>455</v>
      </c>
      <c r="B278" s="6" t="s">
        <v>454</v>
      </c>
    </row>
    <row r="279" spans="1:2" x14ac:dyDescent="0.25">
      <c r="A279" s="6" t="s">
        <v>480</v>
      </c>
      <c r="B279" s="6" t="s">
        <v>479</v>
      </c>
    </row>
    <row r="280" spans="1:2" x14ac:dyDescent="0.25">
      <c r="A280" s="6" t="s">
        <v>569</v>
      </c>
      <c r="B280" s="6" t="s">
        <v>568</v>
      </c>
    </row>
    <row r="281" spans="1:2" x14ac:dyDescent="0.25">
      <c r="A281" s="6" t="s">
        <v>478</v>
      </c>
      <c r="B281" s="6" t="s">
        <v>477</v>
      </c>
    </row>
    <row r="282" spans="1:2" x14ac:dyDescent="0.25">
      <c r="A282" s="6" t="s">
        <v>37</v>
      </c>
      <c r="B282" s="6" t="s">
        <v>36</v>
      </c>
    </row>
    <row r="283" spans="1:2" x14ac:dyDescent="0.25">
      <c r="A283" s="6" t="s">
        <v>35</v>
      </c>
      <c r="B283" s="6" t="s">
        <v>34</v>
      </c>
    </row>
    <row r="284" spans="1:2" x14ac:dyDescent="0.25">
      <c r="A284" s="6" t="s">
        <v>33</v>
      </c>
      <c r="B284" s="6" t="s">
        <v>32</v>
      </c>
    </row>
    <row r="285" spans="1:2" x14ac:dyDescent="0.25">
      <c r="A285" s="6" t="s">
        <v>31</v>
      </c>
      <c r="B285" s="6" t="s">
        <v>30</v>
      </c>
    </row>
    <row r="286" spans="1:2" x14ac:dyDescent="0.25">
      <c r="A286" s="6" t="s">
        <v>29</v>
      </c>
      <c r="B286" s="6" t="s">
        <v>28</v>
      </c>
    </row>
    <row r="287" spans="1:2" x14ac:dyDescent="0.25">
      <c r="A287" s="6" t="s">
        <v>27</v>
      </c>
      <c r="B287" s="6" t="s">
        <v>26</v>
      </c>
    </row>
    <row r="288" spans="1:2" x14ac:dyDescent="0.25">
      <c r="A288" s="6" t="s">
        <v>25</v>
      </c>
      <c r="B288" s="6" t="s">
        <v>24</v>
      </c>
    </row>
    <row r="289" spans="1:2" x14ac:dyDescent="0.25">
      <c r="A289" s="6" t="s">
        <v>23</v>
      </c>
      <c r="B289" s="6" t="s">
        <v>22</v>
      </c>
    </row>
    <row r="290" spans="1:2" x14ac:dyDescent="0.25">
      <c r="A290" s="8" t="s">
        <v>21</v>
      </c>
      <c r="B290" s="2" t="s">
        <v>18</v>
      </c>
    </row>
    <row r="291" spans="1:2" x14ac:dyDescent="0.25">
      <c r="A291" s="6" t="s">
        <v>567</v>
      </c>
      <c r="B291" s="6" t="s">
        <v>12</v>
      </c>
    </row>
    <row r="292" spans="1:2" x14ac:dyDescent="0.25">
      <c r="A292" s="6" t="s">
        <v>17</v>
      </c>
      <c r="B292" s="6" t="s">
        <v>16</v>
      </c>
    </row>
    <row r="293" spans="1:2" x14ac:dyDescent="0.25">
      <c r="A293" s="6" t="s">
        <v>566</v>
      </c>
      <c r="B293" s="6" t="s">
        <v>565</v>
      </c>
    </row>
    <row r="294" spans="1:2" x14ac:dyDescent="0.25">
      <c r="A294" s="6" t="s">
        <v>476</v>
      </c>
      <c r="B294" s="6" t="s">
        <v>475</v>
      </c>
    </row>
    <row r="295" spans="1:2" x14ac:dyDescent="0.25">
      <c r="A295" s="6" t="s">
        <v>383</v>
      </c>
      <c r="B295" s="6" t="s">
        <v>382</v>
      </c>
    </row>
    <row r="296" spans="1:2" x14ac:dyDescent="0.25">
      <c r="A296" s="6" t="s">
        <v>381</v>
      </c>
      <c r="B296" s="6" t="s">
        <v>380</v>
      </c>
    </row>
    <row r="297" spans="1:2" x14ac:dyDescent="0.25">
      <c r="A297" s="6" t="s">
        <v>15</v>
      </c>
      <c r="B297" s="6" t="s">
        <v>14</v>
      </c>
    </row>
    <row r="298" spans="1:2" x14ac:dyDescent="0.25">
      <c r="A298" s="6" t="s">
        <v>417</v>
      </c>
      <c r="B298" s="6" t="s">
        <v>416</v>
      </c>
    </row>
    <row r="299" spans="1:2" x14ac:dyDescent="0.25">
      <c r="A299" s="6" t="s">
        <v>489</v>
      </c>
      <c r="B299" s="6" t="s">
        <v>488</v>
      </c>
    </row>
    <row r="300" spans="1:2" x14ac:dyDescent="0.25">
      <c r="A300" s="6" t="s">
        <v>13</v>
      </c>
      <c r="B300" s="6" t="s">
        <v>11</v>
      </c>
    </row>
    <row r="301" spans="1:2" x14ac:dyDescent="0.25">
      <c r="A301" s="6" t="s">
        <v>564</v>
      </c>
      <c r="B301" s="6" t="s">
        <v>563</v>
      </c>
    </row>
    <row r="302" spans="1:2" x14ac:dyDescent="0.25">
      <c r="A302" s="6" t="s">
        <v>562</v>
      </c>
      <c r="B302" s="6" t="s">
        <v>561</v>
      </c>
    </row>
    <row r="303" spans="1:2" x14ac:dyDescent="0.25">
      <c r="A303" s="6" t="s">
        <v>10</v>
      </c>
      <c r="B303" s="6" t="s">
        <v>9</v>
      </c>
    </row>
    <row r="304" spans="1:2" x14ac:dyDescent="0.25">
      <c r="A304" s="6" t="s">
        <v>8</v>
      </c>
      <c r="B304" s="6" t="s">
        <v>7</v>
      </c>
    </row>
    <row r="305" spans="1:2" x14ac:dyDescent="0.25">
      <c r="A305" s="6" t="s">
        <v>560</v>
      </c>
      <c r="B305" s="6" t="s">
        <v>559</v>
      </c>
    </row>
    <row r="306" spans="1:2" x14ac:dyDescent="0.25">
      <c r="A306" s="6" t="s">
        <v>6</v>
      </c>
      <c r="B306" s="6" t="s">
        <v>4</v>
      </c>
    </row>
    <row r="307" spans="1:2" x14ac:dyDescent="0.25">
      <c r="A307" s="6" t="s">
        <v>5</v>
      </c>
      <c r="B307" s="6" t="s">
        <v>4</v>
      </c>
    </row>
    <row r="308" spans="1:2" x14ac:dyDescent="0.25">
      <c r="A308" s="6" t="s">
        <v>474</v>
      </c>
      <c r="B308" s="6" t="s">
        <v>473</v>
      </c>
    </row>
    <row r="309" spans="1:2" x14ac:dyDescent="0.25">
      <c r="A309" s="6" t="s">
        <v>453</v>
      </c>
      <c r="B309" s="6" t="s">
        <v>452</v>
      </c>
    </row>
    <row r="310" spans="1:2" x14ac:dyDescent="0.25">
      <c r="A310" s="6" t="s">
        <v>3</v>
      </c>
      <c r="B310" s="6" t="s">
        <v>0</v>
      </c>
    </row>
    <row r="311" spans="1:2" x14ac:dyDescent="0.25">
      <c r="A311" s="6" t="s">
        <v>558</v>
      </c>
      <c r="B311" s="6"/>
    </row>
    <row r="312" spans="1:2" x14ac:dyDescent="0.25">
      <c r="A312" s="6" t="s">
        <v>557</v>
      </c>
      <c r="B312" s="6" t="s">
        <v>556</v>
      </c>
    </row>
    <row r="313" spans="1:2" x14ac:dyDescent="0.25">
      <c r="A313" s="6" t="s">
        <v>555</v>
      </c>
      <c r="B313" s="6" t="s">
        <v>1</v>
      </c>
    </row>
    <row r="314" spans="1:2" x14ac:dyDescent="0.25">
      <c r="A314" s="6" t="s">
        <v>554</v>
      </c>
      <c r="B314" s="6" t="s">
        <v>1</v>
      </c>
    </row>
    <row r="315" spans="1:2" x14ac:dyDescent="0.25">
      <c r="A315" s="6" t="s">
        <v>415</v>
      </c>
      <c r="B315" s="6" t="s">
        <v>414</v>
      </c>
    </row>
    <row r="316" spans="1:2" x14ac:dyDescent="0.25">
      <c r="A316" s="6" t="s">
        <v>553</v>
      </c>
      <c r="B316" s="6" t="s">
        <v>1</v>
      </c>
    </row>
    <row r="317" spans="1:2" x14ac:dyDescent="0.25">
      <c r="A317" s="6" t="s">
        <v>552</v>
      </c>
      <c r="B317" s="6" t="s">
        <v>1</v>
      </c>
    </row>
    <row r="318" spans="1:2" x14ac:dyDescent="0.25">
      <c r="A318" s="6" t="s">
        <v>551</v>
      </c>
      <c r="B318" s="6" t="s">
        <v>1</v>
      </c>
    </row>
    <row r="319" spans="1:2" x14ac:dyDescent="0.25">
      <c r="A319" s="6" t="s">
        <v>550</v>
      </c>
      <c r="B319" s="6" t="s">
        <v>549</v>
      </c>
    </row>
    <row r="320" spans="1:2" x14ac:dyDescent="0.25">
      <c r="A320" s="6" t="s">
        <v>548</v>
      </c>
      <c r="B320" s="6" t="s">
        <v>547</v>
      </c>
    </row>
    <row r="321" spans="1:2" x14ac:dyDescent="0.25">
      <c r="A321" s="6" t="s">
        <v>436</v>
      </c>
      <c r="B321" s="6" t="s">
        <v>435</v>
      </c>
    </row>
    <row r="322" spans="1:2" x14ac:dyDescent="0.25">
      <c r="A322" s="6" t="s">
        <v>451</v>
      </c>
      <c r="B322" s="6" t="s">
        <v>450</v>
      </c>
    </row>
    <row r="323" spans="1:2" x14ac:dyDescent="0.25">
      <c r="A323" s="7" t="s">
        <v>546</v>
      </c>
      <c r="B323" s="7" t="s">
        <v>545</v>
      </c>
    </row>
    <row r="324" spans="1:2" x14ac:dyDescent="0.25">
      <c r="A324" s="6" t="s">
        <v>413</v>
      </c>
      <c r="B324" s="6" t="s">
        <v>412</v>
      </c>
    </row>
    <row r="325" spans="1:2" x14ac:dyDescent="0.25">
      <c r="A325" s="6" t="s">
        <v>361</v>
      </c>
      <c r="B325" s="6" t="s">
        <v>379</v>
      </c>
    </row>
    <row r="326" spans="1:2" x14ac:dyDescent="0.25">
      <c r="A326" s="5" t="s">
        <v>544</v>
      </c>
      <c r="B326" s="5"/>
    </row>
    <row r="327" spans="1:2" x14ac:dyDescent="0.25">
      <c r="A327" s="6" t="s">
        <v>500</v>
      </c>
      <c r="B327" s="6" t="s">
        <v>339</v>
      </c>
    </row>
    <row r="328" spans="1:2" x14ac:dyDescent="0.25">
      <c r="A328" s="6" t="s">
        <v>520</v>
      </c>
      <c r="B328" s="6" t="s">
        <v>337</v>
      </c>
    </row>
    <row r="329" spans="1:2" x14ac:dyDescent="0.25">
      <c r="A329" s="6" t="s">
        <v>499</v>
      </c>
      <c r="B329" s="6" t="s">
        <v>498</v>
      </c>
    </row>
    <row r="330" spans="1:2" x14ac:dyDescent="0.25">
      <c r="A330" s="6" t="s">
        <v>519</v>
      </c>
      <c r="B330" s="6" t="s">
        <v>518</v>
      </c>
    </row>
    <row r="331" spans="1:2" x14ac:dyDescent="0.25">
      <c r="A331" s="6" t="s">
        <v>497</v>
      </c>
      <c r="B331" s="6" t="s">
        <v>496</v>
      </c>
    </row>
    <row r="332" spans="1:2" x14ac:dyDescent="0.25">
      <c r="A332" s="6" t="s">
        <v>517</v>
      </c>
      <c r="B332" s="6" t="s">
        <v>516</v>
      </c>
    </row>
    <row r="333" spans="1:2" x14ac:dyDescent="0.25">
      <c r="A333" s="6" t="s">
        <v>515</v>
      </c>
      <c r="B333" s="6" t="s">
        <v>514</v>
      </c>
    </row>
    <row r="334" spans="1:2" x14ac:dyDescent="0.25">
      <c r="A334" s="6" t="s">
        <v>449</v>
      </c>
      <c r="B334" s="6" t="s">
        <v>448</v>
      </c>
    </row>
    <row r="335" spans="1:2" x14ac:dyDescent="0.25">
      <c r="A335" s="6" t="s">
        <v>433</v>
      </c>
      <c r="B335" s="6" t="s">
        <v>432</v>
      </c>
    </row>
    <row r="336" spans="1:2" x14ac:dyDescent="0.25">
      <c r="A336" s="6" t="s">
        <v>407</v>
      </c>
      <c r="B336" s="6" t="s">
        <v>406</v>
      </c>
    </row>
    <row r="337" spans="1:2" x14ac:dyDescent="0.25">
      <c r="A337" s="6" t="s">
        <v>445</v>
      </c>
      <c r="B337" s="6" t="s">
        <v>444</v>
      </c>
    </row>
    <row r="338" spans="1:2" x14ac:dyDescent="0.25">
      <c r="A338" s="6" t="s">
        <v>485</v>
      </c>
      <c r="B338" s="6" t="s">
        <v>484</v>
      </c>
    </row>
    <row r="339" spans="1:2" x14ac:dyDescent="0.25">
      <c r="A339" s="6" t="s">
        <v>505</v>
      </c>
      <c r="B339" s="6" t="s">
        <v>504</v>
      </c>
    </row>
    <row r="340" spans="1:2" x14ac:dyDescent="0.25">
      <c r="A340" s="6" t="s">
        <v>503</v>
      </c>
      <c r="B340" s="6" t="s">
        <v>501</v>
      </c>
    </row>
    <row r="341" spans="1:2" x14ac:dyDescent="0.25">
      <c r="A341" s="6" t="s">
        <v>502</v>
      </c>
      <c r="B341" s="6" t="s">
        <v>501</v>
      </c>
    </row>
    <row r="342" spans="1:2" x14ac:dyDescent="0.25">
      <c r="A342" s="6" t="s">
        <v>461</v>
      </c>
      <c r="B342" s="6" t="s">
        <v>460</v>
      </c>
    </row>
    <row r="343" spans="1:2" x14ac:dyDescent="0.25">
      <c r="A343" s="6" t="s">
        <v>495</v>
      </c>
      <c r="B343" s="6" t="s">
        <v>494</v>
      </c>
    </row>
    <row r="344" spans="1:2" x14ac:dyDescent="0.25">
      <c r="A344" s="6" t="s">
        <v>493</v>
      </c>
      <c r="B344" s="6" t="s">
        <v>492</v>
      </c>
    </row>
    <row r="345" spans="1:2" x14ac:dyDescent="0.25">
      <c r="A345" s="6" t="s">
        <v>491</v>
      </c>
      <c r="B345" s="6" t="s">
        <v>490</v>
      </c>
    </row>
    <row r="346" spans="1:2" x14ac:dyDescent="0.25">
      <c r="A346" s="6" t="s">
        <v>409</v>
      </c>
      <c r="B346" s="6" t="s">
        <v>408</v>
      </c>
    </row>
    <row r="347" spans="1:2" x14ac:dyDescent="0.25">
      <c r="A347" s="6" t="s">
        <v>447</v>
      </c>
      <c r="B347" s="6" t="s">
        <v>446</v>
      </c>
    </row>
    <row r="348" spans="1:2" x14ac:dyDescent="0.25">
      <c r="A348" s="6" t="s">
        <v>487</v>
      </c>
      <c r="B348" s="6" t="s">
        <v>486</v>
      </c>
    </row>
    <row r="349" spans="1:2" x14ac:dyDescent="0.25">
      <c r="A349" s="6" t="s">
        <v>482</v>
      </c>
      <c r="B349" s="6" t="s">
        <v>481</v>
      </c>
    </row>
    <row r="350" spans="1:2" x14ac:dyDescent="0.25">
      <c r="A350" s="6" t="s">
        <v>421</v>
      </c>
      <c r="B350" s="6" t="s">
        <v>420</v>
      </c>
    </row>
    <row r="351" spans="1:2" x14ac:dyDescent="0.25">
      <c r="A351" s="5" t="s">
        <v>472</v>
      </c>
      <c r="B351" s="5" t="s">
        <v>471</v>
      </c>
    </row>
    <row r="352" spans="1:2" x14ac:dyDescent="0.25">
      <c r="A352" s="5" t="s">
        <v>469</v>
      </c>
      <c r="B352" s="5" t="s">
        <v>468</v>
      </c>
    </row>
    <row r="353" spans="1:2" x14ac:dyDescent="0.25">
      <c r="A353" s="5" t="s">
        <v>466</v>
      </c>
      <c r="B353" s="5" t="s">
        <v>465</v>
      </c>
    </row>
    <row r="354" spans="1:2" x14ac:dyDescent="0.25">
      <c r="A354" s="5" t="s">
        <v>464</v>
      </c>
      <c r="B354" s="5" t="s">
        <v>463</v>
      </c>
    </row>
    <row r="355" spans="1:2" x14ac:dyDescent="0.25">
      <c r="A355" s="5" t="s">
        <v>368</v>
      </c>
      <c r="B355" s="5" t="s">
        <v>437</v>
      </c>
    </row>
    <row r="356" spans="1:2" x14ac:dyDescent="0.25">
      <c r="A356" s="5" t="s">
        <v>443</v>
      </c>
      <c r="B356" s="5" t="s">
        <v>442</v>
      </c>
    </row>
    <row r="357" spans="1:2" x14ac:dyDescent="0.25">
      <c r="A357" s="5" t="s">
        <v>441</v>
      </c>
      <c r="B357" s="5" t="s">
        <v>440</v>
      </c>
    </row>
    <row r="358" spans="1:2" x14ac:dyDescent="0.25">
      <c r="A358" s="5" t="s">
        <v>439</v>
      </c>
      <c r="B358" s="5" t="s">
        <v>438</v>
      </c>
    </row>
    <row r="359" spans="1:2" x14ac:dyDescent="0.25">
      <c r="A359" s="5" t="s">
        <v>423</v>
      </c>
      <c r="B359" s="5" t="s">
        <v>422</v>
      </c>
    </row>
    <row r="360" spans="1:2" x14ac:dyDescent="0.25">
      <c r="A360" s="5" t="s">
        <v>431</v>
      </c>
      <c r="B360" s="5" t="s">
        <v>386</v>
      </c>
    </row>
    <row r="361" spans="1:2" x14ac:dyDescent="0.25">
      <c r="A361" s="5" t="s">
        <v>430</v>
      </c>
      <c r="B361" s="5" t="s">
        <v>429</v>
      </c>
    </row>
    <row r="362" spans="1:2" x14ac:dyDescent="0.25">
      <c r="A362" s="5" t="s">
        <v>428</v>
      </c>
      <c r="B362" s="5" t="s">
        <v>427</v>
      </c>
    </row>
    <row r="363" spans="1:2" x14ac:dyDescent="0.25">
      <c r="A363" s="5" t="s">
        <v>426</v>
      </c>
      <c r="B363" s="5" t="s">
        <v>425</v>
      </c>
    </row>
    <row r="364" spans="1:2" x14ac:dyDescent="0.25">
      <c r="A364" s="5" t="s">
        <v>389</v>
      </c>
      <c r="B364" s="5" t="s">
        <v>388</v>
      </c>
    </row>
    <row r="365" spans="1:2" x14ac:dyDescent="0.25">
      <c r="A365" s="5" t="s">
        <v>403</v>
      </c>
      <c r="B365" s="5" t="s">
        <v>400</v>
      </c>
    </row>
    <row r="366" spans="1:2" x14ac:dyDescent="0.25">
      <c r="A366" s="5" t="s">
        <v>397</v>
      </c>
      <c r="B366" s="5" t="s">
        <v>396</v>
      </c>
    </row>
    <row r="367" spans="1:2" x14ac:dyDescent="0.25">
      <c r="A367" s="5" t="s">
        <v>391</v>
      </c>
      <c r="B367" s="5" t="s">
        <v>390</v>
      </c>
    </row>
    <row r="368" spans="1:2" x14ac:dyDescent="0.25">
      <c r="A368" s="5" t="s">
        <v>387</v>
      </c>
      <c r="B368" s="5" t="s">
        <v>386</v>
      </c>
    </row>
  </sheetData>
  <conditionalFormatting sqref="A327:A350">
    <cfRule type="duplicateValues" dxfId="101" priority="1"/>
    <cfRule type="duplicateValues" dxfId="10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G112"/>
  <sheetViews>
    <sheetView topLeftCell="A4" workbookViewId="0">
      <selection activeCell="C18" sqref="C18"/>
    </sheetView>
  </sheetViews>
  <sheetFormatPr baseColWidth="10" defaultRowHeight="15" x14ac:dyDescent="0.25"/>
  <cols>
    <col min="1" max="1" width="17.5703125" bestFit="1" customWidth="1"/>
    <col min="2" max="2" width="27.140625" customWidth="1"/>
    <col min="3" max="3" width="27.7109375" bestFit="1" customWidth="1"/>
    <col min="4" max="4" width="28.28515625" bestFit="1" customWidth="1"/>
    <col min="5" max="5" width="28.85546875" bestFit="1" customWidth="1"/>
    <col min="6" max="6" width="27.85546875" bestFit="1" customWidth="1"/>
    <col min="7" max="7" width="28.42578125" bestFit="1" customWidth="1"/>
  </cols>
  <sheetData>
    <row r="1" spans="1:7" x14ac:dyDescent="0.25">
      <c r="A1" s="15" t="s">
        <v>540</v>
      </c>
      <c r="B1" t="s">
        <v>2</v>
      </c>
    </row>
    <row r="2" spans="1:7" x14ac:dyDescent="0.25">
      <c r="A2" s="15" t="s">
        <v>539</v>
      </c>
      <c r="B2" t="s">
        <v>793</v>
      </c>
    </row>
    <row r="3" spans="1:7" x14ac:dyDescent="0.25">
      <c r="A3" s="15" t="s">
        <v>538</v>
      </c>
      <c r="B3" t="s">
        <v>793</v>
      </c>
    </row>
    <row r="4" spans="1:7" x14ac:dyDescent="0.25">
      <c r="A4" s="15" t="s">
        <v>537</v>
      </c>
      <c r="B4" t="s">
        <v>793</v>
      </c>
    </row>
    <row r="5" spans="1:7" x14ac:dyDescent="0.25">
      <c r="A5" s="15" t="s">
        <v>536</v>
      </c>
      <c r="B5" t="s">
        <v>793</v>
      </c>
    </row>
    <row r="6" spans="1:7" x14ac:dyDescent="0.25">
      <c r="A6" s="15" t="s">
        <v>535</v>
      </c>
      <c r="B6" t="s">
        <v>793</v>
      </c>
    </row>
    <row r="8" spans="1:7" x14ac:dyDescent="0.25">
      <c r="A8" s="15" t="s">
        <v>794</v>
      </c>
      <c r="B8" t="s">
        <v>1140</v>
      </c>
      <c r="C8" t="s">
        <v>1141</v>
      </c>
      <c r="D8" t="s">
        <v>1142</v>
      </c>
      <c r="E8" t="s">
        <v>1143</v>
      </c>
      <c r="F8" t="s">
        <v>1144</v>
      </c>
      <c r="G8" t="s">
        <v>1145</v>
      </c>
    </row>
    <row r="9" spans="1:7" x14ac:dyDescent="0.25">
      <c r="A9" s="16">
        <v>2007</v>
      </c>
      <c r="B9" s="17">
        <v>32884.069901340001</v>
      </c>
      <c r="C9" s="17">
        <v>157625.25015303999</v>
      </c>
      <c r="D9" s="17">
        <v>15509.168899189999</v>
      </c>
      <c r="E9" s="17">
        <v>113809.88782411002</v>
      </c>
      <c r="F9" s="17">
        <v>164953.24521083001</v>
      </c>
      <c r="G9" s="17">
        <v>141240.24479329999</v>
      </c>
    </row>
    <row r="10" spans="1:7" x14ac:dyDescent="0.25">
      <c r="A10" s="16">
        <v>2008</v>
      </c>
      <c r="B10" s="17">
        <v>294640.44374434004</v>
      </c>
      <c r="C10" s="17">
        <v>152922.02082895002</v>
      </c>
      <c r="D10" s="17">
        <v>8479.2099118599999</v>
      </c>
      <c r="E10" s="17">
        <v>57154.938156009994</v>
      </c>
      <c r="F10" s="17">
        <v>44170.807986250002</v>
      </c>
      <c r="G10" s="17">
        <v>145155.89714238999</v>
      </c>
    </row>
    <row r="11" spans="1:7" x14ac:dyDescent="0.25">
      <c r="A11" s="16">
        <v>2009</v>
      </c>
      <c r="B11" s="17">
        <v>192173.49764650999</v>
      </c>
      <c r="C11" s="17">
        <v>248697.58400333</v>
      </c>
      <c r="D11" s="17">
        <v>245631.41739711</v>
      </c>
      <c r="E11" s="17">
        <v>256773.02958755998</v>
      </c>
      <c r="F11" s="17">
        <v>206560.36663397998</v>
      </c>
      <c r="G11" s="17">
        <v>393775.01203340001</v>
      </c>
    </row>
    <row r="12" spans="1:7" x14ac:dyDescent="0.25">
      <c r="A12" s="16">
        <v>2010</v>
      </c>
      <c r="B12" s="17">
        <v>268590.99439930997</v>
      </c>
      <c r="C12" s="17">
        <v>253550.94096794</v>
      </c>
      <c r="D12" s="17">
        <v>134490.08283889998</v>
      </c>
      <c r="E12" s="17">
        <v>305832.93900647998</v>
      </c>
      <c r="F12" s="17">
        <v>451465.12608134997</v>
      </c>
      <c r="G12" s="17">
        <v>295868.42736032</v>
      </c>
    </row>
    <row r="13" spans="1:7" x14ac:dyDescent="0.25">
      <c r="A13" s="16">
        <v>2011</v>
      </c>
      <c r="B13" s="17">
        <v>171193.70564072</v>
      </c>
      <c r="C13" s="17">
        <v>546536.45761516003</v>
      </c>
      <c r="D13" s="17">
        <v>378748.16857968998</v>
      </c>
      <c r="E13" s="17">
        <v>412740.61660458997</v>
      </c>
      <c r="F13" s="17">
        <v>260963.73946643999</v>
      </c>
      <c r="G13" s="17">
        <v>402476.93344204006</v>
      </c>
    </row>
    <row r="14" spans="1:7" x14ac:dyDescent="0.25">
      <c r="A14" s="16">
        <v>2012</v>
      </c>
      <c r="B14" s="17">
        <v>241783.60864483999</v>
      </c>
      <c r="C14" s="17">
        <v>442844.41636918002</v>
      </c>
      <c r="D14" s="17">
        <v>403546.18334904005</v>
      </c>
      <c r="E14" s="17">
        <v>342794.80969972996</v>
      </c>
      <c r="F14" s="17">
        <v>452123.57980533998</v>
      </c>
      <c r="G14" s="17">
        <v>487306.40276129002</v>
      </c>
    </row>
    <row r="15" spans="1:7" x14ac:dyDescent="0.25">
      <c r="A15" s="16">
        <v>2013</v>
      </c>
      <c r="B15" s="17">
        <v>547991.79791474005</v>
      </c>
      <c r="C15" s="17">
        <v>444254.31161328004</v>
      </c>
      <c r="D15" s="17">
        <v>230540.69442603001</v>
      </c>
      <c r="E15" s="17">
        <v>426702.50549265003</v>
      </c>
      <c r="F15" s="17">
        <v>365823.71473601001</v>
      </c>
      <c r="G15" s="17">
        <v>539103.82748777</v>
      </c>
    </row>
    <row r="16" spans="1:7" x14ac:dyDescent="0.25">
      <c r="A16" s="16">
        <v>2014</v>
      </c>
      <c r="B16" s="17">
        <v>228708.39271370001</v>
      </c>
      <c r="C16" s="17">
        <v>330009.43078091997</v>
      </c>
      <c r="D16" s="17">
        <v>804907.92958879995</v>
      </c>
      <c r="E16" s="17">
        <v>246960.68791227002</v>
      </c>
      <c r="F16" s="17">
        <v>311759.53156152996</v>
      </c>
      <c r="G16" s="17">
        <v>508972.25733936991</v>
      </c>
    </row>
    <row r="17" spans="1:7" x14ac:dyDescent="0.25">
      <c r="A17" s="16">
        <v>2015</v>
      </c>
      <c r="B17" s="17">
        <v>498397.73285294994</v>
      </c>
      <c r="C17" s="17">
        <v>545390.69121855998</v>
      </c>
      <c r="D17" s="17">
        <v>875699.6498520599</v>
      </c>
      <c r="E17" s="17">
        <v>378140.79428251</v>
      </c>
      <c r="F17" s="17">
        <v>388069.54866097996</v>
      </c>
      <c r="G17" s="17">
        <v>490278.50038905995</v>
      </c>
    </row>
    <row r="18" spans="1:7" x14ac:dyDescent="0.25">
      <c r="A18" s="16">
        <v>2016</v>
      </c>
      <c r="B18" s="17">
        <v>288150.51910074998</v>
      </c>
      <c r="C18" s="17">
        <v>404087.29899972997</v>
      </c>
      <c r="D18" s="17">
        <v>546614.20105253998</v>
      </c>
      <c r="E18" s="17">
        <v>840615.79689745011</v>
      </c>
      <c r="F18" s="17">
        <v>401887.27132399997</v>
      </c>
      <c r="G18" s="17">
        <v>676437.39145316009</v>
      </c>
    </row>
    <row r="19" spans="1:7" x14ac:dyDescent="0.25">
      <c r="A19" s="16">
        <v>2017</v>
      </c>
      <c r="B19" s="17">
        <v>496122.98405081994</v>
      </c>
      <c r="C19" s="17">
        <v>410473.66051891004</v>
      </c>
      <c r="D19" s="17">
        <v>517068.72995125002</v>
      </c>
      <c r="E19" s="17">
        <v>240114.55557306</v>
      </c>
      <c r="F19" s="17">
        <v>553861.42843496997</v>
      </c>
      <c r="G19" s="17">
        <v>1157789.3408216499</v>
      </c>
    </row>
    <row r="20" spans="1:7" x14ac:dyDescent="0.25">
      <c r="A20" s="16">
        <v>2018</v>
      </c>
      <c r="B20" s="17">
        <v>456361.78051390004</v>
      </c>
      <c r="C20" s="17">
        <v>743523.46089373995</v>
      </c>
      <c r="D20" s="17">
        <v>582908.07009060006</v>
      </c>
      <c r="E20" s="17">
        <v>503876.59027155006</v>
      </c>
      <c r="F20" s="17">
        <v>410629.69410637999</v>
      </c>
      <c r="G20" s="17">
        <v>1387222.44617408</v>
      </c>
    </row>
    <row r="21" spans="1:7" x14ac:dyDescent="0.25">
      <c r="A21" s="16">
        <v>2019</v>
      </c>
      <c r="B21" s="17">
        <v>652966.50373669993</v>
      </c>
      <c r="C21" s="17">
        <v>1374561.9511432401</v>
      </c>
      <c r="D21" s="17">
        <v>636197.29682040005</v>
      </c>
      <c r="E21" s="17">
        <v>634704.02579955</v>
      </c>
      <c r="F21" s="17">
        <v>520210.45835921995</v>
      </c>
      <c r="G21" s="17">
        <v>1509744.8082859302</v>
      </c>
    </row>
    <row r="22" spans="1:7" x14ac:dyDescent="0.25">
      <c r="A22" s="16">
        <v>2020</v>
      </c>
      <c r="B22" s="17">
        <v>360768.27890583995</v>
      </c>
      <c r="C22" s="17">
        <v>348830.03969876003</v>
      </c>
      <c r="D22" s="17">
        <v>420219.1736316501</v>
      </c>
      <c r="E22" s="17">
        <v>700227.82858678</v>
      </c>
      <c r="F22" s="17">
        <v>1098480.93882356</v>
      </c>
      <c r="G22" s="17">
        <v>255959.82571770999</v>
      </c>
    </row>
    <row r="23" spans="1:7" x14ac:dyDescent="0.25">
      <c r="A23" s="16" t="s">
        <v>795</v>
      </c>
      <c r="B23" s="17">
        <v>4730734.3097664611</v>
      </c>
      <c r="C23" s="17">
        <v>6403307.5148047395</v>
      </c>
      <c r="D23" s="17">
        <v>5800559.9763891213</v>
      </c>
      <c r="E23" s="17">
        <v>5460449.0056942999</v>
      </c>
      <c r="F23" s="17">
        <v>5630959.4511908395</v>
      </c>
      <c r="G23" s="17">
        <v>8391331.3152014688</v>
      </c>
    </row>
    <row r="34" spans="2:7" x14ac:dyDescent="0.25">
      <c r="B34" s="19" t="s">
        <v>542</v>
      </c>
      <c r="C34" s="19" t="s">
        <v>1146</v>
      </c>
      <c r="D34" s="19" t="s">
        <v>820</v>
      </c>
      <c r="E34" s="19" t="s">
        <v>1135</v>
      </c>
      <c r="F34" s="19" t="s">
        <v>955</v>
      </c>
      <c r="G34" s="19" t="s">
        <v>1219</v>
      </c>
    </row>
    <row r="35" spans="2:7" x14ac:dyDescent="0.25">
      <c r="B35" s="34">
        <v>2007</v>
      </c>
      <c r="C35" s="105" t="s">
        <v>1203</v>
      </c>
      <c r="D35" s="104">
        <f>+GETPIVOTDATA("Suma de I Bimestre_millones",$A$8,"Año",2007)</f>
        <v>32884.069901340001</v>
      </c>
      <c r="E35" s="108" t="s">
        <v>1114</v>
      </c>
      <c r="F35" s="109">
        <f t="shared" ref="F35:F40" si="0">+D35/SUM($D$35:$D$40)</f>
        <v>5.252862822569937E-2</v>
      </c>
      <c r="G35" s="108" t="s">
        <v>1114</v>
      </c>
    </row>
    <row r="36" spans="2:7" x14ac:dyDescent="0.25">
      <c r="B36" s="34">
        <v>2007</v>
      </c>
      <c r="C36" s="105" t="s">
        <v>1204</v>
      </c>
      <c r="D36" s="104">
        <f>+GETPIVOTDATA("Suma de II Bimestre_millones",$A$8,"Año",2007)</f>
        <v>157625.25015303999</v>
      </c>
      <c r="E36" s="108" t="s">
        <v>1114</v>
      </c>
      <c r="F36" s="109">
        <f t="shared" si="0"/>
        <v>0.25178872898377169</v>
      </c>
      <c r="G36" s="108" t="s">
        <v>1114</v>
      </c>
    </row>
    <row r="37" spans="2:7" x14ac:dyDescent="0.25">
      <c r="B37" s="34">
        <v>2007</v>
      </c>
      <c r="C37" s="105" t="s">
        <v>1205</v>
      </c>
      <c r="D37" s="104">
        <f>+GETPIVOTDATA("Suma de III Bimestre_millones",$A$8,"Año",2007)</f>
        <v>15509.168899189999</v>
      </c>
      <c r="E37" s="108" t="s">
        <v>1114</v>
      </c>
      <c r="F37" s="109">
        <f t="shared" si="0"/>
        <v>2.4774164805005879E-2</v>
      </c>
      <c r="G37" s="108" t="s">
        <v>1114</v>
      </c>
    </row>
    <row r="38" spans="2:7" x14ac:dyDescent="0.25">
      <c r="B38" s="34">
        <v>2007</v>
      </c>
      <c r="C38" s="105" t="s">
        <v>1206</v>
      </c>
      <c r="D38" s="104">
        <f>+GETPIVOTDATA("Suma de IV Bimestre_millones ",$A$8,"Año",2007)</f>
        <v>113809.88782411002</v>
      </c>
      <c r="E38" s="108" t="s">
        <v>1114</v>
      </c>
      <c r="F38" s="109">
        <f t="shared" si="0"/>
        <v>0.18179858222712314</v>
      </c>
      <c r="G38" s="108" t="s">
        <v>1114</v>
      </c>
    </row>
    <row r="39" spans="2:7" x14ac:dyDescent="0.25">
      <c r="B39" s="34">
        <v>2007</v>
      </c>
      <c r="C39" s="105" t="s">
        <v>1207</v>
      </c>
      <c r="D39" s="104">
        <f>+GETPIVOTDATA("Suma de V Bimestre_millones",$A$8,"Año",2007)</f>
        <v>164953.24521083001</v>
      </c>
      <c r="E39" s="108" t="s">
        <v>1114</v>
      </c>
      <c r="F39" s="109">
        <f t="shared" si="0"/>
        <v>0.26349438248667728</v>
      </c>
      <c r="G39" s="108" t="s">
        <v>1114</v>
      </c>
    </row>
    <row r="40" spans="2:7" x14ac:dyDescent="0.25">
      <c r="B40" s="34">
        <v>2007</v>
      </c>
      <c r="C40" s="105" t="s">
        <v>1208</v>
      </c>
      <c r="D40" s="104">
        <f>+GETPIVOTDATA("Suma de VI Bimestre_millones",$A$8,"Año",2007)</f>
        <v>141240.24479329999</v>
      </c>
      <c r="E40" s="108" t="s">
        <v>1114</v>
      </c>
      <c r="F40" s="109">
        <f t="shared" si="0"/>
        <v>0.22561551327172255</v>
      </c>
      <c r="G40" s="108" t="s">
        <v>1114</v>
      </c>
    </row>
    <row r="41" spans="2:7" x14ac:dyDescent="0.25">
      <c r="B41" s="34">
        <v>2008</v>
      </c>
      <c r="C41" s="105" t="s">
        <v>1209</v>
      </c>
      <c r="D41" s="104">
        <f>+GETPIVOTDATA("Suma de I Bimestre_millones",$A$8,"Año",2008)</f>
        <v>294640.44374434004</v>
      </c>
      <c r="E41" s="87">
        <f>+D41/D35-1</f>
        <v>7.9599749857098328</v>
      </c>
      <c r="F41" s="109">
        <f t="shared" ref="F41:F46" si="1">+D41/SUM($D$41:$D$46)</f>
        <v>0.41940308071153104</v>
      </c>
      <c r="G41" s="108" t="s">
        <v>1114</v>
      </c>
    </row>
    <row r="42" spans="2:7" x14ac:dyDescent="0.25">
      <c r="B42" s="34">
        <v>2008</v>
      </c>
      <c r="C42" s="105" t="s">
        <v>1210</v>
      </c>
      <c r="D42" s="104">
        <f>+GETPIVOTDATA("Suma de II Bimestre_millones",$A$8,"Año",2008)</f>
        <v>152922.02082895002</v>
      </c>
      <c r="E42" s="87">
        <f t="shared" ref="E42:E105" si="2">+D42/D36-1</f>
        <v>-2.9838045107135835E-2</v>
      </c>
      <c r="F42" s="109">
        <f t="shared" si="1"/>
        <v>0.21767536672577589</v>
      </c>
      <c r="G42" s="108" t="s">
        <v>1114</v>
      </c>
    </row>
    <row r="43" spans="2:7" x14ac:dyDescent="0.25">
      <c r="B43" s="34">
        <v>2008</v>
      </c>
      <c r="C43" s="105" t="s">
        <v>1211</v>
      </c>
      <c r="D43" s="104">
        <f>+GETPIVOTDATA("Suma de III Bimestre_millones",$A$8,"Año",2008)</f>
        <v>8479.2099118599999</v>
      </c>
      <c r="E43" s="87">
        <f t="shared" si="2"/>
        <v>-0.45327760842795095</v>
      </c>
      <c r="F43" s="109">
        <f t="shared" si="1"/>
        <v>1.2069649074108643E-2</v>
      </c>
      <c r="G43" s="108" t="s">
        <v>1114</v>
      </c>
    </row>
    <row r="44" spans="2:7" x14ac:dyDescent="0.25">
      <c r="B44" s="34">
        <v>2008</v>
      </c>
      <c r="C44" s="105" t="s">
        <v>1212</v>
      </c>
      <c r="D44" s="104">
        <f>+GETPIVOTDATA("Suma de IV Bimestre_millones ",$A$8,"Año",2008)</f>
        <v>57154.938156009994</v>
      </c>
      <c r="E44" s="87">
        <f t="shared" si="2"/>
        <v>-0.49780340488217212</v>
      </c>
      <c r="F44" s="109">
        <f t="shared" si="1"/>
        <v>8.1356642136024143E-2</v>
      </c>
      <c r="G44" s="108" t="s">
        <v>1114</v>
      </c>
    </row>
    <row r="45" spans="2:7" x14ac:dyDescent="0.25">
      <c r="B45" s="34">
        <v>2008</v>
      </c>
      <c r="C45" s="105" t="s">
        <v>1213</v>
      </c>
      <c r="D45" s="104">
        <f>+GETPIVOTDATA("Suma de V Bimestre_millones",$A$8,"Año",2008)</f>
        <v>44170.807986250002</v>
      </c>
      <c r="E45" s="87">
        <f t="shared" si="2"/>
        <v>-0.73222225528334151</v>
      </c>
      <c r="F45" s="109">
        <f t="shared" si="1"/>
        <v>6.2874508032662493E-2</v>
      </c>
      <c r="G45" s="108" t="s">
        <v>1114</v>
      </c>
    </row>
    <row r="46" spans="2:7" x14ac:dyDescent="0.25">
      <c r="B46" s="34">
        <v>2008</v>
      </c>
      <c r="C46" s="105" t="s">
        <v>1214</v>
      </c>
      <c r="D46" s="104">
        <f>+GETPIVOTDATA("Suma de VI Bimestre_millones",$A$8,"Año",2008)</f>
        <v>145155.89714238999</v>
      </c>
      <c r="E46" s="87">
        <f t="shared" si="2"/>
        <v>2.772334722883274E-2</v>
      </c>
      <c r="F46" s="109">
        <f t="shared" si="1"/>
        <v>0.20662075331989774</v>
      </c>
      <c r="G46" s="108" t="s">
        <v>1114</v>
      </c>
    </row>
    <row r="47" spans="2:7" x14ac:dyDescent="0.25">
      <c r="B47" s="34">
        <v>2009</v>
      </c>
      <c r="C47" s="105" t="s">
        <v>1147</v>
      </c>
      <c r="D47" s="104">
        <f>+GETPIVOTDATA("Suma de I Bimestre_millones",$A$8,"Año",2009)</f>
        <v>192173.49764650999</v>
      </c>
      <c r="E47" s="87">
        <f t="shared" si="2"/>
        <v>-0.34776945349274857</v>
      </c>
      <c r="F47" s="110">
        <f t="shared" ref="F47:F52" si="3">+D47/SUM($D$47:$D$52)</f>
        <v>0.12449607393770887</v>
      </c>
      <c r="G47" s="108" t="s">
        <v>1114</v>
      </c>
    </row>
    <row r="48" spans="2:7" x14ac:dyDescent="0.25">
      <c r="B48" s="34">
        <v>2009</v>
      </c>
      <c r="C48" s="105" t="s">
        <v>1148</v>
      </c>
      <c r="D48" s="104">
        <f>+GETPIVOTDATA("Suma de II Bimestre_millones",$A$8,"Año",2009)</f>
        <v>248697.58400333</v>
      </c>
      <c r="E48" s="87">
        <f t="shared" si="2"/>
        <v>0.6263032796402106</v>
      </c>
      <c r="F48" s="110">
        <f t="shared" si="3"/>
        <v>0.16111416602907641</v>
      </c>
      <c r="G48" s="108" t="s">
        <v>1114</v>
      </c>
    </row>
    <row r="49" spans="2:7" x14ac:dyDescent="0.25">
      <c r="B49" s="34">
        <v>2009</v>
      </c>
      <c r="C49" s="105" t="s">
        <v>1149</v>
      </c>
      <c r="D49" s="104">
        <f>+GETPIVOTDATA("Suma de III Bimestre_millones",$A$8,"Año",2009)</f>
        <v>245631.41739711</v>
      </c>
      <c r="E49" s="87">
        <f t="shared" si="2"/>
        <v>27.968668065823159</v>
      </c>
      <c r="F49" s="110">
        <f t="shared" si="3"/>
        <v>0.15912780625945064</v>
      </c>
      <c r="G49" s="108" t="s">
        <v>1114</v>
      </c>
    </row>
    <row r="50" spans="2:7" x14ac:dyDescent="0.25">
      <c r="B50" s="34">
        <v>2009</v>
      </c>
      <c r="C50" s="105" t="s">
        <v>1150</v>
      </c>
      <c r="D50" s="104">
        <f>+GETPIVOTDATA("Suma de IV Bimestre_millones ",$A$8,"Año",2009)</f>
        <v>256773.02958755998</v>
      </c>
      <c r="E50" s="87">
        <f t="shared" si="2"/>
        <v>3.4925782070951223</v>
      </c>
      <c r="F50" s="110">
        <f t="shared" si="3"/>
        <v>0.1663456952609767</v>
      </c>
      <c r="G50" s="108" t="s">
        <v>1114</v>
      </c>
    </row>
    <row r="51" spans="2:7" x14ac:dyDescent="0.25">
      <c r="B51" s="34">
        <v>2009</v>
      </c>
      <c r="C51" s="105" t="s">
        <v>1151</v>
      </c>
      <c r="D51" s="104">
        <f>+GETPIVOTDATA("Suma de V Bimestre_millones",$A$8,"Año",2009)</f>
        <v>206560.36663397998</v>
      </c>
      <c r="E51" s="87">
        <f t="shared" si="2"/>
        <v>3.6764000037825992</v>
      </c>
      <c r="F51" s="110">
        <f t="shared" si="3"/>
        <v>0.13381634300254536</v>
      </c>
      <c r="G51" s="108" t="s">
        <v>1114</v>
      </c>
    </row>
    <row r="52" spans="2:7" x14ac:dyDescent="0.25">
      <c r="B52" s="34">
        <v>2009</v>
      </c>
      <c r="C52" s="105" t="s">
        <v>1152</v>
      </c>
      <c r="D52" s="104">
        <f>+GETPIVOTDATA("Suma de VI Bimestre_millones",$A$8,"Año",2009)</f>
        <v>393775.01203340001</v>
      </c>
      <c r="E52" s="87">
        <f t="shared" si="2"/>
        <v>1.7127730928294858</v>
      </c>
      <c r="F52" s="110">
        <f t="shared" si="3"/>
        <v>0.25509991551024186</v>
      </c>
      <c r="G52" s="108" t="s">
        <v>1114</v>
      </c>
    </row>
    <row r="53" spans="2:7" x14ac:dyDescent="0.25">
      <c r="B53" s="34">
        <v>2010</v>
      </c>
      <c r="C53" s="105" t="s">
        <v>1153</v>
      </c>
      <c r="D53" s="104">
        <f>+GETPIVOTDATA("Suma de I Bimestre_millones",$A$8,"Año",2010)</f>
        <v>268590.99439930997</v>
      </c>
      <c r="E53" s="87">
        <f t="shared" si="2"/>
        <v>0.39764846708137003</v>
      </c>
      <c r="F53" s="102">
        <f t="shared" ref="F53:F58" si="4">+D53/SUM($D$53:$D$58)</f>
        <v>0.15708926679116503</v>
      </c>
      <c r="G53" s="111">
        <f>+F53</f>
        <v>0.15708926679116503</v>
      </c>
    </row>
    <row r="54" spans="2:7" x14ac:dyDescent="0.25">
      <c r="B54" s="34">
        <v>2010</v>
      </c>
      <c r="C54" s="105" t="s">
        <v>1154</v>
      </c>
      <c r="D54" s="104">
        <f>+GETPIVOTDATA("Suma de II Bimestre_millones",$A$8,"Año",2010)</f>
        <v>253550.94096794</v>
      </c>
      <c r="E54" s="87">
        <f t="shared" si="2"/>
        <v>1.9515094945775635E-2</v>
      </c>
      <c r="F54" s="102">
        <f t="shared" si="4"/>
        <v>0.14829287742852926</v>
      </c>
      <c r="G54" s="111">
        <f>+G53+F54</f>
        <v>0.30538214421969428</v>
      </c>
    </row>
    <row r="55" spans="2:7" x14ac:dyDescent="0.25">
      <c r="B55" s="34">
        <v>2010</v>
      </c>
      <c r="C55" s="105" t="s">
        <v>1155</v>
      </c>
      <c r="D55" s="104">
        <f>+GETPIVOTDATA("Suma de III Bimestre_millones",$A$8,"Año",2010)</f>
        <v>134490.08283889998</v>
      </c>
      <c r="E55" s="87">
        <f t="shared" si="2"/>
        <v>-0.45247198316870385</v>
      </c>
      <c r="F55" s="102">
        <f t="shared" si="4"/>
        <v>7.8658439576856198E-2</v>
      </c>
      <c r="G55" s="111">
        <f>+G54+F55</f>
        <v>0.38404058379655048</v>
      </c>
    </row>
    <row r="56" spans="2:7" x14ac:dyDescent="0.25">
      <c r="B56" s="34">
        <v>2010</v>
      </c>
      <c r="C56" s="105" t="s">
        <v>1156</v>
      </c>
      <c r="D56" s="104">
        <f>+GETPIVOTDATA("Suma de IV Bimestre_millones ",$A$8,"Año",2010)</f>
        <v>305832.93900647998</v>
      </c>
      <c r="E56" s="87">
        <f t="shared" si="2"/>
        <v>0.19106332739743803</v>
      </c>
      <c r="F56" s="102">
        <f t="shared" si="4"/>
        <v>0.17887074827866406</v>
      </c>
      <c r="G56" s="111">
        <f>+G55+F56</f>
        <v>0.5629113320752146</v>
      </c>
    </row>
    <row r="57" spans="2:7" x14ac:dyDescent="0.25">
      <c r="B57" s="34">
        <v>2010</v>
      </c>
      <c r="C57" s="105" t="s">
        <v>1157</v>
      </c>
      <c r="D57" s="104">
        <f>+GETPIVOTDATA("Suma de V Bimestre_millones",$A$8,"Año",2010)</f>
        <v>451465.12608134997</v>
      </c>
      <c r="E57" s="87">
        <f t="shared" si="2"/>
        <v>1.1856328657730133</v>
      </c>
      <c r="F57" s="102">
        <f t="shared" si="4"/>
        <v>0.26404580613921858</v>
      </c>
      <c r="G57" s="111">
        <f>+G56+F57</f>
        <v>0.82695713821443317</v>
      </c>
    </row>
    <row r="58" spans="2:7" x14ac:dyDescent="0.25">
      <c r="B58" s="34">
        <v>2010</v>
      </c>
      <c r="C58" s="105" t="s">
        <v>1158</v>
      </c>
      <c r="D58" s="104">
        <f>+GETPIVOTDATA("Suma de VI Bimestre_millones",$A$8,"Año",2010)</f>
        <v>295868.42736032</v>
      </c>
      <c r="E58" s="87">
        <f t="shared" si="2"/>
        <v>-0.24863584961245733</v>
      </c>
      <c r="F58" s="102">
        <f t="shared" si="4"/>
        <v>0.1730428617855668</v>
      </c>
      <c r="G58" s="111">
        <f>+G57+F58</f>
        <v>1</v>
      </c>
    </row>
    <row r="59" spans="2:7" x14ac:dyDescent="0.25">
      <c r="B59" s="34">
        <v>2011</v>
      </c>
      <c r="C59" s="105" t="s">
        <v>1159</v>
      </c>
      <c r="D59" s="104">
        <f>+GETPIVOTDATA("Suma de I Bimestre_millones",$A$8,"Año",2011)</f>
        <v>171193.70564072</v>
      </c>
      <c r="E59" s="87">
        <f t="shared" si="2"/>
        <v>-0.36262306179108506</v>
      </c>
      <c r="F59" s="102">
        <f t="shared" ref="F59:F64" si="5">+D59/SUM($D$59:$D$64)</f>
        <v>7.8794535489389972E-2</v>
      </c>
      <c r="G59" s="111">
        <f>+F59</f>
        <v>7.8794535489389972E-2</v>
      </c>
    </row>
    <row r="60" spans="2:7" x14ac:dyDescent="0.25">
      <c r="B60" s="34">
        <v>2011</v>
      </c>
      <c r="C60" s="105" t="s">
        <v>1160</v>
      </c>
      <c r="D60" s="104">
        <f>+GETPIVOTDATA("Suma de II Bimestre_millones",$A$8,"Año",2011)</f>
        <v>546536.45761516003</v>
      </c>
      <c r="E60" s="87">
        <f t="shared" si="2"/>
        <v>1.1555292026475512</v>
      </c>
      <c r="F60" s="102">
        <f t="shared" si="5"/>
        <v>0.25155180878075473</v>
      </c>
      <c r="G60" s="111">
        <f>+G59+F60</f>
        <v>0.3303463442701447</v>
      </c>
    </row>
    <row r="61" spans="2:7" x14ac:dyDescent="0.25">
      <c r="B61" s="34">
        <v>2011</v>
      </c>
      <c r="C61" s="105" t="s">
        <v>1161</v>
      </c>
      <c r="D61" s="104">
        <f>+GETPIVOTDATA("Suma de III Bimestre_millones",$A$8,"Año",2011)</f>
        <v>378748.16857968998</v>
      </c>
      <c r="E61" s="87">
        <f t="shared" si="2"/>
        <v>1.8161791604617905</v>
      </c>
      <c r="F61" s="102">
        <f t="shared" si="5"/>
        <v>0.17432466864947246</v>
      </c>
      <c r="G61" s="111">
        <f>+G60+F61</f>
        <v>0.50467101291961713</v>
      </c>
    </row>
    <row r="62" spans="2:7" x14ac:dyDescent="0.25">
      <c r="B62" s="34">
        <v>2011</v>
      </c>
      <c r="C62" s="105" t="s">
        <v>1162</v>
      </c>
      <c r="D62" s="104">
        <f>+GETPIVOTDATA("Suma de IV Bimestre_millones ",$A$8,"Año",2011)</f>
        <v>412740.61660458997</v>
      </c>
      <c r="E62" s="87">
        <f t="shared" si="2"/>
        <v>0.34956233931311376</v>
      </c>
      <c r="F62" s="102">
        <f t="shared" si="5"/>
        <v>0.1899702155593008</v>
      </c>
      <c r="G62" s="111">
        <f>+G61+F62</f>
        <v>0.69464122847891796</v>
      </c>
    </row>
    <row r="63" spans="2:7" x14ac:dyDescent="0.25">
      <c r="B63" s="34">
        <v>2011</v>
      </c>
      <c r="C63" s="105" t="s">
        <v>1163</v>
      </c>
      <c r="D63" s="104">
        <f>+GETPIVOTDATA("Suma de V Bimestre_millones",$A$8,"Año",2011)</f>
        <v>260963.73946643999</v>
      </c>
      <c r="E63" s="87">
        <f t="shared" si="2"/>
        <v>-0.421962573872391</v>
      </c>
      <c r="F63" s="102">
        <f t="shared" si="5"/>
        <v>0.12011257396335805</v>
      </c>
      <c r="G63" s="111">
        <f>+G62+F63</f>
        <v>0.81475380244227602</v>
      </c>
    </row>
    <row r="64" spans="2:7" x14ac:dyDescent="0.25">
      <c r="B64" s="34">
        <v>2011</v>
      </c>
      <c r="C64" s="105" t="s">
        <v>1164</v>
      </c>
      <c r="D64" s="104">
        <f>+GETPIVOTDATA("Suma de VI Bimestre_millones",$A$8,"Año",2011)</f>
        <v>402476.93344204006</v>
      </c>
      <c r="E64" s="87">
        <f t="shared" si="2"/>
        <v>0.36032403671071034</v>
      </c>
      <c r="F64" s="102">
        <f t="shared" si="5"/>
        <v>0.18524619755772403</v>
      </c>
      <c r="G64" s="111">
        <f>+G63+F64</f>
        <v>1</v>
      </c>
    </row>
    <row r="65" spans="2:7" x14ac:dyDescent="0.25">
      <c r="B65" s="34">
        <v>2012</v>
      </c>
      <c r="C65" s="105" t="s">
        <v>1165</v>
      </c>
      <c r="D65" s="104">
        <f>+GETPIVOTDATA("Suma de I Bimestre_millones",$A$8,"Año",2012)</f>
        <v>241783.60864483999</v>
      </c>
      <c r="E65" s="87">
        <f t="shared" si="2"/>
        <v>0.41233935990769011</v>
      </c>
      <c r="F65" s="102">
        <f t="shared" ref="F65:F70" si="6">+D65/SUM($D$65:$D$70)</f>
        <v>0.10200122788637625</v>
      </c>
      <c r="G65" s="111">
        <f>+F65</f>
        <v>0.10200122788637625</v>
      </c>
    </row>
    <row r="66" spans="2:7" x14ac:dyDescent="0.25">
      <c r="B66" s="34">
        <v>2012</v>
      </c>
      <c r="C66" s="105" t="s">
        <v>1166</v>
      </c>
      <c r="D66" s="104">
        <f>+GETPIVOTDATA("Suma de II Bimestre_millones",$A$8,"Año",2012)</f>
        <v>442844.41636918002</v>
      </c>
      <c r="E66" s="87">
        <f t="shared" si="2"/>
        <v>-0.1897257535177902</v>
      </c>
      <c r="F66" s="102">
        <f t="shared" si="6"/>
        <v>0.186822731637834</v>
      </c>
      <c r="G66" s="111">
        <f>+G65+F66</f>
        <v>0.28882395952421025</v>
      </c>
    </row>
    <row r="67" spans="2:7" x14ac:dyDescent="0.25">
      <c r="B67" s="34">
        <v>2012</v>
      </c>
      <c r="C67" s="105" t="s">
        <v>1167</v>
      </c>
      <c r="D67" s="104">
        <f>+GETPIVOTDATA("Suma de III Bimestre_millones",$A$8,"Año",2012)</f>
        <v>403546.18334904005</v>
      </c>
      <c r="E67" s="87">
        <f t="shared" si="2"/>
        <v>6.5473622915043883E-2</v>
      </c>
      <c r="F67" s="102">
        <f t="shared" si="6"/>
        <v>0.17024398982698064</v>
      </c>
      <c r="G67" s="111">
        <f>+G66+F67</f>
        <v>0.45906794935119088</v>
      </c>
    </row>
    <row r="68" spans="2:7" x14ac:dyDescent="0.25">
      <c r="B68" s="34">
        <v>2012</v>
      </c>
      <c r="C68" s="105" t="s">
        <v>1168</v>
      </c>
      <c r="D68" s="104">
        <f>+GETPIVOTDATA("Suma de IV Bimestre_millones ",$A$8,"Año",2012)</f>
        <v>342794.80969972996</v>
      </c>
      <c r="E68" s="87">
        <f t="shared" si="2"/>
        <v>-0.16946674034716791</v>
      </c>
      <c r="F68" s="102">
        <f t="shared" si="6"/>
        <v>0.1446148136278772</v>
      </c>
      <c r="G68" s="111">
        <f>+G67+F68</f>
        <v>0.60368276297906809</v>
      </c>
    </row>
    <row r="69" spans="2:7" x14ac:dyDescent="0.25">
      <c r="B69" s="34">
        <v>2012</v>
      </c>
      <c r="C69" s="105" t="s">
        <v>1169</v>
      </c>
      <c r="D69" s="104">
        <f>+GETPIVOTDATA("Suma de V Bimestre_millones",$A$8,"Año",2012)</f>
        <v>452123.57980533998</v>
      </c>
      <c r="E69" s="87">
        <f t="shared" si="2"/>
        <v>0.73251494912565507</v>
      </c>
      <c r="F69" s="102">
        <f t="shared" si="6"/>
        <v>0.19073733143039889</v>
      </c>
      <c r="G69" s="111">
        <f>+G68+F69</f>
        <v>0.79442009440946704</v>
      </c>
    </row>
    <row r="70" spans="2:7" x14ac:dyDescent="0.25">
      <c r="B70" s="34">
        <v>2012</v>
      </c>
      <c r="C70" s="105" t="s">
        <v>1170</v>
      </c>
      <c r="D70" s="104">
        <f>+GETPIVOTDATA("Suma de VI Bimestre_millones",$A$8,"Año",2012)</f>
        <v>487306.40276129002</v>
      </c>
      <c r="E70" s="87">
        <f t="shared" si="2"/>
        <v>0.21076852428231407</v>
      </c>
      <c r="F70" s="102">
        <f t="shared" si="6"/>
        <v>0.20557990559053305</v>
      </c>
      <c r="G70" s="111">
        <f>+G69+F70</f>
        <v>1</v>
      </c>
    </row>
    <row r="71" spans="2:7" x14ac:dyDescent="0.25">
      <c r="B71" s="34">
        <v>2013</v>
      </c>
      <c r="C71" s="105" t="s">
        <v>1171</v>
      </c>
      <c r="D71" s="104">
        <f>+GETPIVOTDATA("Suma de I Bimestre_millones",$A$8,"Año",2013)</f>
        <v>547991.79791474005</v>
      </c>
      <c r="E71" s="87">
        <f t="shared" si="2"/>
        <v>1.2664555342942805</v>
      </c>
      <c r="F71" s="110">
        <f t="shared" ref="F71:F76" si="7">+D71/SUM($D$71:$D$76)</f>
        <v>0.21452716206298778</v>
      </c>
      <c r="G71" s="112">
        <f>+F71</f>
        <v>0.21452716206298778</v>
      </c>
    </row>
    <row r="72" spans="2:7" x14ac:dyDescent="0.25">
      <c r="B72" s="34">
        <v>2013</v>
      </c>
      <c r="C72" s="105" t="s">
        <v>1172</v>
      </c>
      <c r="D72" s="104">
        <f>+GETPIVOTDATA("Suma de II Bimestre_millones",$A$8,"Año",2013)</f>
        <v>444254.31161328004</v>
      </c>
      <c r="E72" s="87">
        <f t="shared" si="2"/>
        <v>3.1837259136280327E-3</v>
      </c>
      <c r="F72" s="110">
        <f t="shared" si="7"/>
        <v>0.17391613718910312</v>
      </c>
      <c r="G72" s="112">
        <f>+G71+F72</f>
        <v>0.38844329925209087</v>
      </c>
    </row>
    <row r="73" spans="2:7" x14ac:dyDescent="0.25">
      <c r="B73" s="34">
        <v>2013</v>
      </c>
      <c r="C73" s="105" t="s">
        <v>1173</v>
      </c>
      <c r="D73" s="104">
        <f>+GETPIVOTDATA("Suma de III Bimestre_millones",$A$8,"Año",2013)</f>
        <v>230540.69442603001</v>
      </c>
      <c r="E73" s="87">
        <f t="shared" si="2"/>
        <v>-0.42871298518358691</v>
      </c>
      <c r="F73" s="110">
        <f t="shared" si="7"/>
        <v>9.025179045278621E-2</v>
      </c>
      <c r="G73" s="112">
        <f>+G72+F73</f>
        <v>0.47869508970487706</v>
      </c>
    </row>
    <row r="74" spans="2:7" x14ac:dyDescent="0.25">
      <c r="B74" s="34">
        <v>2013</v>
      </c>
      <c r="C74" s="105" t="s">
        <v>1174</v>
      </c>
      <c r="D74" s="104">
        <f>+GETPIVOTDATA("Suma de IV Bimestre_millones ",$A$8,"Año",2013)</f>
        <v>426702.50549265003</v>
      </c>
      <c r="E74" s="87">
        <f t="shared" si="2"/>
        <v>0.24477528077633015</v>
      </c>
      <c r="F74" s="110">
        <f t="shared" si="7"/>
        <v>0.16704497749206623</v>
      </c>
      <c r="G74" s="112">
        <f>+G73+F74</f>
        <v>0.64574006719694332</v>
      </c>
    </row>
    <row r="75" spans="2:7" x14ac:dyDescent="0.25">
      <c r="B75" s="34">
        <v>2013</v>
      </c>
      <c r="C75" s="105" t="s">
        <v>1175</v>
      </c>
      <c r="D75" s="104">
        <f>+GETPIVOTDATA("Suma de V Bimestre_millones",$A$8,"Año",2013)</f>
        <v>365823.71473601001</v>
      </c>
      <c r="E75" s="87">
        <f t="shared" si="2"/>
        <v>-0.19087671805678885</v>
      </c>
      <c r="F75" s="110">
        <f t="shared" si="7"/>
        <v>0.14321222258488348</v>
      </c>
      <c r="G75" s="112">
        <f>+G74+F75</f>
        <v>0.78895228978182685</v>
      </c>
    </row>
    <row r="76" spans="2:7" x14ac:dyDescent="0.25">
      <c r="B76" s="34">
        <v>2013</v>
      </c>
      <c r="C76" s="105" t="s">
        <v>1176</v>
      </c>
      <c r="D76" s="104">
        <f>+GETPIVOTDATA("Suma de VI Bimestre_millones",$A$8,"Año",2013)</f>
        <v>539103.82748777</v>
      </c>
      <c r="E76" s="87">
        <f t="shared" si="2"/>
        <v>0.10629333912498007</v>
      </c>
      <c r="F76" s="110">
        <f t="shared" si="7"/>
        <v>0.21104771021817331</v>
      </c>
      <c r="G76" s="112">
        <f>+G75+F76</f>
        <v>1.0000000000000002</v>
      </c>
    </row>
    <row r="77" spans="2:7" x14ac:dyDescent="0.25">
      <c r="B77" s="34">
        <v>2014</v>
      </c>
      <c r="C77" s="105" t="s">
        <v>1177</v>
      </c>
      <c r="D77" s="104">
        <f>+GETPIVOTDATA("Suma de I Bimestre_millones",$A$8,"Año",2014)</f>
        <v>228708.39271370001</v>
      </c>
      <c r="E77" s="87">
        <f t="shared" si="2"/>
        <v>-0.58264267168961559</v>
      </c>
      <c r="F77" s="102">
        <f t="shared" ref="F77:F82" si="8">+D77/SUM($D$77:$D$82)</f>
        <v>9.4067650174871426E-2</v>
      </c>
      <c r="G77" s="111">
        <f>+F77</f>
        <v>9.4067650174871426E-2</v>
      </c>
    </row>
    <row r="78" spans="2:7" x14ac:dyDescent="0.25">
      <c r="B78" s="34">
        <v>2014</v>
      </c>
      <c r="C78" s="105" t="s">
        <v>1178</v>
      </c>
      <c r="D78" s="104">
        <f>+GETPIVOTDATA("Suma de II Bimestre_millones",$A$8,"Año",2014)</f>
        <v>330009.43078091997</v>
      </c>
      <c r="E78" s="87">
        <f t="shared" si="2"/>
        <v>-0.25716099505593404</v>
      </c>
      <c r="F78" s="102">
        <f t="shared" si="8"/>
        <v>0.13573271763563263</v>
      </c>
      <c r="G78" s="111">
        <f>+F78+G77</f>
        <v>0.22980036781050406</v>
      </c>
    </row>
    <row r="79" spans="2:7" x14ac:dyDescent="0.25">
      <c r="B79" s="34">
        <v>2014</v>
      </c>
      <c r="C79" s="105" t="s">
        <v>1179</v>
      </c>
      <c r="D79" s="104">
        <f>+GETPIVOTDATA("Suma de III Bimestre_millones",$A$8,"Año",2014)</f>
        <v>804907.92958879995</v>
      </c>
      <c r="E79" s="87">
        <f t="shared" si="2"/>
        <v>2.4913919713513235</v>
      </c>
      <c r="F79" s="102">
        <f t="shared" si="8"/>
        <v>0.33105823815709834</v>
      </c>
      <c r="G79" s="111">
        <f>+G78+F79</f>
        <v>0.5608586059676024</v>
      </c>
    </row>
    <row r="80" spans="2:7" x14ac:dyDescent="0.25">
      <c r="B80" s="34">
        <v>2014</v>
      </c>
      <c r="C80" s="105" t="s">
        <v>1180</v>
      </c>
      <c r="D80" s="104">
        <f>+GETPIVOTDATA("Suma de IV Bimestre_millones ",$A$8,"Año",2014)</f>
        <v>246960.68791227002</v>
      </c>
      <c r="E80" s="87">
        <f t="shared" si="2"/>
        <v>-0.42123450241488225</v>
      </c>
      <c r="F80" s="102">
        <f t="shared" si="8"/>
        <v>0.10157481027186388</v>
      </c>
      <c r="G80" s="111">
        <f>+G79+F80</f>
        <v>0.66243341623946628</v>
      </c>
    </row>
    <row r="81" spans="2:7" x14ac:dyDescent="0.25">
      <c r="B81" s="34">
        <v>2014</v>
      </c>
      <c r="C81" s="105" t="s">
        <v>1181</v>
      </c>
      <c r="D81" s="104">
        <f>+GETPIVOTDATA("Suma de V Bimestre_millones",$A$8,"Año",2014)</f>
        <v>311759.53156152996</v>
      </c>
      <c r="E81" s="87">
        <f t="shared" si="2"/>
        <v>-0.14778752988579347</v>
      </c>
      <c r="F81" s="102">
        <f t="shared" si="8"/>
        <v>0.12822654300370623</v>
      </c>
      <c r="G81" s="111">
        <f>+G80+F81</f>
        <v>0.79065995924317245</v>
      </c>
    </row>
    <row r="82" spans="2:7" x14ac:dyDescent="0.25">
      <c r="B82" s="34">
        <v>2014</v>
      </c>
      <c r="C82" s="105" t="s">
        <v>1182</v>
      </c>
      <c r="D82" s="104">
        <f>+GETPIVOTDATA("Suma de VI Bimestre_millones",$A$8,"Año",2014)</f>
        <v>508972.25733936991</v>
      </c>
      <c r="E82" s="87">
        <f t="shared" si="2"/>
        <v>-5.5891961088114561E-2</v>
      </c>
      <c r="F82" s="102">
        <f t="shared" si="8"/>
        <v>0.20934004075682755</v>
      </c>
      <c r="G82" s="111">
        <f>+G81+F82</f>
        <v>1</v>
      </c>
    </row>
    <row r="83" spans="2:7" x14ac:dyDescent="0.25">
      <c r="B83" s="34">
        <v>2015</v>
      </c>
      <c r="C83" s="105" t="s">
        <v>1183</v>
      </c>
      <c r="D83" s="104">
        <f>+GETPIVOTDATA("Suma de I Bimestre_millones",$A$8,"Año",2015)</f>
        <v>498397.73285294994</v>
      </c>
      <c r="E83" s="87">
        <f t="shared" si="2"/>
        <v>1.1791842745222314</v>
      </c>
      <c r="F83" s="102">
        <f t="shared" ref="F83:F88" si="9">+D83/SUM($D$83:$D$88)</f>
        <v>0.15692737883105898</v>
      </c>
      <c r="G83" s="111">
        <f>+F83</f>
        <v>0.15692737883105898</v>
      </c>
    </row>
    <row r="84" spans="2:7" x14ac:dyDescent="0.25">
      <c r="B84" s="34">
        <v>2015</v>
      </c>
      <c r="C84" s="105" t="s">
        <v>1184</v>
      </c>
      <c r="D84" s="104">
        <f>+GETPIVOTDATA("Suma de II Bimestre_millones",$A$8,"Año",2015)</f>
        <v>545390.69121855998</v>
      </c>
      <c r="E84" s="87">
        <f t="shared" si="2"/>
        <v>0.65265183460960841</v>
      </c>
      <c r="F84" s="102">
        <f t="shared" si="9"/>
        <v>0.17172375789486197</v>
      </c>
      <c r="G84" s="111">
        <f>+G83+F84</f>
        <v>0.32865113672592094</v>
      </c>
    </row>
    <row r="85" spans="2:7" x14ac:dyDescent="0.25">
      <c r="B85" s="34">
        <v>2015</v>
      </c>
      <c r="C85" s="105" t="s">
        <v>1185</v>
      </c>
      <c r="D85" s="104">
        <f>+GETPIVOTDATA("Suma de III Bimestre_millones",$A$8,"Año",2015)</f>
        <v>875699.6498520599</v>
      </c>
      <c r="E85" s="87">
        <f t="shared" si="2"/>
        <v>8.7950084302716558E-2</v>
      </c>
      <c r="F85" s="102">
        <f t="shared" si="9"/>
        <v>0.27572607505240287</v>
      </c>
      <c r="G85" s="111">
        <f>+G84+F85</f>
        <v>0.60437721177832382</v>
      </c>
    </row>
    <row r="86" spans="2:7" x14ac:dyDescent="0.25">
      <c r="B86" s="34">
        <v>2015</v>
      </c>
      <c r="C86" s="105" t="s">
        <v>1186</v>
      </c>
      <c r="D86" s="104">
        <f>+GETPIVOTDATA("Suma de IV Bimestre_millones ",$A$8,"Año",2015)</f>
        <v>378140.79428251</v>
      </c>
      <c r="E86" s="87">
        <f t="shared" si="2"/>
        <v>0.53117808943276112</v>
      </c>
      <c r="F86" s="102">
        <f t="shared" si="9"/>
        <v>0.11906282826803545</v>
      </c>
      <c r="G86" s="111">
        <f>+G85+F86</f>
        <v>0.72344004004635931</v>
      </c>
    </row>
    <row r="87" spans="2:7" x14ac:dyDescent="0.25">
      <c r="B87" s="34">
        <v>2015</v>
      </c>
      <c r="C87" s="105" t="s">
        <v>1187</v>
      </c>
      <c r="D87" s="104">
        <f>+GETPIVOTDATA("Suma de V Bimestre_millones",$A$8,"Año",2015)</f>
        <v>388069.54866097996</v>
      </c>
      <c r="E87" s="87">
        <f t="shared" si="2"/>
        <v>0.24477204182733758</v>
      </c>
      <c r="F87" s="102">
        <f t="shared" si="9"/>
        <v>0.12218903309796472</v>
      </c>
      <c r="G87" s="111">
        <f>+G86+F87</f>
        <v>0.84562907314432401</v>
      </c>
    </row>
    <row r="88" spans="2:7" x14ac:dyDescent="0.25">
      <c r="B88" s="34">
        <v>2015</v>
      </c>
      <c r="C88" s="105" t="s">
        <v>1188</v>
      </c>
      <c r="D88" s="104">
        <f>+GETPIVOTDATA("Suma de VI Bimestre_millones",$A$8,"Año",2015)</f>
        <v>490278.50038905995</v>
      </c>
      <c r="E88" s="87">
        <f t="shared" si="2"/>
        <v>-3.6728439872205865E-2</v>
      </c>
      <c r="F88" s="102">
        <f t="shared" si="9"/>
        <v>0.15437092685567605</v>
      </c>
      <c r="G88" s="111">
        <f>+G87+F88</f>
        <v>1</v>
      </c>
    </row>
    <row r="89" spans="2:7" x14ac:dyDescent="0.25">
      <c r="B89" s="34">
        <v>2016</v>
      </c>
      <c r="C89" s="105" t="s">
        <v>1189</v>
      </c>
      <c r="D89" s="104">
        <f>+GETPIVOTDATA("Suma de I Bimestre_millones",$A$8,"Año",2016)</f>
        <v>288150.51910074998</v>
      </c>
      <c r="E89" s="87">
        <f t="shared" si="2"/>
        <v>-0.42184624827383088</v>
      </c>
      <c r="F89" s="102">
        <f t="shared" ref="F89:F94" si="10">+D89/SUM($D$89:$D$94)</f>
        <v>9.1250619232499247E-2</v>
      </c>
      <c r="G89" s="111">
        <f>+F89</f>
        <v>9.1250619232499247E-2</v>
      </c>
    </row>
    <row r="90" spans="2:7" x14ac:dyDescent="0.25">
      <c r="B90" s="34">
        <v>2016</v>
      </c>
      <c r="C90" s="105" t="s">
        <v>1190</v>
      </c>
      <c r="D90" s="104">
        <f>+GETPIVOTDATA("Suma de II Bimestre_millones",$A$8,"Año",2016)</f>
        <v>404087.29899972997</v>
      </c>
      <c r="E90" s="87">
        <f t="shared" si="2"/>
        <v>-0.25908654931956665</v>
      </c>
      <c r="F90" s="102">
        <f t="shared" si="10"/>
        <v>0.12796512174535057</v>
      </c>
      <c r="G90" s="111">
        <f>+G89+F90</f>
        <v>0.21921574097784982</v>
      </c>
    </row>
    <row r="91" spans="2:7" x14ac:dyDescent="0.25">
      <c r="B91" s="34">
        <v>2016</v>
      </c>
      <c r="C91" s="105" t="s">
        <v>1191</v>
      </c>
      <c r="D91" s="104">
        <f>+GETPIVOTDATA("Suma de III Bimestre_millones",$A$8,"Año",2016)</f>
        <v>546614.20105253998</v>
      </c>
      <c r="E91" s="87">
        <f t="shared" si="2"/>
        <v>-0.37579716841855015</v>
      </c>
      <c r="F91" s="102">
        <f t="shared" si="10"/>
        <v>0.17310010227634637</v>
      </c>
      <c r="G91" s="111">
        <f>+G90+F91</f>
        <v>0.39231584325419622</v>
      </c>
    </row>
    <row r="92" spans="2:7" x14ac:dyDescent="0.25">
      <c r="B92" s="34">
        <v>2016</v>
      </c>
      <c r="C92" s="105" t="s">
        <v>1192</v>
      </c>
      <c r="D92" s="104">
        <f>+GETPIVOTDATA("Suma de IV Bimestre_millones ",$A$8,"Año",2016)</f>
        <v>840615.79689745011</v>
      </c>
      <c r="E92" s="87">
        <f t="shared" si="2"/>
        <v>1.2230233013934586</v>
      </c>
      <c r="F92" s="102">
        <f t="shared" si="10"/>
        <v>0.26620362247792145</v>
      </c>
      <c r="G92" s="111">
        <f>+G91+F92</f>
        <v>0.65851946573211761</v>
      </c>
    </row>
    <row r="93" spans="2:7" x14ac:dyDescent="0.25">
      <c r="B93" s="34">
        <v>2016</v>
      </c>
      <c r="C93" s="105" t="s">
        <v>1193</v>
      </c>
      <c r="D93" s="104">
        <f>+GETPIVOTDATA("Suma de V Bimestre_millones",$A$8,"Año",2016)</f>
        <v>401887.27132399997</v>
      </c>
      <c r="E93" s="87">
        <f t="shared" si="2"/>
        <v>3.5606304876787176E-2</v>
      </c>
      <c r="F93" s="102">
        <f t="shared" si="10"/>
        <v>0.1272684237544342</v>
      </c>
      <c r="G93" s="111">
        <f>+G92+F93</f>
        <v>0.78578788948655176</v>
      </c>
    </row>
    <row r="94" spans="2:7" x14ac:dyDescent="0.25">
      <c r="B94" s="34">
        <v>2017</v>
      </c>
      <c r="C94" s="105" t="s">
        <v>1194</v>
      </c>
      <c r="D94" s="104">
        <f>+GETPIVOTDATA("Suma de VI Bimestre_millones",$A$8,"Año",2016)</f>
        <v>676437.39145316009</v>
      </c>
      <c r="E94" s="87">
        <f t="shared" si="2"/>
        <v>0.3797002946618584</v>
      </c>
      <c r="F94" s="102">
        <f t="shared" si="10"/>
        <v>0.2142121105134483</v>
      </c>
      <c r="G94" s="111">
        <f>+G93+F94</f>
        <v>1</v>
      </c>
    </row>
    <row r="95" spans="2:7" x14ac:dyDescent="0.25">
      <c r="B95" s="34">
        <v>2017</v>
      </c>
      <c r="C95" s="105" t="s">
        <v>1195</v>
      </c>
      <c r="D95" s="104">
        <f>+GETPIVOTDATA("Suma de I Bimestre_millones",$A$8,"Año",2017)</f>
        <v>496122.98405081994</v>
      </c>
      <c r="E95" s="87">
        <f t="shared" si="2"/>
        <v>0.7217494023578479</v>
      </c>
      <c r="F95" s="102">
        <f t="shared" ref="F95:F100" si="11">+D95/SUM($D$95:$D$100)</f>
        <v>0.14698064580210768</v>
      </c>
      <c r="G95" s="111">
        <f>+F95</f>
        <v>0.14698064580210768</v>
      </c>
    </row>
    <row r="96" spans="2:7" x14ac:dyDescent="0.25">
      <c r="B96" s="34">
        <v>2017</v>
      </c>
      <c r="C96" s="105" t="s">
        <v>1196</v>
      </c>
      <c r="D96" s="104">
        <f>+GETPIVOTDATA("Suma de II Bimestre_millones",$A$8,"Año",2017)</f>
        <v>410473.66051891004</v>
      </c>
      <c r="E96" s="87">
        <f t="shared" si="2"/>
        <v>1.5804410420690695E-2</v>
      </c>
      <c r="F96" s="102">
        <f t="shared" si="11"/>
        <v>0.12160630659603644</v>
      </c>
      <c r="G96" s="111">
        <f>+G95+F96</f>
        <v>0.26858695239814412</v>
      </c>
    </row>
    <row r="97" spans="2:7" x14ac:dyDescent="0.25">
      <c r="B97" s="34">
        <v>2017</v>
      </c>
      <c r="C97" s="105" t="s">
        <v>1197</v>
      </c>
      <c r="D97" s="104">
        <f>+GETPIVOTDATA("Suma de III Bimestre_millones",$A$8,"Año",2017)</f>
        <v>517068.72995125002</v>
      </c>
      <c r="E97" s="87">
        <f t="shared" si="2"/>
        <v>-5.4051781026541734E-2</v>
      </c>
      <c r="F97" s="102">
        <f t="shared" si="11"/>
        <v>0.15318600084152811</v>
      </c>
      <c r="G97" s="111">
        <f>+G96+F97</f>
        <v>0.42177295323967223</v>
      </c>
    </row>
    <row r="98" spans="2:7" x14ac:dyDescent="0.25">
      <c r="B98" s="34">
        <v>2017</v>
      </c>
      <c r="C98" s="105" t="s">
        <v>1198</v>
      </c>
      <c r="D98" s="104">
        <f>+GETPIVOTDATA("Suma de IV Bimestre_millones ",$A$8,"Año",2017)</f>
        <v>240114.55557306</v>
      </c>
      <c r="E98" s="87">
        <f t="shared" si="2"/>
        <v>-0.71435873979613962</v>
      </c>
      <c r="F98" s="102">
        <f t="shared" si="11"/>
        <v>7.1135975512473554E-2</v>
      </c>
      <c r="G98" s="111">
        <f>+G97+F98</f>
        <v>0.49290892875214576</v>
      </c>
    </row>
    <row r="99" spans="2:7" x14ac:dyDescent="0.25">
      <c r="B99" s="34">
        <v>2017</v>
      </c>
      <c r="C99" s="105" t="s">
        <v>1199</v>
      </c>
      <c r="D99" s="104">
        <f>+GETPIVOTDATA("Suma de V Bimestre_millones",$A$8,"Año",2017)</f>
        <v>553861.42843496997</v>
      </c>
      <c r="E99" s="87">
        <f t="shared" si="2"/>
        <v>0.37815120795017432</v>
      </c>
      <c r="F99" s="102">
        <f t="shared" si="11"/>
        <v>0.16408615011456693</v>
      </c>
      <c r="G99" s="111">
        <f>+G98+F99</f>
        <v>0.65699507886671271</v>
      </c>
    </row>
    <row r="100" spans="2:7" x14ac:dyDescent="0.25">
      <c r="B100" s="34">
        <v>2017</v>
      </c>
      <c r="C100" s="105" t="s">
        <v>1200</v>
      </c>
      <c r="D100" s="104">
        <f>+GETPIVOTDATA("Suma de VI Bimestre_millones",$A$8,"Año",2017)</f>
        <v>1157789.3408216499</v>
      </c>
      <c r="E100" s="87">
        <f t="shared" si="2"/>
        <v>0.71159867188066439</v>
      </c>
      <c r="F100" s="102">
        <f t="shared" si="11"/>
        <v>0.34300492113328729</v>
      </c>
      <c r="G100" s="111">
        <f>+G99+F100</f>
        <v>1</v>
      </c>
    </row>
    <row r="101" spans="2:7" x14ac:dyDescent="0.25">
      <c r="B101" s="34">
        <v>2018</v>
      </c>
      <c r="C101" s="105" t="s">
        <v>1201</v>
      </c>
      <c r="D101" s="104">
        <f>+GETPIVOTDATA("Suma de I Bimestre_millones",$A$8,"Año",2018)</f>
        <v>456361.78051390004</v>
      </c>
      <c r="E101" s="87">
        <f t="shared" si="2"/>
        <v>-8.0143845004461589E-2</v>
      </c>
      <c r="F101" s="102">
        <f t="shared" ref="F101:F107" si="12">+D101/SUM($D$101:$D$106)</f>
        <v>0.11172954284874577</v>
      </c>
      <c r="G101" s="111">
        <f>+F101</f>
        <v>0.11172954284874577</v>
      </c>
    </row>
    <row r="102" spans="2:7" x14ac:dyDescent="0.25">
      <c r="B102" s="34">
        <v>2018</v>
      </c>
      <c r="C102" s="105" t="s">
        <v>1202</v>
      </c>
      <c r="D102" s="104">
        <f>+GETPIVOTDATA("Suma de II Bimestre_millones",$A$8,"Año",2018)</f>
        <v>743523.46089373995</v>
      </c>
      <c r="E102" s="87">
        <f t="shared" si="2"/>
        <v>0.81137922456168576</v>
      </c>
      <c r="F102" s="102">
        <f t="shared" si="12"/>
        <v>0.18203438572228242</v>
      </c>
      <c r="G102" s="111">
        <f t="shared" ref="G102:G107" si="13">+G101+F102</f>
        <v>0.29376392857102818</v>
      </c>
    </row>
    <row r="103" spans="2:7" x14ac:dyDescent="0.25">
      <c r="B103" s="34">
        <v>2018</v>
      </c>
      <c r="C103" s="105" t="s">
        <v>1215</v>
      </c>
      <c r="D103" s="54">
        <f>+GETPIVOTDATA("Suma de III Bimestre_millones",$A$8,"Año",2018)</f>
        <v>582908.07009060006</v>
      </c>
      <c r="E103" s="87">
        <f t="shared" si="2"/>
        <v>0.12733189289083002</v>
      </c>
      <c r="F103" s="102">
        <f t="shared" si="12"/>
        <v>0.14271145169240068</v>
      </c>
      <c r="G103" s="111">
        <f t="shared" si="13"/>
        <v>0.43647538026342886</v>
      </c>
    </row>
    <row r="104" spans="2:7" x14ac:dyDescent="0.25">
      <c r="B104" s="34">
        <v>2018</v>
      </c>
      <c r="C104" s="105" t="s">
        <v>1216</v>
      </c>
      <c r="D104" s="103">
        <f>+GETPIVOTDATA("Suma de IV Bimestre_millones ",$A$8,"Año",2018)</f>
        <v>503876.59027155006</v>
      </c>
      <c r="E104" s="87">
        <f t="shared" si="2"/>
        <v>1.0984841550692033</v>
      </c>
      <c r="F104" s="102">
        <f t="shared" si="12"/>
        <v>0.12336243631057164</v>
      </c>
      <c r="G104" s="111">
        <f t="shared" si="13"/>
        <v>0.55983781657400056</v>
      </c>
    </row>
    <row r="105" spans="2:7" x14ac:dyDescent="0.25">
      <c r="B105" s="34">
        <v>2018</v>
      </c>
      <c r="C105" s="105" t="s">
        <v>1217</v>
      </c>
      <c r="D105" s="103">
        <f>+GETPIVOTDATA("Suma de V Bimestre_millones",$A$8,"Año",2018)</f>
        <v>410629.69410637999</v>
      </c>
      <c r="E105" s="87">
        <f t="shared" si="2"/>
        <v>-0.25860572153095351</v>
      </c>
      <c r="F105" s="102">
        <f t="shared" si="12"/>
        <v>0.10053310763877331</v>
      </c>
      <c r="G105" s="111">
        <f t="shared" si="13"/>
        <v>0.66037092421277388</v>
      </c>
    </row>
    <row r="106" spans="2:7" x14ac:dyDescent="0.25">
      <c r="B106" s="34">
        <v>2018</v>
      </c>
      <c r="C106" s="105" t="s">
        <v>1218</v>
      </c>
      <c r="D106" s="103">
        <f>+GETPIVOTDATA("Suma de VI Bimestre_millones",$A$8,"Año",2018)</f>
        <v>1387222.44617408</v>
      </c>
      <c r="E106" s="87">
        <f>+D106/D100-1</f>
        <v>0.19816481052555557</v>
      </c>
      <c r="F106" s="102">
        <f t="shared" si="12"/>
        <v>0.33962907578722612</v>
      </c>
      <c r="G106" s="111">
        <f t="shared" si="13"/>
        <v>1</v>
      </c>
    </row>
    <row r="107" spans="2:7" x14ac:dyDescent="0.25">
      <c r="B107" s="34">
        <v>2019</v>
      </c>
      <c r="C107" s="105" t="s">
        <v>1245</v>
      </c>
      <c r="D107" s="103">
        <f>+GETPIVOTDATA("Suma de I Bimestre_millones",$A$8,"Año",2019)</f>
        <v>652966.50373669993</v>
      </c>
      <c r="E107" s="87">
        <f>+D107/D101-1</f>
        <v>0.43080891436922508</v>
      </c>
      <c r="F107" s="102">
        <f t="shared" si="12"/>
        <v>0.15986362590638376</v>
      </c>
      <c r="G107" s="111">
        <f t="shared" si="13"/>
        <v>1.1598636259063837</v>
      </c>
    </row>
    <row r="108" spans="2:7" x14ac:dyDescent="0.25">
      <c r="B108" s="101">
        <v>2019</v>
      </c>
      <c r="C108" s="105" t="s">
        <v>1246</v>
      </c>
      <c r="D108" s="101"/>
      <c r="E108" s="101"/>
      <c r="F108" s="101"/>
      <c r="G108" s="101"/>
    </row>
    <row r="109" spans="2:7" x14ac:dyDescent="0.25">
      <c r="B109" s="101">
        <v>2019</v>
      </c>
      <c r="C109" s="105" t="s">
        <v>1247</v>
      </c>
      <c r="D109" s="101"/>
      <c r="E109" s="101"/>
      <c r="F109" s="101"/>
      <c r="G109" s="101"/>
    </row>
    <row r="110" spans="2:7" x14ac:dyDescent="0.25">
      <c r="B110" s="101">
        <v>2019</v>
      </c>
      <c r="C110" s="105" t="s">
        <v>1248</v>
      </c>
      <c r="D110" s="101"/>
      <c r="E110" s="101"/>
      <c r="F110" s="101"/>
      <c r="G110" s="101"/>
    </row>
    <row r="111" spans="2:7" x14ac:dyDescent="0.25">
      <c r="B111" s="101">
        <v>2019</v>
      </c>
      <c r="C111" s="105" t="s">
        <v>1249</v>
      </c>
      <c r="D111" s="101"/>
      <c r="E111" s="101"/>
      <c r="F111" s="101"/>
      <c r="G111" s="101"/>
    </row>
    <row r="112" spans="2:7" x14ac:dyDescent="0.25">
      <c r="B112" s="101">
        <v>2019</v>
      </c>
      <c r="C112" s="105" t="s">
        <v>1250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O90"/>
  <sheetViews>
    <sheetView topLeftCell="A13" zoomScaleNormal="100"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7.42578125" customWidth="1"/>
    <col min="3" max="4" width="28.5703125" bestFit="1" customWidth="1"/>
    <col min="5" max="6" width="28.7109375" bestFit="1" customWidth="1"/>
    <col min="7" max="7" width="17.5703125" customWidth="1"/>
    <col min="8" max="8" width="27.7109375" customWidth="1"/>
    <col min="9" max="9" width="28.7109375" bestFit="1" customWidth="1"/>
    <col min="10" max="11" width="14.28515625" bestFit="1" customWidth="1"/>
    <col min="12" max="12" width="11.7109375" bestFit="1" customWidth="1"/>
  </cols>
  <sheetData>
    <row r="1" spans="1:5" x14ac:dyDescent="0.25">
      <c r="A1" s="198" t="s">
        <v>1098</v>
      </c>
      <c r="B1" s="199"/>
      <c r="C1" s="199"/>
      <c r="D1" s="200"/>
    </row>
    <row r="2" spans="1:5" x14ac:dyDescent="0.25">
      <c r="A2" s="201" t="s">
        <v>1099</v>
      </c>
      <c r="B2" s="202"/>
      <c r="C2" s="202"/>
      <c r="D2" s="203"/>
    </row>
    <row r="3" spans="1:5" x14ac:dyDescent="0.25">
      <c r="A3" s="201" t="s">
        <v>1100</v>
      </c>
      <c r="B3" s="202"/>
      <c r="C3" s="202"/>
      <c r="D3" s="203"/>
    </row>
    <row r="4" spans="1:5" x14ac:dyDescent="0.25">
      <c r="A4" s="201" t="s">
        <v>1269</v>
      </c>
      <c r="B4" s="202"/>
      <c r="C4" s="202"/>
      <c r="D4" s="203"/>
    </row>
    <row r="5" spans="1:5" x14ac:dyDescent="0.25">
      <c r="A5" s="201" t="s">
        <v>1101</v>
      </c>
      <c r="B5" s="202"/>
      <c r="C5" s="202"/>
      <c r="D5" s="203"/>
    </row>
    <row r="6" spans="1:5" x14ac:dyDescent="0.25">
      <c r="A6" s="36"/>
      <c r="B6" s="37"/>
      <c r="C6" s="37"/>
      <c r="D6" s="38"/>
    </row>
    <row r="7" spans="1:5" x14ac:dyDescent="0.25">
      <c r="A7" s="15" t="s">
        <v>540</v>
      </c>
      <c r="B7" t="s">
        <v>55</v>
      </c>
    </row>
    <row r="8" spans="1:5" x14ac:dyDescent="0.25">
      <c r="A8" s="15" t="s">
        <v>539</v>
      </c>
      <c r="B8" t="s">
        <v>232</v>
      </c>
    </row>
    <row r="9" spans="1:5" x14ac:dyDescent="0.25">
      <c r="A9" s="15" t="s">
        <v>538</v>
      </c>
      <c r="B9" t="s">
        <v>793</v>
      </c>
    </row>
    <row r="10" spans="1:5" x14ac:dyDescent="0.25">
      <c r="A10" s="15" t="s">
        <v>537</v>
      </c>
      <c r="B10" t="s">
        <v>793</v>
      </c>
    </row>
    <row r="11" spans="1:5" x14ac:dyDescent="0.25">
      <c r="A11" s="15" t="s">
        <v>536</v>
      </c>
      <c r="B11" t="s">
        <v>793</v>
      </c>
    </row>
    <row r="12" spans="1:5" x14ac:dyDescent="0.25">
      <c r="A12" s="15" t="s">
        <v>535</v>
      </c>
      <c r="B12" t="s">
        <v>793</v>
      </c>
    </row>
    <row r="13" spans="1:5" x14ac:dyDescent="0.25">
      <c r="A13" s="15" t="s">
        <v>534</v>
      </c>
      <c r="B13" t="s">
        <v>793</v>
      </c>
    </row>
    <row r="14" spans="1:5" x14ac:dyDescent="0.25">
      <c r="A14" s="15" t="s">
        <v>533</v>
      </c>
      <c r="B14" t="s">
        <v>793</v>
      </c>
    </row>
    <row r="16" spans="1:5" x14ac:dyDescent="0.25">
      <c r="A16" s="15" t="s">
        <v>794</v>
      </c>
      <c r="B16" t="s">
        <v>815</v>
      </c>
      <c r="C16" t="s">
        <v>816</v>
      </c>
      <c r="D16" t="s">
        <v>817</v>
      </c>
      <c r="E16" t="s">
        <v>818</v>
      </c>
    </row>
    <row r="17" spans="1:5" x14ac:dyDescent="0.25">
      <c r="A17" s="16">
        <v>2007</v>
      </c>
      <c r="B17" s="22">
        <v>482880.35700290004</v>
      </c>
      <c r="C17" s="22">
        <v>445930.59642140009</v>
      </c>
      <c r="D17" s="22">
        <v>465372.06697827001</v>
      </c>
      <c r="E17" s="22">
        <v>634758.8044689399</v>
      </c>
    </row>
    <row r="18" spans="1:5" x14ac:dyDescent="0.25">
      <c r="A18" s="16">
        <v>2008</v>
      </c>
      <c r="B18" s="22">
        <v>607142.20521642989</v>
      </c>
      <c r="C18" s="22">
        <v>566767.91589802003</v>
      </c>
      <c r="D18" s="22">
        <v>577112.24163022998</v>
      </c>
      <c r="E18" s="22">
        <v>657556.26237352006</v>
      </c>
    </row>
    <row r="19" spans="1:5" x14ac:dyDescent="0.25">
      <c r="A19" s="16">
        <v>2009</v>
      </c>
      <c r="B19" s="22">
        <v>577845.13053857</v>
      </c>
      <c r="C19" s="22">
        <v>488116.16287829005</v>
      </c>
      <c r="D19" s="22">
        <v>537139.94664116006</v>
      </c>
      <c r="E19" s="22">
        <v>659188.70316664013</v>
      </c>
    </row>
    <row r="20" spans="1:5" x14ac:dyDescent="0.25">
      <c r="A20" s="16">
        <v>2010</v>
      </c>
      <c r="B20" s="22">
        <v>618745.64208216022</v>
      </c>
      <c r="C20" s="22">
        <v>546555.39107578015</v>
      </c>
      <c r="D20" s="22">
        <v>598001.75060600997</v>
      </c>
      <c r="E20" s="22">
        <v>728349.2817831001</v>
      </c>
    </row>
    <row r="21" spans="1:5" x14ac:dyDescent="0.25">
      <c r="A21" s="16">
        <v>2011</v>
      </c>
      <c r="B21" s="22">
        <v>635879.47521409998</v>
      </c>
      <c r="C21" s="22">
        <v>639564.00260016997</v>
      </c>
      <c r="D21" s="22">
        <v>652030.01821603999</v>
      </c>
      <c r="E21" s="22">
        <v>841859.41628761985</v>
      </c>
    </row>
    <row r="22" spans="1:5" x14ac:dyDescent="0.25">
      <c r="A22" s="16">
        <v>2012</v>
      </c>
      <c r="B22" s="22">
        <v>718189.01207726018</v>
      </c>
      <c r="C22" s="22">
        <v>707060.39637744008</v>
      </c>
      <c r="D22" s="22">
        <v>699020.11905070988</v>
      </c>
      <c r="E22" s="22">
        <v>883652.68720889988</v>
      </c>
    </row>
    <row r="23" spans="1:5" x14ac:dyDescent="0.25">
      <c r="A23" s="16">
        <v>2013</v>
      </c>
      <c r="B23" s="22">
        <v>800295.84453103004</v>
      </c>
      <c r="C23" s="22">
        <v>748303.7964645701</v>
      </c>
      <c r="D23" s="22">
        <v>773021.94499490992</v>
      </c>
      <c r="E23" s="22">
        <v>970687.25528829987</v>
      </c>
    </row>
    <row r="24" spans="1:5" x14ac:dyDescent="0.25">
      <c r="A24" s="16">
        <v>2014</v>
      </c>
      <c r="B24" s="22">
        <v>851040.98391437996</v>
      </c>
      <c r="C24" s="22">
        <v>823077.09948140988</v>
      </c>
      <c r="D24" s="22">
        <v>821174.31299164996</v>
      </c>
      <c r="E24" s="22">
        <v>1027150.0952020901</v>
      </c>
    </row>
    <row r="25" spans="1:5" x14ac:dyDescent="0.25">
      <c r="A25" s="16">
        <v>2015</v>
      </c>
      <c r="B25" s="22">
        <v>947056.77711928007</v>
      </c>
      <c r="C25" s="22">
        <v>860622.46520977002</v>
      </c>
      <c r="D25" s="22">
        <v>896523.90956172009</v>
      </c>
      <c r="E25" s="22">
        <v>1157709.9637748101</v>
      </c>
    </row>
    <row r="26" spans="1:5" x14ac:dyDescent="0.25">
      <c r="A26" s="16">
        <v>2016</v>
      </c>
      <c r="B26" s="22">
        <v>1013261.0999575601</v>
      </c>
      <c r="C26" s="22">
        <v>980754.49770168017</v>
      </c>
      <c r="D26" s="22">
        <v>948205.88978356007</v>
      </c>
      <c r="E26" s="22">
        <v>1225518.2298717101</v>
      </c>
    </row>
    <row r="27" spans="1:5" x14ac:dyDescent="0.25">
      <c r="A27" s="16">
        <v>2017</v>
      </c>
      <c r="B27" s="22">
        <v>1099050.3539632999</v>
      </c>
      <c r="C27" s="22">
        <v>1030573.2586859099</v>
      </c>
      <c r="D27" s="22">
        <v>991881.26754806004</v>
      </c>
      <c r="E27" s="22">
        <v>1269363.9506429399</v>
      </c>
    </row>
    <row r="28" spans="1:5" x14ac:dyDescent="0.25">
      <c r="A28" s="16">
        <v>2018</v>
      </c>
      <c r="B28" s="22">
        <v>1114473.9802393599</v>
      </c>
      <c r="C28" s="22">
        <v>1037245.0240286101</v>
      </c>
      <c r="D28" s="22">
        <v>1005419.67272426</v>
      </c>
      <c r="E28" s="22">
        <v>1409992.9621270499</v>
      </c>
    </row>
    <row r="29" spans="1:5" x14ac:dyDescent="0.25">
      <c r="A29" s="16">
        <v>2019</v>
      </c>
      <c r="B29" s="22">
        <v>1233481.56506923</v>
      </c>
      <c r="C29" s="22">
        <v>1076819.5643988</v>
      </c>
      <c r="D29" s="22">
        <v>1112065.6758421299</v>
      </c>
      <c r="E29" s="22">
        <v>1467202.9105367099</v>
      </c>
    </row>
    <row r="30" spans="1:5" x14ac:dyDescent="0.25">
      <c r="A30" s="16">
        <v>2020</v>
      </c>
      <c r="B30" s="22">
        <v>1291680.0698369199</v>
      </c>
      <c r="C30" s="22">
        <v>749867.00562972995</v>
      </c>
      <c r="D30" s="22">
        <v>988595.75557493989</v>
      </c>
      <c r="E30" s="22">
        <v>692816.60050336982</v>
      </c>
    </row>
    <row r="31" spans="1:5" x14ac:dyDescent="0.25">
      <c r="A31" s="16" t="s">
        <v>795</v>
      </c>
      <c r="B31" s="22">
        <v>11991022.496762477</v>
      </c>
      <c r="C31" s="22">
        <v>10701257.176851578</v>
      </c>
      <c r="D31" s="22">
        <v>11065564.572143652</v>
      </c>
      <c r="E31" s="22">
        <v>13625807.123235693</v>
      </c>
    </row>
    <row r="32" spans="1:5" x14ac:dyDescent="0.25">
      <c r="C32" s="77">
        <f>+GETPIVOTDATA("Suma de II_trimestre_millones",$A$16,"Año",2020)/GETPIVOTDATA("Suma de II_trimestre_millones",$A$16,"Año",2019)-1</f>
        <v>-0.30362798892088405</v>
      </c>
    </row>
    <row r="34" spans="2:8" x14ac:dyDescent="0.25">
      <c r="B34" s="19" t="s">
        <v>542</v>
      </c>
      <c r="C34" s="19" t="s">
        <v>819</v>
      </c>
      <c r="D34" s="19" t="s">
        <v>820</v>
      </c>
      <c r="E34" s="98" t="s">
        <v>1135</v>
      </c>
      <c r="G34" s="15" t="s">
        <v>794</v>
      </c>
      <c r="H34" t="s">
        <v>1136</v>
      </c>
    </row>
    <row r="35" spans="2:8" x14ac:dyDescent="0.25">
      <c r="B35" s="5">
        <v>2007</v>
      </c>
      <c r="C35" s="5" t="s">
        <v>821</v>
      </c>
      <c r="D35" s="20">
        <f>+GETPIVOTDATA("Suma de I trimestre_millones",$A$16,"Año",2007)</f>
        <v>482880.35700290004</v>
      </c>
      <c r="E35" s="44" t="s">
        <v>1114</v>
      </c>
      <c r="F35" s="22">
        <f>+SUM(D35:D38)</f>
        <v>2028941.8248715098</v>
      </c>
      <c r="G35" s="16">
        <v>2010</v>
      </c>
      <c r="H35" s="24">
        <v>0.2615564849200428</v>
      </c>
    </row>
    <row r="36" spans="2:8" x14ac:dyDescent="0.25">
      <c r="B36" s="5">
        <v>2007</v>
      </c>
      <c r="C36" s="5" t="s">
        <v>822</v>
      </c>
      <c r="D36" s="20">
        <f>+GETPIVOTDATA("Suma de II_trimestre_millones",$A$16,"Año",2007)</f>
        <v>445930.59642140009</v>
      </c>
      <c r="E36" s="44" t="s">
        <v>1114</v>
      </c>
      <c r="G36" s="21" t="s">
        <v>821</v>
      </c>
      <c r="H36" s="24">
        <v>0.15067021463409791</v>
      </c>
    </row>
    <row r="37" spans="2:8" x14ac:dyDescent="0.25">
      <c r="B37" s="5">
        <v>2007</v>
      </c>
      <c r="C37" s="5" t="s">
        <v>823</v>
      </c>
      <c r="D37" s="20">
        <f>+GETPIVOTDATA("Suma de III trimestre_millones",$A$16,"Año",2007)</f>
        <v>465372.06697827001</v>
      </c>
      <c r="E37" s="44" t="s">
        <v>1114</v>
      </c>
      <c r="G37" s="21" t="s">
        <v>822</v>
      </c>
      <c r="H37" s="24">
        <v>-0.14931232515981141</v>
      </c>
    </row>
    <row r="38" spans="2:8" x14ac:dyDescent="0.25">
      <c r="B38" s="5">
        <v>2007</v>
      </c>
      <c r="C38" s="5" t="s">
        <v>824</v>
      </c>
      <c r="D38" s="20">
        <f>+GETPIVOTDATA("Suma de IV trimestre_millones",$A$16,"Año",2007)</f>
        <v>634758.8044689399</v>
      </c>
      <c r="E38" s="44" t="s">
        <v>1114</v>
      </c>
      <c r="G38" s="21" t="s">
        <v>823</v>
      </c>
      <c r="H38" s="24">
        <v>-0.10407261145369995</v>
      </c>
    </row>
    <row r="39" spans="2:8" x14ac:dyDescent="0.25">
      <c r="B39" s="5">
        <v>2008</v>
      </c>
      <c r="C39" s="5" t="s">
        <v>821</v>
      </c>
      <c r="D39" s="20">
        <f>+GETPIVOTDATA("Suma de I trimestre_millones",$A$16,"Año",2008)</f>
        <v>607142.20521642989</v>
      </c>
      <c r="E39" s="23">
        <f>+D39/D35-1</f>
        <v>0.25733465114378951</v>
      </c>
      <c r="G39" s="21" t="s">
        <v>824</v>
      </c>
      <c r="H39" s="24">
        <v>0.36427120689945625</v>
      </c>
    </row>
    <row r="40" spans="2:8" x14ac:dyDescent="0.25">
      <c r="B40" s="5">
        <v>2008</v>
      </c>
      <c r="C40" s="5" t="s">
        <v>822</v>
      </c>
      <c r="D40" s="20">
        <f>+GETPIVOTDATA("Suma de II_trimestre_millones",$A$16,"Año",2008)</f>
        <v>566767.91589802003</v>
      </c>
      <c r="E40" s="23">
        <f>+D40/D36-1</f>
        <v>0.27097786168148419</v>
      </c>
      <c r="G40" s="16">
        <v>2011</v>
      </c>
      <c r="H40" s="24">
        <v>2.3424771354355389</v>
      </c>
    </row>
    <row r="41" spans="2:8" x14ac:dyDescent="0.25">
      <c r="B41" s="5">
        <v>2008</v>
      </c>
      <c r="C41" s="5" t="s">
        <v>823</v>
      </c>
      <c r="D41" s="20">
        <f>+GETPIVOTDATA("Suma de III trimestre_millones",$A$16,"Año",2008)</f>
        <v>577112.24163022998</v>
      </c>
      <c r="E41" s="23">
        <f t="shared" ref="E41:E86" si="0">+D41/D37-1</f>
        <v>0.24010932881619973</v>
      </c>
      <c r="G41" s="21" t="s">
        <v>821</v>
      </c>
      <c r="H41" s="24">
        <v>-3.2750737808699526E-2</v>
      </c>
    </row>
    <row r="42" spans="2:8" x14ac:dyDescent="0.25">
      <c r="B42" s="5">
        <v>2008</v>
      </c>
      <c r="C42" s="5" t="s">
        <v>824</v>
      </c>
      <c r="D42" s="20">
        <f>+GETPIVOTDATA("Suma de IV trimestre_millones",$A$16,"Año",2008)</f>
        <v>657556.26237352006</v>
      </c>
      <c r="E42" s="23">
        <f t="shared" si="0"/>
        <v>3.5915150359597137E-2</v>
      </c>
      <c r="G42" s="21" t="s">
        <v>822</v>
      </c>
      <c r="H42" s="24">
        <v>0.70757670468823886</v>
      </c>
    </row>
    <row r="43" spans="2:8" x14ac:dyDescent="0.25">
      <c r="B43" s="5">
        <v>2009</v>
      </c>
      <c r="C43" s="5" t="s">
        <v>821</v>
      </c>
      <c r="D43" s="20">
        <f>+GETPIVOTDATA("Suma de I trimestre_millones",$A$16,"Año",2009)</f>
        <v>577845.13053857</v>
      </c>
      <c r="E43" s="23">
        <f t="shared" si="0"/>
        <v>-4.8254057165102338E-2</v>
      </c>
      <c r="G43" s="21" t="s">
        <v>823</v>
      </c>
      <c r="H43" s="24">
        <v>0.98335103620993203</v>
      </c>
    </row>
    <row r="44" spans="2:8" x14ac:dyDescent="0.25">
      <c r="B44" s="5">
        <v>2009</v>
      </c>
      <c r="C44" s="5" t="s">
        <v>822</v>
      </c>
      <c r="D44" s="20">
        <f>+GETPIVOTDATA("Suma de II_trimestre_millones",$A$16,"Año",2009)</f>
        <v>488116.16287829005</v>
      </c>
      <c r="E44" s="23">
        <f t="shared" si="0"/>
        <v>-0.13877241603401202</v>
      </c>
      <c r="G44" s="21" t="s">
        <v>824</v>
      </c>
      <c r="H44" s="24">
        <v>0.68430013234606757</v>
      </c>
    </row>
    <row r="45" spans="2:8" x14ac:dyDescent="0.25">
      <c r="B45" s="5">
        <v>2009</v>
      </c>
      <c r="C45" s="5" t="s">
        <v>823</v>
      </c>
      <c r="D45" s="20">
        <f>+GETPIVOTDATA("Suma de III trimestre_millones",$A$16,"Año",2009)</f>
        <v>537139.94664116006</v>
      </c>
      <c r="E45" s="23">
        <f t="shared" si="0"/>
        <v>-6.9262601112317301E-2</v>
      </c>
      <c r="G45" s="16">
        <v>2012</v>
      </c>
      <c r="H45" s="24">
        <v>-0.77351116115244622</v>
      </c>
    </row>
    <row r="46" spans="2:8" x14ac:dyDescent="0.25">
      <c r="B46" s="5">
        <v>2009</v>
      </c>
      <c r="C46" s="5" t="s">
        <v>824</v>
      </c>
      <c r="D46" s="20">
        <f>+GETPIVOTDATA("Suma de IV trimestre_millones",$A$16,"Año",2009)</f>
        <v>659188.70316664013</v>
      </c>
      <c r="E46" s="23">
        <f t="shared" si="0"/>
        <v>2.4825872499907309E-3</v>
      </c>
      <c r="G46" s="21" t="s">
        <v>821</v>
      </c>
      <c r="H46" s="24">
        <v>0.22052894565202785</v>
      </c>
    </row>
    <row r="47" spans="2:8" x14ac:dyDescent="0.25">
      <c r="B47" s="5">
        <v>2010</v>
      </c>
      <c r="C47" s="5" t="s">
        <v>821</v>
      </c>
      <c r="D47" s="20">
        <f>+GETPIVOTDATA("Suma de I trimestre_millones",$A$16,"Año",2010)</f>
        <v>618745.64208216022</v>
      </c>
      <c r="E47" s="23">
        <f t="shared" si="0"/>
        <v>7.0781095802381566E-2</v>
      </c>
      <c r="F47">
        <v>0</v>
      </c>
      <c r="G47" s="21" t="s">
        <v>822</v>
      </c>
      <c r="H47" s="24">
        <v>-0.2955200850745866</v>
      </c>
    </row>
    <row r="48" spans="2:8" x14ac:dyDescent="0.25">
      <c r="B48" s="5">
        <v>2010</v>
      </c>
      <c r="C48" s="5" t="s">
        <v>822</v>
      </c>
      <c r="D48" s="20">
        <f>+GETPIVOTDATA("Suma de II_trimestre_millones",$A$16,"Año",2010)</f>
        <v>546555.39107578015</v>
      </c>
      <c r="E48" s="23">
        <f t="shared" si="0"/>
        <v>0.11972401785036091</v>
      </c>
      <c r="F48">
        <v>0</v>
      </c>
      <c r="G48" s="21" t="s">
        <v>823</v>
      </c>
      <c r="H48" s="24">
        <v>-0.25499421250457788</v>
      </c>
    </row>
    <row r="49" spans="2:8" x14ac:dyDescent="0.25">
      <c r="B49" s="5">
        <v>2010</v>
      </c>
      <c r="C49" s="5" t="s">
        <v>823</v>
      </c>
      <c r="D49" s="20">
        <f>+GETPIVOTDATA("Suma de III trimestre_millones",$A$16,"Año",2010)</f>
        <v>598001.75060600997</v>
      </c>
      <c r="E49" s="23">
        <f t="shared" si="0"/>
        <v>0.11330716388797835</v>
      </c>
      <c r="F49">
        <v>0</v>
      </c>
      <c r="G49" s="21" t="s">
        <v>824</v>
      </c>
      <c r="H49" s="24">
        <v>-0.4435258092253096</v>
      </c>
    </row>
    <row r="50" spans="2:8" x14ac:dyDescent="0.25">
      <c r="B50" s="5">
        <v>2010</v>
      </c>
      <c r="C50" s="5" t="s">
        <v>824</v>
      </c>
      <c r="D50" s="20">
        <f>+GETPIVOTDATA("Suma de IV trimestre_millones",$A$16,"Año",2010)</f>
        <v>728349.2817831001</v>
      </c>
      <c r="E50" s="23">
        <f t="shared" si="0"/>
        <v>0.10491772429385282</v>
      </c>
      <c r="F50">
        <v>0</v>
      </c>
      <c r="G50" s="16">
        <v>2013</v>
      </c>
      <c r="H50" s="24">
        <v>0.10537457902598835</v>
      </c>
    </row>
    <row r="51" spans="2:8" x14ac:dyDescent="0.25">
      <c r="B51" s="5">
        <v>2011</v>
      </c>
      <c r="C51" s="5" t="s">
        <v>821</v>
      </c>
      <c r="D51" s="20">
        <f>+GETPIVOTDATA("Suma de I trimestre_millones",$A$16,"Año",2011)</f>
        <v>635879.47521409998</v>
      </c>
      <c r="E51" s="23">
        <f t="shared" si="0"/>
        <v>2.7691238477708158E-2</v>
      </c>
      <c r="F51">
        <v>0</v>
      </c>
      <c r="G51" s="21" t="s">
        <v>821</v>
      </c>
      <c r="H51" s="24">
        <v>-4.286387393171065E-2</v>
      </c>
    </row>
    <row r="52" spans="2:8" x14ac:dyDescent="0.25">
      <c r="B52" s="5">
        <v>2011</v>
      </c>
      <c r="C52" s="5" t="s">
        <v>822</v>
      </c>
      <c r="D52" s="20">
        <f>+GETPIVOTDATA("Suma de II_trimestre_millones",$A$16,"Año",2011)</f>
        <v>639564.00260016997</v>
      </c>
      <c r="E52" s="23">
        <f t="shared" si="0"/>
        <v>0.17017234308369322</v>
      </c>
      <c r="F52">
        <v>0</v>
      </c>
      <c r="G52" s="21" t="s">
        <v>822</v>
      </c>
      <c r="H52" s="24">
        <v>0.24696413212801716</v>
      </c>
    </row>
    <row r="53" spans="2:8" x14ac:dyDescent="0.25">
      <c r="B53" s="5">
        <v>2011</v>
      </c>
      <c r="C53" s="5" t="s">
        <v>823</v>
      </c>
      <c r="D53" s="20">
        <f>+GETPIVOTDATA("Suma de III trimestre_millones",$A$16,"Año",2011)</f>
        <v>652030.01821603999</v>
      </c>
      <c r="E53" s="23">
        <f t="shared" si="0"/>
        <v>9.0348009107461991E-2</v>
      </c>
      <c r="F53">
        <v>0</v>
      </c>
      <c r="G53" s="21" t="s">
        <v>823</v>
      </c>
      <c r="H53" s="24">
        <v>5.3178285992025343E-2</v>
      </c>
    </row>
    <row r="54" spans="2:8" x14ac:dyDescent="0.25">
      <c r="B54" s="5">
        <v>2011</v>
      </c>
      <c r="C54" s="5" t="s">
        <v>824</v>
      </c>
      <c r="D54" s="20">
        <f>+GETPIVOTDATA("Suma de IV trimestre_millones",$A$16,"Año",2011)</f>
        <v>841859.41628761985</v>
      </c>
      <c r="E54" s="23">
        <f t="shared" si="0"/>
        <v>0.15584574234305726</v>
      </c>
      <c r="F54">
        <v>0</v>
      </c>
      <c r="G54" s="21" t="s">
        <v>824</v>
      </c>
      <c r="H54" s="24">
        <v>-0.1519039651623435</v>
      </c>
    </row>
    <row r="55" spans="2:8" x14ac:dyDescent="0.25">
      <c r="B55" s="5">
        <v>2012</v>
      </c>
      <c r="C55" s="5" t="s">
        <v>821</v>
      </c>
      <c r="D55" s="20">
        <f>+GETPIVOTDATA("Suma de I trimestre_millones",$A$16,"Año",2012)</f>
        <v>718189.01207726018</v>
      </c>
      <c r="E55" s="23">
        <f t="shared" si="0"/>
        <v>0.12944204062483178</v>
      </c>
      <c r="F55">
        <v>0</v>
      </c>
      <c r="G55" s="16">
        <v>2014</v>
      </c>
      <c r="H55" s="24">
        <v>0.41987271788183933</v>
      </c>
    </row>
    <row r="56" spans="2:8" x14ac:dyDescent="0.25">
      <c r="B56" s="5">
        <v>2012</v>
      </c>
      <c r="C56" s="5" t="s">
        <v>822</v>
      </c>
      <c r="D56" s="20">
        <f>+GETPIVOTDATA("Suma de II_trimestre_millones",$A$16,"Año",2012)</f>
        <v>707060.39637744008</v>
      </c>
      <c r="E56" s="23">
        <f t="shared" si="0"/>
        <v>0.10553501057417414</v>
      </c>
      <c r="F56">
        <v>0</v>
      </c>
      <c r="G56" s="21" t="s">
        <v>821</v>
      </c>
      <c r="H56" s="24">
        <v>0.21779469167195664</v>
      </c>
    </row>
    <row r="57" spans="2:8" x14ac:dyDescent="0.25">
      <c r="B57" s="5">
        <v>2012</v>
      </c>
      <c r="C57" s="5" t="s">
        <v>823</v>
      </c>
      <c r="D57" s="20">
        <f>+GETPIVOTDATA("Suma de III trimestre_millones",$A$16,"Año",2012)</f>
        <v>699020.11905070988</v>
      </c>
      <c r="E57" s="23">
        <f t="shared" si="0"/>
        <v>7.2067388804023524E-2</v>
      </c>
      <c r="F57">
        <v>0</v>
      </c>
      <c r="G57" s="21" t="s">
        <v>822</v>
      </c>
      <c r="H57" s="24">
        <v>7.5480555923034487E-2</v>
      </c>
    </row>
    <row r="58" spans="2:8" x14ac:dyDescent="0.25">
      <c r="B58" s="5">
        <v>2012</v>
      </c>
      <c r="C58" s="5" t="s">
        <v>824</v>
      </c>
      <c r="D58" s="20">
        <f>+GETPIVOTDATA("Suma de IV trimestre_millones",$A$16,"Año",2012)</f>
        <v>883652.68720889988</v>
      </c>
      <c r="E58" s="23">
        <f t="shared" si="0"/>
        <v>4.9644002445892177E-2</v>
      </c>
      <c r="F58">
        <v>0</v>
      </c>
      <c r="G58" s="21" t="s">
        <v>823</v>
      </c>
      <c r="H58" s="24">
        <v>2.0385445074041275E-2</v>
      </c>
    </row>
    <row r="59" spans="2:8" x14ac:dyDescent="0.25">
      <c r="B59" s="5">
        <v>2013</v>
      </c>
      <c r="C59" s="5" t="s">
        <v>821</v>
      </c>
      <c r="D59" s="20">
        <f>+GETPIVOTDATA("Suma de I trimestre_millones",$A$16,"Año",2013)</f>
        <v>800295.84453103004</v>
      </c>
      <c r="E59" s="23">
        <f t="shared" si="0"/>
        <v>0.11432482406864941</v>
      </c>
      <c r="F59">
        <v>0</v>
      </c>
      <c r="G59" s="21" t="s">
        <v>824</v>
      </c>
      <c r="H59" s="24">
        <v>0.10621202521280693</v>
      </c>
    </row>
    <row r="60" spans="2:8" x14ac:dyDescent="0.25">
      <c r="B60" s="5">
        <v>2013</v>
      </c>
      <c r="C60" s="5" t="s">
        <v>822</v>
      </c>
      <c r="D60" s="20">
        <f>+GETPIVOTDATA("Suma de II_trimestre_millones",$A$16,"Año",2013)</f>
        <v>748303.7964645701</v>
      </c>
      <c r="E60" s="23">
        <f t="shared" si="0"/>
        <v>5.8330802147082306E-2</v>
      </c>
      <c r="F60">
        <v>0</v>
      </c>
      <c r="G60" s="16">
        <v>2015</v>
      </c>
      <c r="H60" s="24">
        <v>0.38859479592939339</v>
      </c>
    </row>
    <row r="61" spans="2:8" x14ac:dyDescent="0.25">
      <c r="B61" s="5">
        <v>2013</v>
      </c>
      <c r="C61" s="5" t="s">
        <v>823</v>
      </c>
      <c r="D61" s="20">
        <f>+GETPIVOTDATA("Suma de III trimestre_millones",$A$16,"Año",2013)</f>
        <v>773021.94499490992</v>
      </c>
      <c r="E61" s="23">
        <f t="shared" si="0"/>
        <v>0.10586508732351896</v>
      </c>
      <c r="F61">
        <v>0</v>
      </c>
      <c r="G61" s="21" t="s">
        <v>821</v>
      </c>
      <c r="H61" s="24">
        <v>-5.8628615507642423E-2</v>
      </c>
    </row>
    <row r="62" spans="2:8" x14ac:dyDescent="0.25">
      <c r="B62" s="5">
        <v>2013</v>
      </c>
      <c r="C62" s="5" t="s">
        <v>824</v>
      </c>
      <c r="D62" s="20">
        <f>+GETPIVOTDATA("Suma de IV trimestre_millones",$A$16,"Año",2013)</f>
        <v>970687.25528829987</v>
      </c>
      <c r="E62" s="23">
        <f t="shared" si="0"/>
        <v>9.8494090878970653E-2</v>
      </c>
      <c r="F62">
        <v>0</v>
      </c>
      <c r="G62" s="21" t="s">
        <v>822</v>
      </c>
      <c r="H62" s="24">
        <v>-0.1741364705873335</v>
      </c>
    </row>
    <row r="63" spans="2:8" x14ac:dyDescent="0.25">
      <c r="B63" s="5">
        <v>2014</v>
      </c>
      <c r="C63" s="5" t="s">
        <v>821</v>
      </c>
      <c r="D63" s="20">
        <f>+GETPIVOTDATA("Suma de I trimestre_millones",$A$16,"Año",2014)</f>
        <v>851040.98391437996</v>
      </c>
      <c r="E63" s="23">
        <f t="shared" si="0"/>
        <v>6.3407975600680899E-2</v>
      </c>
      <c r="F63">
        <v>0</v>
      </c>
      <c r="G63" s="21" t="s">
        <v>823</v>
      </c>
      <c r="H63" s="24">
        <v>0.28363541102717971</v>
      </c>
    </row>
    <row r="64" spans="2:8" x14ac:dyDescent="0.25">
      <c r="B64" s="5">
        <v>2014</v>
      </c>
      <c r="C64" s="5" t="s">
        <v>822</v>
      </c>
      <c r="D64" s="20">
        <f>+GETPIVOTDATA("Suma de II_trimestre_millones",$A$16,"Año",2014)</f>
        <v>823077.09948140988</v>
      </c>
      <c r="E64" s="23">
        <f t="shared" si="0"/>
        <v>9.9923725324010171E-2</v>
      </c>
      <c r="F64">
        <v>1</v>
      </c>
      <c r="G64" s="21" t="s">
        <v>824</v>
      </c>
      <c r="H64" s="24">
        <v>0.33772447099718961</v>
      </c>
    </row>
    <row r="65" spans="2:15" x14ac:dyDescent="0.25">
      <c r="B65" s="5">
        <v>2014</v>
      </c>
      <c r="C65" s="5" t="s">
        <v>823</v>
      </c>
      <c r="D65" s="20">
        <f>+GETPIVOTDATA("Suma de III trimestre_millones",$A$16,"Año",2014)</f>
        <v>821174.31299164996</v>
      </c>
      <c r="E65" s="23">
        <f t="shared" si="0"/>
        <v>6.2291075057457901E-2</v>
      </c>
      <c r="F65">
        <v>0</v>
      </c>
      <c r="G65" s="16">
        <v>2016</v>
      </c>
      <c r="H65" s="24">
        <v>2.4852242605959862E-2</v>
      </c>
    </row>
    <row r="66" spans="2:15" x14ac:dyDescent="0.25">
      <c r="B66" s="5">
        <v>2014</v>
      </c>
      <c r="C66" s="5" t="s">
        <v>824</v>
      </c>
      <c r="D66" s="20">
        <f>+GETPIVOTDATA("Suma de IV trimestre_millones",$A$16,"Año",2014)</f>
        <v>1027150.0952020901</v>
      </c>
      <c r="E66" s="23">
        <f t="shared" si="0"/>
        <v>5.8167900738554934E-2</v>
      </c>
      <c r="F66">
        <v>0</v>
      </c>
      <c r="G66" s="21" t="s">
        <v>821</v>
      </c>
      <c r="H66" s="24">
        <v>-0.14718617149280722</v>
      </c>
    </row>
    <row r="67" spans="2:15" x14ac:dyDescent="0.25">
      <c r="B67" s="5">
        <v>2015</v>
      </c>
      <c r="C67" s="5" t="s">
        <v>821</v>
      </c>
      <c r="D67" s="20">
        <f>+GETPIVOTDATA("Suma de I trimestre_millones",$A$16,"Año",2015)</f>
        <v>947056.77711928007</v>
      </c>
      <c r="E67" s="23">
        <f t="shared" si="0"/>
        <v>0.11282158558718702</v>
      </c>
      <c r="F67">
        <v>0</v>
      </c>
      <c r="G67" s="21" t="s">
        <v>822</v>
      </c>
      <c r="H67" s="24">
        <v>0.41552331461240577</v>
      </c>
    </row>
    <row r="68" spans="2:15" x14ac:dyDescent="0.25">
      <c r="B68" s="5">
        <v>2015</v>
      </c>
      <c r="C68" s="5" t="s">
        <v>822</v>
      </c>
      <c r="D68" s="20">
        <f>+GETPIVOTDATA("Suma de II_trimestre_millones",$A$16,"Año",2015)</f>
        <v>860622.46520977002</v>
      </c>
      <c r="E68" s="23">
        <f t="shared" si="0"/>
        <v>4.5615855127078664E-2</v>
      </c>
      <c r="F68">
        <v>0</v>
      </c>
      <c r="G68" s="21" t="s">
        <v>823</v>
      </c>
      <c r="H68" s="24">
        <v>-0.25157403796163769</v>
      </c>
    </row>
    <row r="69" spans="2:15" x14ac:dyDescent="0.25">
      <c r="B69" s="5">
        <v>2015</v>
      </c>
      <c r="C69" s="5" t="s">
        <v>823</v>
      </c>
      <c r="D69" s="20">
        <f>+GETPIVOTDATA("Suma de III trimestre_millones",$A$16,"Año",2015)</f>
        <v>896523.90956172009</v>
      </c>
      <c r="E69" s="23">
        <f t="shared" si="0"/>
        <v>9.1758345795743823E-2</v>
      </c>
      <c r="F69">
        <v>0</v>
      </c>
      <c r="G69" s="21" t="s">
        <v>824</v>
      </c>
      <c r="H69" s="24">
        <v>8.0891374479989953E-3</v>
      </c>
    </row>
    <row r="70" spans="2:15" x14ac:dyDescent="0.25">
      <c r="B70" s="5">
        <v>2015</v>
      </c>
      <c r="C70" s="5" t="s">
        <v>824</v>
      </c>
      <c r="D70" s="20">
        <f>+GETPIVOTDATA("Suma de IV trimestre_millones",$A$16,"Año",2015)</f>
        <v>1157709.9637748101</v>
      </c>
      <c r="E70" s="23">
        <f t="shared" si="0"/>
        <v>0.12710885116262638</v>
      </c>
      <c r="F70">
        <v>0</v>
      </c>
      <c r="G70" s="16">
        <v>2017</v>
      </c>
      <c r="H70" s="24">
        <v>0.33492971354504408</v>
      </c>
    </row>
    <row r="71" spans="2:15" x14ac:dyDescent="0.25">
      <c r="B71" s="5">
        <v>2016</v>
      </c>
      <c r="C71" s="5" t="s">
        <v>821</v>
      </c>
      <c r="D71" s="20">
        <f>+GETPIVOTDATA("Suma de I trimestre_millones",$A$16,"Año",2016)</f>
        <v>1013261.0999575601</v>
      </c>
      <c r="E71" s="23">
        <f t="shared" si="0"/>
        <v>6.9905336657489103E-2</v>
      </c>
      <c r="F71">
        <v>0</v>
      </c>
      <c r="G71" s="21" t="s">
        <v>821</v>
      </c>
      <c r="H71" s="24">
        <v>0.26539885906666916</v>
      </c>
    </row>
    <row r="72" spans="2:15" x14ac:dyDescent="0.25">
      <c r="B72" s="5">
        <v>2016</v>
      </c>
      <c r="C72" s="5" t="s">
        <v>822</v>
      </c>
      <c r="D72" s="20">
        <f>+GETPIVOTDATA("Suma de II_trimestre_millones",$A$16,"Año",2016)</f>
        <v>980754.49770168017</v>
      </c>
      <c r="E72" s="23">
        <f t="shared" si="0"/>
        <v>0.13958737698373813</v>
      </c>
      <c r="F72">
        <v>0</v>
      </c>
      <c r="G72" s="21" t="s">
        <v>822</v>
      </c>
      <c r="H72" s="24">
        <v>-5.2657626384392975E-2</v>
      </c>
    </row>
    <row r="73" spans="2:15" x14ac:dyDescent="0.25">
      <c r="B73" s="5">
        <v>2016</v>
      </c>
      <c r="C73" s="5" t="s">
        <v>823</v>
      </c>
      <c r="D73" s="20">
        <f>+GETPIVOTDATA("Suma de III trimestre_millones",$A$16,"Año",2016)</f>
        <v>948205.88978356007</v>
      </c>
      <c r="E73" s="23">
        <f t="shared" si="0"/>
        <v>5.7647074072018301E-2</v>
      </c>
      <c r="F73">
        <v>0</v>
      </c>
      <c r="G73" s="21" t="s">
        <v>823</v>
      </c>
      <c r="H73" s="24">
        <v>-4.36859055516442E-2</v>
      </c>
    </row>
    <row r="74" spans="2:15" x14ac:dyDescent="0.25">
      <c r="B74" s="5">
        <v>2016</v>
      </c>
      <c r="C74" s="5" t="s">
        <v>824</v>
      </c>
      <c r="D74" s="20">
        <f>+GETPIVOTDATA("Suma de IV trimestre_millones",$A$16,"Año",2016)</f>
        <v>1225518.2298717101</v>
      </c>
      <c r="E74" s="23">
        <f t="shared" si="0"/>
        <v>5.8571030930584245E-2</v>
      </c>
      <c r="F74">
        <v>0</v>
      </c>
      <c r="G74" s="21" t="s">
        <v>824</v>
      </c>
      <c r="H74" s="24">
        <v>0.1658743864144121</v>
      </c>
    </row>
    <row r="75" spans="2:15" x14ac:dyDescent="0.25">
      <c r="B75" s="5">
        <v>2017</v>
      </c>
      <c r="C75" s="5" t="s">
        <v>821</v>
      </c>
      <c r="D75" s="20">
        <f>+GETPIVOTDATA("Suma de I trimestre_millones",$A$16,"Año",2017)</f>
        <v>1099050.3539632999</v>
      </c>
      <c r="E75" s="23">
        <f t="shared" si="0"/>
        <v>8.466648330754345E-2</v>
      </c>
      <c r="F75" s="54">
        <v>0</v>
      </c>
      <c r="G75" s="16">
        <v>2018</v>
      </c>
      <c r="H75" s="24">
        <v>8.8753054556787059E-2</v>
      </c>
      <c r="I75" s="54"/>
    </row>
    <row r="76" spans="2:15" x14ac:dyDescent="0.25">
      <c r="B76" s="5">
        <v>2017</v>
      </c>
      <c r="C76" s="5" t="s">
        <v>822</v>
      </c>
      <c r="D76" s="20">
        <f>+GETPIVOTDATA("Suma de II_trimestre_millones",$A$16,"Año",2017)</f>
        <v>1030573.2586859099</v>
      </c>
      <c r="E76" s="23">
        <f t="shared" si="0"/>
        <v>5.0796362495380887E-2</v>
      </c>
      <c r="F76" s="54">
        <v>0</v>
      </c>
      <c r="G76" s="21" t="s">
        <v>821</v>
      </c>
      <c r="H76" s="24">
        <v>5.524987496414302E-2</v>
      </c>
      <c r="I76" s="54"/>
    </row>
    <row r="77" spans="2:15" x14ac:dyDescent="0.25">
      <c r="B77" s="5">
        <v>2017</v>
      </c>
      <c r="C77" s="5" t="s">
        <v>823</v>
      </c>
      <c r="D77" s="20">
        <f>+GETPIVOTDATA("Suma de III trimestre_millones",$A$16,"Año",2017)</f>
        <v>991881.26754806004</v>
      </c>
      <c r="E77" s="23">
        <f t="shared" si="0"/>
        <v>4.6061069895346751E-2</v>
      </c>
      <c r="F77" s="54">
        <v>0</v>
      </c>
      <c r="G77" s="21" t="s">
        <v>822</v>
      </c>
      <c r="H77" s="24">
        <v>1.8400186828407827E-2</v>
      </c>
      <c r="I77" s="54"/>
    </row>
    <row r="78" spans="2:15" x14ac:dyDescent="0.25">
      <c r="B78" s="5">
        <v>2017</v>
      </c>
      <c r="C78" s="5" t="s">
        <v>824</v>
      </c>
      <c r="D78" s="20">
        <f>+GETPIVOTDATA("Suma de IV trimestre_millones",$A$16,"Año",2017)</f>
        <v>1269363.9506429399</v>
      </c>
      <c r="E78" s="23">
        <f t="shared" si="0"/>
        <v>3.5777289723237793E-2</v>
      </c>
      <c r="F78" s="54">
        <v>0</v>
      </c>
      <c r="G78" s="21" t="s">
        <v>823</v>
      </c>
      <c r="H78" s="24">
        <v>0.15448265722727861</v>
      </c>
      <c r="I78" s="54"/>
      <c r="J78" s="95"/>
      <c r="K78" s="95"/>
      <c r="L78" s="95"/>
      <c r="M78" s="54"/>
      <c r="N78" s="95"/>
      <c r="O78" s="95"/>
    </row>
    <row r="79" spans="2:15" x14ac:dyDescent="0.25">
      <c r="B79" s="5">
        <v>2018</v>
      </c>
      <c r="C79" s="5" t="s">
        <v>821</v>
      </c>
      <c r="D79" s="20">
        <f>+GETPIVOTDATA("Suma de I trimestre_millones",$A$16,"Año",2018)</f>
        <v>1114473.9802393599</v>
      </c>
      <c r="E79" s="23">
        <f t="shared" si="0"/>
        <v>1.4033593838936209E-2</v>
      </c>
      <c r="F79" s="54">
        <v>0</v>
      </c>
      <c r="G79" s="21" t="s">
        <v>824</v>
      </c>
      <c r="H79" s="24">
        <v>-0.1393796644630424</v>
      </c>
      <c r="J79" s="54"/>
      <c r="K79" s="54"/>
      <c r="L79" s="17"/>
      <c r="M79" s="17"/>
      <c r="N79" s="17"/>
    </row>
    <row r="80" spans="2:15" x14ac:dyDescent="0.25">
      <c r="B80" s="5">
        <v>2018</v>
      </c>
      <c r="C80" s="5" t="s">
        <v>822</v>
      </c>
      <c r="D80" s="20">
        <f>+GETPIVOTDATA("Suma de II_trimestre_millones",$A$16,"Año",2018)</f>
        <v>1037245.0240286101</v>
      </c>
      <c r="E80" s="23">
        <f t="shared" si="0"/>
        <v>6.4738389886105363E-3</v>
      </c>
      <c r="F80" s="54">
        <v>0</v>
      </c>
      <c r="G80" s="16">
        <v>2019</v>
      </c>
      <c r="H80" s="24">
        <v>0.33161236768300506</v>
      </c>
      <c r="J80" s="54"/>
      <c r="K80" s="54"/>
      <c r="L80" s="17"/>
      <c r="M80" s="54"/>
    </row>
    <row r="81" spans="2:13" x14ac:dyDescent="0.25">
      <c r="B81" s="5">
        <v>2018</v>
      </c>
      <c r="C81" s="5" t="s">
        <v>823</v>
      </c>
      <c r="D81" s="20">
        <f>+GETPIVOTDATA("Suma de III trimestre_millones",$A$16,"Año",2018)</f>
        <v>1005419.67272426</v>
      </c>
      <c r="E81" s="23">
        <f t="shared" si="0"/>
        <v>1.3649219537805291E-2</v>
      </c>
      <c r="F81" s="54">
        <v>0</v>
      </c>
      <c r="G81" s="21" t="s">
        <v>821</v>
      </c>
      <c r="H81" s="24">
        <v>-1.2610038495909914E-2</v>
      </c>
      <c r="J81" s="54"/>
      <c r="K81" s="54"/>
      <c r="L81" s="17"/>
      <c r="M81" s="54"/>
    </row>
    <row r="82" spans="2:13" x14ac:dyDescent="0.25">
      <c r="B82" s="5">
        <v>2018</v>
      </c>
      <c r="C82" s="5" t="s">
        <v>824</v>
      </c>
      <c r="D82" s="20">
        <f>+GETPIVOTDATA("Suma de IV trimestre_millones",$A$16,"Año",2018)</f>
        <v>1409992.9621270499</v>
      </c>
      <c r="E82" s="23">
        <f t="shared" si="0"/>
        <v>0.1107869901401255</v>
      </c>
      <c r="F82" s="54">
        <v>0</v>
      </c>
      <c r="G82" s="21" t="s">
        <v>822</v>
      </c>
      <c r="H82" s="24">
        <v>4.6488155801154729E-2</v>
      </c>
      <c r="J82" s="54"/>
      <c r="K82" s="54"/>
      <c r="L82" s="17"/>
      <c r="M82" s="54"/>
    </row>
    <row r="83" spans="2:13" x14ac:dyDescent="0.25">
      <c r="B83" s="5">
        <v>2019</v>
      </c>
      <c r="C83" s="5" t="s">
        <v>821</v>
      </c>
      <c r="D83" s="20">
        <f>+GETPIVOTDATA("Suma de I trimestre_millones",$A$16,"Año",2019)</f>
        <v>1233481.56506923</v>
      </c>
      <c r="E83" s="23">
        <f t="shared" si="0"/>
        <v>0.10678363689057191</v>
      </c>
      <c r="F83" s="22">
        <v>0</v>
      </c>
      <c r="G83" s="21" t="s">
        <v>823</v>
      </c>
      <c r="H83" s="24">
        <v>1.8696247609626404E-3</v>
      </c>
      <c r="I83" s="17"/>
      <c r="J83" s="17"/>
    </row>
    <row r="84" spans="2:13" x14ac:dyDescent="0.25">
      <c r="B84" s="5">
        <v>2019</v>
      </c>
      <c r="C84" s="5" t="s">
        <v>822</v>
      </c>
      <c r="D84" s="20">
        <f>+GETPIVOTDATA("Suma de II_trimestre_millones",$A$16,"Año",2019)</f>
        <v>1076819.5643988</v>
      </c>
      <c r="E84" s="23">
        <f t="shared" si="0"/>
        <v>3.8153511902601744E-2</v>
      </c>
      <c r="F84" s="54">
        <v>0</v>
      </c>
      <c r="G84" s="21" t="s">
        <v>824</v>
      </c>
      <c r="H84" s="24">
        <v>0.29586462561679761</v>
      </c>
    </row>
    <row r="85" spans="2:13" x14ac:dyDescent="0.25">
      <c r="B85" s="5">
        <v>2019</v>
      </c>
      <c r="C85" s="5" t="s">
        <v>823</v>
      </c>
      <c r="D85" s="20">
        <f>+GETPIVOTDATA("Suma de III trimestre_millones",$A$16,"Año",2019)</f>
        <v>1112065.6758421299</v>
      </c>
      <c r="E85" s="23">
        <f t="shared" si="0"/>
        <v>0.10607113229533738</v>
      </c>
      <c r="F85" s="54">
        <v>0</v>
      </c>
      <c r="G85" s="16">
        <v>2020</v>
      </c>
      <c r="H85" s="24">
        <v>-0.1028616451806329</v>
      </c>
    </row>
    <row r="86" spans="2:13" x14ac:dyDescent="0.25">
      <c r="B86" s="5">
        <v>2019</v>
      </c>
      <c r="C86" s="5" t="s">
        <v>824</v>
      </c>
      <c r="D86" s="20">
        <f>+GETPIVOTDATA("Suma de IV trimestre_millones",$A$16,"Año",2019)</f>
        <v>1467202.9105367099</v>
      </c>
      <c r="E86" s="23">
        <f t="shared" si="0"/>
        <v>4.0574634020410727E-2</v>
      </c>
      <c r="F86" s="54">
        <v>0</v>
      </c>
      <c r="G86" s="21" t="s">
        <v>821</v>
      </c>
      <c r="H86" s="24">
        <v>-0.1028616451806329</v>
      </c>
      <c r="I86" s="96"/>
    </row>
    <row r="87" spans="2:13" x14ac:dyDescent="0.25">
      <c r="B87" s="5">
        <v>2020</v>
      </c>
      <c r="C87" s="5" t="s">
        <v>821</v>
      </c>
      <c r="D87" s="20">
        <f>+GETPIVOTDATA("Suma de I trimestre_millones",$A$16,"Año",2020)</f>
        <v>1291680.0698369199</v>
      </c>
      <c r="E87" s="23">
        <f>+D87/D83-1</f>
        <v>4.7182306096664961E-2</v>
      </c>
      <c r="G87" s="16" t="s">
        <v>795</v>
      </c>
      <c r="H87" s="30">
        <v>3.4216502852505193</v>
      </c>
      <c r="I87" s="96"/>
    </row>
    <row r="88" spans="2:13" x14ac:dyDescent="0.25">
      <c r="B88" s="5">
        <v>2020</v>
      </c>
      <c r="C88" s="5" t="s">
        <v>822</v>
      </c>
      <c r="D88" s="20">
        <f>+GETPIVOTDATA("Suma de II_trimestre_millones",$A$16,"Año",2020)</f>
        <v>749867.00562972995</v>
      </c>
      <c r="E88" s="23">
        <f t="shared" ref="E88:E90" si="1">+D88/D84-1</f>
        <v>-0.30362798892088405</v>
      </c>
      <c r="F88" s="54"/>
      <c r="I88" s="96"/>
    </row>
    <row r="89" spans="2:13" x14ac:dyDescent="0.25">
      <c r="B89" s="5">
        <v>2020</v>
      </c>
      <c r="C89" s="5" t="s">
        <v>823</v>
      </c>
      <c r="D89" s="20">
        <f>+GETPIVOTDATA("Suma de III trimestre_millones",$A$16,"Año",2020)</f>
        <v>988595.75557493989</v>
      </c>
      <c r="E89" s="23">
        <f t="shared" si="1"/>
        <v>-0.11102754356094158</v>
      </c>
      <c r="I89" s="96"/>
    </row>
    <row r="90" spans="2:13" x14ac:dyDescent="0.25">
      <c r="B90" s="5">
        <v>2020</v>
      </c>
      <c r="C90" s="5" t="s">
        <v>824</v>
      </c>
      <c r="D90" s="20">
        <f>+GETPIVOTDATA("Suma de IV trimestre_millones",$A$16,"Año",2020)</f>
        <v>692816.60050336982</v>
      </c>
      <c r="E90" s="23">
        <f t="shared" si="1"/>
        <v>-0.52779769210658523</v>
      </c>
      <c r="F90" s="77"/>
    </row>
  </sheetData>
  <mergeCells count="5">
    <mergeCell ref="A1:D1"/>
    <mergeCell ref="A2:D2"/>
    <mergeCell ref="A3:D3"/>
    <mergeCell ref="A4:D4"/>
    <mergeCell ref="A5:D5"/>
  </mergeCells>
  <pageMargins left="0.7" right="0.7" top="0.75" bottom="0.75" header="0.3" footer="0.3"/>
  <pageSetup paperSize="9" orientation="portrait" horizontalDpi="0" verticalDpi="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P204"/>
  <sheetViews>
    <sheetView topLeftCell="A34" zoomScale="80" zoomScaleNormal="80" workbookViewId="0">
      <selection activeCell="G205" sqref="G205"/>
    </sheetView>
  </sheetViews>
  <sheetFormatPr baseColWidth="10" defaultRowHeight="15" x14ac:dyDescent="0.25"/>
  <cols>
    <col min="1" max="1" width="18.42578125" customWidth="1"/>
    <col min="2" max="2" width="23.5703125" customWidth="1"/>
    <col min="3" max="13" width="20.5703125" customWidth="1"/>
    <col min="14" max="14" width="23.140625" customWidth="1"/>
    <col min="15" max="15" width="24" customWidth="1"/>
  </cols>
  <sheetData>
    <row r="1" spans="1:14" x14ac:dyDescent="0.25">
      <c r="A1" s="198" t="s">
        <v>1098</v>
      </c>
      <c r="B1" s="199"/>
      <c r="C1" s="199"/>
      <c r="D1" s="200"/>
    </row>
    <row r="2" spans="1:14" x14ac:dyDescent="0.25">
      <c r="A2" s="201" t="s">
        <v>1099</v>
      </c>
      <c r="B2" s="202"/>
      <c r="C2" s="202"/>
      <c r="D2" s="203"/>
    </row>
    <row r="3" spans="1:14" x14ac:dyDescent="0.25">
      <c r="A3" s="201" t="s">
        <v>1100</v>
      </c>
      <c r="B3" s="202"/>
      <c r="C3" s="202"/>
      <c r="D3" s="203"/>
    </row>
    <row r="4" spans="1:14" x14ac:dyDescent="0.25">
      <c r="A4" s="201" t="s">
        <v>1269</v>
      </c>
      <c r="B4" s="202"/>
      <c r="C4" s="202"/>
      <c r="D4" s="203"/>
    </row>
    <row r="5" spans="1:14" x14ac:dyDescent="0.25">
      <c r="A5" s="201" t="s">
        <v>1101</v>
      </c>
      <c r="B5" s="202"/>
      <c r="C5" s="202"/>
      <c r="D5" s="203"/>
    </row>
    <row r="6" spans="1:14" x14ac:dyDescent="0.25">
      <c r="A6" s="36"/>
      <c r="B6" s="37"/>
      <c r="C6" s="37"/>
      <c r="D6" s="38"/>
    </row>
    <row r="7" spans="1:14" x14ac:dyDescent="0.25">
      <c r="A7" s="15" t="s">
        <v>540</v>
      </c>
      <c r="B7" t="s">
        <v>55</v>
      </c>
    </row>
    <row r="8" spans="1:14" x14ac:dyDescent="0.25">
      <c r="A8" s="15" t="s">
        <v>539</v>
      </c>
      <c r="B8" t="s">
        <v>232</v>
      </c>
    </row>
    <row r="9" spans="1:14" x14ac:dyDescent="0.25">
      <c r="A9" s="15" t="s">
        <v>538</v>
      </c>
      <c r="B9" t="s">
        <v>793</v>
      </c>
    </row>
    <row r="10" spans="1:14" x14ac:dyDescent="0.25">
      <c r="A10" s="15" t="s">
        <v>537</v>
      </c>
      <c r="B10" t="s">
        <v>793</v>
      </c>
    </row>
    <row r="11" spans="1:14" x14ac:dyDescent="0.25">
      <c r="A11" s="15" t="s">
        <v>536</v>
      </c>
      <c r="B11" t="s">
        <v>793</v>
      </c>
    </row>
    <row r="12" spans="1:14" x14ac:dyDescent="0.25">
      <c r="A12" s="15" t="s">
        <v>535</v>
      </c>
      <c r="B12" t="s">
        <v>793</v>
      </c>
    </row>
    <row r="13" spans="1:14" x14ac:dyDescent="0.25">
      <c r="A13" s="15" t="s">
        <v>534</v>
      </c>
      <c r="B13" t="s">
        <v>793</v>
      </c>
    </row>
    <row r="14" spans="1:14" x14ac:dyDescent="0.25">
      <c r="A14" s="15" t="s">
        <v>541</v>
      </c>
      <c r="B14" t="s">
        <v>793</v>
      </c>
    </row>
    <row r="16" spans="1:14" x14ac:dyDescent="0.25">
      <c r="A16" s="15" t="s">
        <v>794</v>
      </c>
      <c r="B16" t="s">
        <v>796</v>
      </c>
      <c r="C16" t="s">
        <v>797</v>
      </c>
      <c r="D16" t="s">
        <v>798</v>
      </c>
      <c r="E16" t="s">
        <v>807</v>
      </c>
      <c r="F16" t="s">
        <v>799</v>
      </c>
      <c r="G16" t="s">
        <v>800</v>
      </c>
      <c r="H16" t="s">
        <v>801</v>
      </c>
      <c r="I16" t="s">
        <v>802</v>
      </c>
      <c r="J16" t="s">
        <v>803</v>
      </c>
      <c r="K16" t="s">
        <v>804</v>
      </c>
      <c r="L16" t="s">
        <v>805</v>
      </c>
      <c r="M16" t="s">
        <v>806</v>
      </c>
      <c r="N16" s="97"/>
    </row>
    <row r="17" spans="1:16" x14ac:dyDescent="0.25">
      <c r="A17" s="16">
        <v>2007</v>
      </c>
      <c r="B17" s="17">
        <v>166413106592.45999</v>
      </c>
      <c r="C17" s="17">
        <v>130637062419.18004</v>
      </c>
      <c r="D17" s="17">
        <v>185830187991.25998</v>
      </c>
      <c r="E17" s="17">
        <v>154728905374.43002</v>
      </c>
      <c r="F17" s="17">
        <v>141432413704.65002</v>
      </c>
      <c r="G17" s="17">
        <v>149769277342.32001</v>
      </c>
      <c r="H17" s="17">
        <v>173097204368.04001</v>
      </c>
      <c r="I17" s="17">
        <v>142732287856.02002</v>
      </c>
      <c r="J17" s="17">
        <v>149542574754.20999</v>
      </c>
      <c r="K17" s="17">
        <v>187977973128.60001</v>
      </c>
      <c r="L17" s="17">
        <v>162792407735.73996</v>
      </c>
      <c r="M17" s="17">
        <v>283988423604.59998</v>
      </c>
      <c r="N17" s="17"/>
      <c r="O17" s="17"/>
      <c r="P17" s="119"/>
    </row>
    <row r="18" spans="1:16" x14ac:dyDescent="0.25">
      <c r="A18" s="16">
        <v>2008</v>
      </c>
      <c r="B18" s="17">
        <v>192888563839.37</v>
      </c>
      <c r="C18" s="17">
        <v>166421404345.97995</v>
      </c>
      <c r="D18" s="17">
        <v>247832237031.07999</v>
      </c>
      <c r="E18" s="17">
        <v>221351559061.85001</v>
      </c>
      <c r="F18" s="17">
        <v>164942380165.97006</v>
      </c>
      <c r="G18" s="17">
        <v>180473976670.19992</v>
      </c>
      <c r="H18" s="17">
        <v>225263637883.85001</v>
      </c>
      <c r="I18" s="17">
        <v>167709442153.84998</v>
      </c>
      <c r="J18" s="17">
        <v>184139161592.53003</v>
      </c>
      <c r="K18" s="17">
        <v>217131498349.14999</v>
      </c>
      <c r="L18" s="17">
        <v>157590845126.87009</v>
      </c>
      <c r="M18" s="17">
        <v>282833918897.5</v>
      </c>
      <c r="N18" s="17"/>
      <c r="O18" s="17"/>
      <c r="P18" s="119"/>
    </row>
    <row r="19" spans="1:16" x14ac:dyDescent="0.25">
      <c r="A19" s="16">
        <v>2009</v>
      </c>
      <c r="B19" s="17">
        <v>198030678159.13995</v>
      </c>
      <c r="C19" s="17">
        <v>152881211304.64001</v>
      </c>
      <c r="D19" s="17">
        <v>226933241074.79001</v>
      </c>
      <c r="E19" s="17">
        <v>173185144181.96997</v>
      </c>
      <c r="F19" s="17">
        <v>146450968349.03998</v>
      </c>
      <c r="G19" s="17">
        <v>168480050347.28006</v>
      </c>
      <c r="H19" s="17">
        <v>208257254793.47998</v>
      </c>
      <c r="I19" s="17">
        <v>150332889045.20004</v>
      </c>
      <c r="J19" s="17">
        <v>178549802802.47998</v>
      </c>
      <c r="K19" s="17">
        <v>203499867927.85995</v>
      </c>
      <c r="L19" s="17">
        <v>162175920353.94003</v>
      </c>
      <c r="M19" s="17">
        <v>293512914884.84009</v>
      </c>
      <c r="N19" s="17"/>
      <c r="O19" s="17"/>
      <c r="P19" s="119"/>
    </row>
    <row r="20" spans="1:16" x14ac:dyDescent="0.25">
      <c r="A20" s="16">
        <v>2010</v>
      </c>
      <c r="B20" s="17">
        <v>201182242362.67007</v>
      </c>
      <c r="C20" s="17">
        <v>156243480860.4201</v>
      </c>
      <c r="D20" s="17">
        <v>261319918859.0701</v>
      </c>
      <c r="E20" s="17">
        <v>176711330102.23001</v>
      </c>
      <c r="F20" s="17">
        <v>164717016384.63007</v>
      </c>
      <c r="G20" s="17">
        <v>205127044588.92007</v>
      </c>
      <c r="H20" s="17">
        <v>194379535613.12003</v>
      </c>
      <c r="I20" s="17">
        <v>172359437535.27997</v>
      </c>
      <c r="J20" s="17">
        <v>231262777457.60999</v>
      </c>
      <c r="K20" s="17">
        <v>197428490682.34003</v>
      </c>
      <c r="L20" s="17">
        <v>185419142398.91998</v>
      </c>
      <c r="M20" s="17">
        <v>345501648701.84003</v>
      </c>
      <c r="N20" s="17"/>
      <c r="O20" s="17"/>
      <c r="P20" s="119"/>
    </row>
    <row r="21" spans="1:16" x14ac:dyDescent="0.25">
      <c r="A21" s="16">
        <v>2011</v>
      </c>
      <c r="B21" s="17">
        <v>204125487552.86996</v>
      </c>
      <c r="C21" s="17">
        <v>171540105737.41998</v>
      </c>
      <c r="D21" s="17">
        <v>260213881923.81003</v>
      </c>
      <c r="E21" s="17">
        <v>200717296520.76001</v>
      </c>
      <c r="F21" s="17">
        <v>181516340028.07993</v>
      </c>
      <c r="G21" s="17">
        <v>257330366051.33002</v>
      </c>
      <c r="H21" s="17">
        <v>199039718324.85004</v>
      </c>
      <c r="I21" s="17">
        <v>196483633656.75998</v>
      </c>
      <c r="J21" s="17">
        <v>256506666234.42999</v>
      </c>
      <c r="K21" s="17">
        <v>205328557758.55005</v>
      </c>
      <c r="L21" s="17">
        <v>212757127103.90988</v>
      </c>
      <c r="M21" s="17">
        <v>423773731425.15997</v>
      </c>
      <c r="N21" s="17"/>
      <c r="O21" s="17"/>
      <c r="P21" s="119"/>
    </row>
    <row r="22" spans="1:16" x14ac:dyDescent="0.25">
      <c r="A22" s="16">
        <v>2012</v>
      </c>
      <c r="B22" s="17">
        <v>227157951183.03998</v>
      </c>
      <c r="C22" s="17">
        <v>185412398173.04996</v>
      </c>
      <c r="D22" s="17">
        <v>305618662721.17017</v>
      </c>
      <c r="E22" s="17">
        <v>210588816448.71002</v>
      </c>
      <c r="F22" s="17">
        <v>220598864201.06</v>
      </c>
      <c r="G22" s="17">
        <v>275872715727.67004</v>
      </c>
      <c r="H22" s="17">
        <v>215947154566.69992</v>
      </c>
      <c r="I22" s="17">
        <v>203664940370.93997</v>
      </c>
      <c r="J22" s="17">
        <v>279408024113.06995</v>
      </c>
      <c r="K22" s="17">
        <v>222141670845.63998</v>
      </c>
      <c r="L22" s="17">
        <v>229260026201.52002</v>
      </c>
      <c r="M22" s="17">
        <v>432250990161.73993</v>
      </c>
      <c r="N22" s="17"/>
      <c r="O22" s="17"/>
      <c r="P22" s="119"/>
    </row>
    <row r="23" spans="1:16" x14ac:dyDescent="0.25">
      <c r="A23" s="16">
        <v>2013</v>
      </c>
      <c r="B23" s="17">
        <v>250360150464.03</v>
      </c>
      <c r="C23" s="17">
        <v>232209812950.87006</v>
      </c>
      <c r="D23" s="17">
        <v>317725881116.13</v>
      </c>
      <c r="E23" s="17">
        <v>247510351446.70996</v>
      </c>
      <c r="F23" s="17">
        <v>212876300248.79001</v>
      </c>
      <c r="G23" s="17">
        <v>287917144769.07001</v>
      </c>
      <c r="H23" s="17">
        <v>255512775129.06003</v>
      </c>
      <c r="I23" s="17">
        <v>218786279255.13998</v>
      </c>
      <c r="J23" s="17">
        <v>298722890610.70996</v>
      </c>
      <c r="K23" s="17">
        <v>251521232460.92001</v>
      </c>
      <c r="L23" s="17">
        <v>236723941037.69995</v>
      </c>
      <c r="M23" s="17">
        <v>482442081789.67993</v>
      </c>
      <c r="N23" s="17"/>
      <c r="O23" s="17"/>
      <c r="P23" s="119"/>
    </row>
    <row r="24" spans="1:16" x14ac:dyDescent="0.25">
      <c r="A24" s="16">
        <v>2014</v>
      </c>
      <c r="B24" s="17">
        <v>274155135531.79004</v>
      </c>
      <c r="C24" s="17">
        <v>230660033237.29999</v>
      </c>
      <c r="D24" s="17">
        <v>346225815145.28998</v>
      </c>
      <c r="E24" s="17">
        <v>281705580262.70001</v>
      </c>
      <c r="F24" s="17">
        <v>233846507399.95999</v>
      </c>
      <c r="G24" s="17">
        <v>307525011818.74994</v>
      </c>
      <c r="H24" s="17">
        <v>260237241275.96997</v>
      </c>
      <c r="I24" s="17">
        <v>232911660935.10999</v>
      </c>
      <c r="J24" s="17">
        <v>328025410780.56995</v>
      </c>
      <c r="K24" s="17">
        <v>264871586222.80002</v>
      </c>
      <c r="L24" s="17">
        <v>256825903691.15002</v>
      </c>
      <c r="M24" s="17">
        <v>505452605288.14001</v>
      </c>
      <c r="N24" s="17"/>
      <c r="O24" s="17"/>
      <c r="P24" s="119"/>
    </row>
    <row r="25" spans="1:16" x14ac:dyDescent="0.25">
      <c r="A25" s="16">
        <v>2015</v>
      </c>
      <c r="B25" s="17">
        <v>295184560584.12</v>
      </c>
      <c r="C25" s="17">
        <v>255560150694.95004</v>
      </c>
      <c r="D25" s="17">
        <v>396312065840.20996</v>
      </c>
      <c r="E25" s="17">
        <v>276203473118.89001</v>
      </c>
      <c r="F25" s="17">
        <v>242031013391.62997</v>
      </c>
      <c r="G25" s="17">
        <v>342387978699.25</v>
      </c>
      <c r="H25" s="17">
        <v>280614371879.58002</v>
      </c>
      <c r="I25" s="17">
        <v>267710195389.91</v>
      </c>
      <c r="J25" s="17">
        <v>348199342292.2301</v>
      </c>
      <c r="K25" s="17">
        <v>285723088094.75</v>
      </c>
      <c r="L25" s="17">
        <v>299173010463.96002</v>
      </c>
      <c r="M25" s="17">
        <v>572813865216.1001</v>
      </c>
      <c r="N25" s="17"/>
      <c r="O25" s="17"/>
      <c r="P25" s="119"/>
    </row>
    <row r="26" spans="1:16" x14ac:dyDescent="0.25">
      <c r="A26" s="16">
        <v>2016</v>
      </c>
      <c r="B26" s="17">
        <v>317229199475.97998</v>
      </c>
      <c r="C26" s="17">
        <v>276099392802.90002</v>
      </c>
      <c r="D26" s="17">
        <v>419932507678.67999</v>
      </c>
      <c r="E26" s="17">
        <v>315286741338.87006</v>
      </c>
      <c r="F26" s="17">
        <v>271137592421.00003</v>
      </c>
      <c r="G26" s="17">
        <v>394330163941.81006</v>
      </c>
      <c r="H26" s="17">
        <v>297827704962.25995</v>
      </c>
      <c r="I26" s="17">
        <v>266598106437.24002</v>
      </c>
      <c r="J26" s="17">
        <v>383780078384.06006</v>
      </c>
      <c r="K26" s="17">
        <v>311661497291.60004</v>
      </c>
      <c r="L26" s="17">
        <v>315676559718.41998</v>
      </c>
      <c r="M26" s="17">
        <v>598180172861.68994</v>
      </c>
      <c r="N26" s="17"/>
      <c r="O26" s="17"/>
      <c r="P26" s="119"/>
    </row>
    <row r="27" spans="1:16" x14ac:dyDescent="0.25">
      <c r="A27" s="16">
        <v>2017</v>
      </c>
      <c r="B27" s="17">
        <v>343836014845.53992</v>
      </c>
      <c r="C27" s="17">
        <v>280392279972.29999</v>
      </c>
      <c r="D27" s="17">
        <v>474822059145.46002</v>
      </c>
      <c r="E27" s="17">
        <v>306436207133.71002</v>
      </c>
      <c r="F27" s="17">
        <v>300587597761.12994</v>
      </c>
      <c r="G27" s="17">
        <v>423549453791.07001</v>
      </c>
      <c r="H27" s="17">
        <v>291373542911.82001</v>
      </c>
      <c r="I27" s="17">
        <v>284514930615.25006</v>
      </c>
      <c r="J27" s="17">
        <v>415992794020.99005</v>
      </c>
      <c r="K27" s="17">
        <v>309435440716.63</v>
      </c>
      <c r="L27" s="17">
        <v>332454415156.19</v>
      </c>
      <c r="M27" s="17">
        <v>627474094770.12</v>
      </c>
      <c r="N27" s="17"/>
      <c r="O27" s="17"/>
      <c r="P27" s="119"/>
    </row>
    <row r="28" spans="1:16" x14ac:dyDescent="0.25">
      <c r="A28" s="16">
        <v>2018</v>
      </c>
      <c r="B28" s="17">
        <v>374171218049.09998</v>
      </c>
      <c r="C28" s="17">
        <v>278293190741.60999</v>
      </c>
      <c r="D28" s="17">
        <v>462009571448.65002</v>
      </c>
      <c r="E28" s="17">
        <v>350885506249.38</v>
      </c>
      <c r="F28" s="17">
        <v>268299827205.63995</v>
      </c>
      <c r="G28" s="17">
        <v>418059690573.59003</v>
      </c>
      <c r="H28" s="17">
        <v>326698737843.93994</v>
      </c>
      <c r="I28" s="17">
        <v>280039396552.37</v>
      </c>
      <c r="J28" s="17">
        <v>398681538327.95007</v>
      </c>
      <c r="K28" s="17">
        <v>338750292108.09998</v>
      </c>
      <c r="L28" s="17">
        <v>341343941462.31</v>
      </c>
      <c r="M28" s="17">
        <v>729898728556.64001</v>
      </c>
      <c r="N28" s="17"/>
      <c r="O28" s="17"/>
      <c r="P28" s="119"/>
    </row>
    <row r="29" spans="1:16" x14ac:dyDescent="0.25">
      <c r="A29" s="16">
        <v>2019</v>
      </c>
      <c r="B29" s="17">
        <v>455189582051.52997</v>
      </c>
      <c r="C29" s="17">
        <v>303736847845.47003</v>
      </c>
      <c r="D29" s="17">
        <v>474555135172.23004</v>
      </c>
      <c r="E29" s="17">
        <v>348911494293.27002</v>
      </c>
      <c r="F29" s="17">
        <v>305368958623.01001</v>
      </c>
      <c r="G29" s="17">
        <v>422539111482.51996</v>
      </c>
      <c r="H29" s="17">
        <v>325187198775.26001</v>
      </c>
      <c r="I29" s="17">
        <v>337328098790.13</v>
      </c>
      <c r="J29" s="17">
        <v>449550378276.73993</v>
      </c>
      <c r="K29" s="17">
        <v>414811521293.09003</v>
      </c>
      <c r="L29" s="17">
        <v>367570250379.71997</v>
      </c>
      <c r="M29" s="17">
        <v>684821138863.90002</v>
      </c>
    </row>
    <row r="30" spans="1:16" x14ac:dyDescent="0.25">
      <c r="A30" s="16">
        <v>2020</v>
      </c>
      <c r="B30" s="17">
        <v>442684394646.52997</v>
      </c>
      <c r="C30" s="17">
        <v>352575219607.16998</v>
      </c>
      <c r="D30" s="17">
        <v>496420455583.21997</v>
      </c>
      <c r="E30" s="17">
        <v>267112783880.09998</v>
      </c>
      <c r="F30" s="17">
        <v>213855805763.61996</v>
      </c>
      <c r="G30" s="17">
        <v>268898415986.01004</v>
      </c>
      <c r="H30" s="17">
        <v>292719840713.69995</v>
      </c>
      <c r="I30" s="17">
        <v>295586958971.72998</v>
      </c>
      <c r="J30" s="17">
        <v>400288955889.50995</v>
      </c>
      <c r="K30" s="17">
        <v>346955942199.33997</v>
      </c>
      <c r="L30" s="17">
        <v>327012109592.53992</v>
      </c>
      <c r="M30" s="17">
        <v>18848548711.490002</v>
      </c>
    </row>
    <row r="31" spans="1:16" x14ac:dyDescent="0.25">
      <c r="A31" s="16" t="s">
        <v>795</v>
      </c>
      <c r="B31" s="17">
        <v>3942608285338.1699</v>
      </c>
      <c r="C31" s="17">
        <v>3172662590693.2598</v>
      </c>
      <c r="D31" s="17">
        <v>4875751620731.0498</v>
      </c>
      <c r="E31" s="17">
        <v>3531335189413.5801</v>
      </c>
      <c r="F31" s="17">
        <v>3067661585648.21</v>
      </c>
      <c r="G31" s="17">
        <v>4102260401789.7905</v>
      </c>
      <c r="H31" s="17">
        <v>3546155919041.6299</v>
      </c>
      <c r="I31" s="17">
        <v>3216758257564.9297</v>
      </c>
      <c r="J31" s="17">
        <v>4302650395537.0898</v>
      </c>
      <c r="K31" s="17">
        <v>3757238659079.3696</v>
      </c>
      <c r="L31" s="17">
        <v>3586775600422.8896</v>
      </c>
      <c r="M31" s="17">
        <v>6281792863733.4404</v>
      </c>
      <c r="P31" s="120"/>
    </row>
    <row r="35" spans="1:13" x14ac:dyDescent="0.25">
      <c r="A35" s="204" t="s">
        <v>810</v>
      </c>
      <c r="B35" s="205"/>
      <c r="C35" s="205"/>
      <c r="E35" s="205" t="s">
        <v>955</v>
      </c>
      <c r="F35" s="205"/>
      <c r="G35" s="205"/>
    </row>
    <row r="36" spans="1:13" x14ac:dyDescent="0.25">
      <c r="A36" s="19" t="s">
        <v>542</v>
      </c>
      <c r="B36" s="19" t="s">
        <v>808</v>
      </c>
      <c r="C36" s="19" t="s">
        <v>809</v>
      </c>
      <c r="E36" s="19" t="s">
        <v>542</v>
      </c>
      <c r="F36" s="19" t="s">
        <v>808</v>
      </c>
      <c r="G36" s="19" t="s">
        <v>955</v>
      </c>
    </row>
    <row r="37" spans="1:13" x14ac:dyDescent="0.25">
      <c r="A37" s="5">
        <v>2007</v>
      </c>
      <c r="B37" s="9" t="s">
        <v>532</v>
      </c>
      <c r="C37" s="18">
        <f>+GETPIVOTDATA("Suma de Enero",$A$15,"Año",2007)</f>
        <v>166413106592.45999</v>
      </c>
      <c r="E37" s="5">
        <v>2007</v>
      </c>
      <c r="F37" s="9" t="s">
        <v>532</v>
      </c>
      <c r="G37" s="23">
        <f t="shared" ref="G37:G48" si="0">+C37/SUM($C$37:$C$48)</f>
        <v>8.2019654064255237E-2</v>
      </c>
    </row>
    <row r="38" spans="1:13" x14ac:dyDescent="0.25">
      <c r="A38" s="5">
        <v>2007</v>
      </c>
      <c r="B38" s="9" t="s">
        <v>531</v>
      </c>
      <c r="C38" s="18">
        <f>+GETPIVOTDATA("Suma de Febrero",$A$15,"Año",2007)</f>
        <v>130637062419.18004</v>
      </c>
      <c r="E38" s="5">
        <v>2007</v>
      </c>
      <c r="F38" s="9" t="s">
        <v>531</v>
      </c>
      <c r="G38" s="23">
        <f t="shared" si="0"/>
        <v>6.4386795529464275E-2</v>
      </c>
      <c r="I38" s="206" t="s">
        <v>957</v>
      </c>
      <c r="J38" s="206"/>
      <c r="L38" s="206" t="s">
        <v>956</v>
      </c>
      <c r="M38" s="206"/>
    </row>
    <row r="39" spans="1:13" x14ac:dyDescent="0.25">
      <c r="A39" s="5">
        <v>2007</v>
      </c>
      <c r="B39" s="9" t="s">
        <v>530</v>
      </c>
      <c r="C39" s="18">
        <f>+GETPIVOTDATA("Suma de Marzo",$A$15,"Año",2007)</f>
        <v>185830187991.25998</v>
      </c>
      <c r="E39" s="5">
        <v>2007</v>
      </c>
      <c r="F39" s="9" t="s">
        <v>530</v>
      </c>
      <c r="G39" s="23">
        <f t="shared" si="0"/>
        <v>9.1589707360401187E-2</v>
      </c>
      <c r="I39" s="15" t="s">
        <v>794</v>
      </c>
      <c r="J39" t="s">
        <v>958</v>
      </c>
    </row>
    <row r="40" spans="1:13" x14ac:dyDescent="0.25">
      <c r="A40" s="5">
        <v>2007</v>
      </c>
      <c r="B40" s="9" t="s">
        <v>529</v>
      </c>
      <c r="C40" s="18">
        <f>+GETPIVOTDATA("Suma de Abril",$A$15,"Año",2007)</f>
        <v>154728905374.43002</v>
      </c>
      <c r="E40" s="5">
        <v>2007</v>
      </c>
      <c r="F40" s="9" t="s">
        <v>529</v>
      </c>
      <c r="G40" s="23">
        <f t="shared" si="0"/>
        <v>7.62608880539139E-2</v>
      </c>
      <c r="I40" s="16">
        <v>2007</v>
      </c>
      <c r="J40" s="24">
        <v>1</v>
      </c>
    </row>
    <row r="41" spans="1:13" x14ac:dyDescent="0.25">
      <c r="A41" s="5">
        <v>2007</v>
      </c>
      <c r="B41" s="9" t="s">
        <v>528</v>
      </c>
      <c r="C41" s="18">
        <f>+GETPIVOTDATA("Suma de Mayo",$A$15,"Año",2007)</f>
        <v>141432413704.65002</v>
      </c>
      <c r="E41" s="5">
        <v>2007</v>
      </c>
      <c r="F41" s="9" t="s">
        <v>528</v>
      </c>
      <c r="G41" s="23">
        <f t="shared" si="0"/>
        <v>6.9707476069998567E-2</v>
      </c>
      <c r="I41" s="21" t="s">
        <v>532</v>
      </c>
      <c r="J41" s="24">
        <v>8.2019654064255237E-2</v>
      </c>
      <c r="L41" s="15" t="s">
        <v>794</v>
      </c>
      <c r="M41" t="s">
        <v>829</v>
      </c>
    </row>
    <row r="42" spans="1:13" x14ac:dyDescent="0.25">
      <c r="A42" s="5">
        <v>2007</v>
      </c>
      <c r="B42" s="9" t="s">
        <v>527</v>
      </c>
      <c r="C42" s="18">
        <f>+GETPIVOTDATA("Suma de Junio",$A$15,"Año",2007)</f>
        <v>149769277342.32001</v>
      </c>
      <c r="E42" s="5">
        <v>2007</v>
      </c>
      <c r="F42" s="9" t="s">
        <v>527</v>
      </c>
      <c r="G42" s="23">
        <f t="shared" si="0"/>
        <v>7.3816447325592824E-2</v>
      </c>
      <c r="I42" s="21" t="s">
        <v>531</v>
      </c>
      <c r="J42" s="24">
        <v>6.4386795529464275E-2</v>
      </c>
      <c r="L42" s="16">
        <v>2007</v>
      </c>
      <c r="M42" s="17">
        <v>107565338625.55</v>
      </c>
    </row>
    <row r="43" spans="1:13" x14ac:dyDescent="0.25">
      <c r="A43" s="5">
        <v>2007</v>
      </c>
      <c r="B43" s="9" t="s">
        <v>526</v>
      </c>
      <c r="C43" s="18">
        <f>+GETPIVOTDATA("Suma de Julio",$A$15,"Año",2007)</f>
        <v>173097204368.04001</v>
      </c>
      <c r="E43" s="5">
        <v>2007</v>
      </c>
      <c r="F43" s="9" t="s">
        <v>526</v>
      </c>
      <c r="G43" s="23">
        <f t="shared" si="0"/>
        <v>8.5314030321693421E-2</v>
      </c>
      <c r="I43" s="21" t="s">
        <v>530</v>
      </c>
      <c r="J43" s="24">
        <v>9.1589707360401187E-2</v>
      </c>
      <c r="L43" s="21" t="s">
        <v>532</v>
      </c>
      <c r="M43" s="17">
        <v>7676233322.3000002</v>
      </c>
    </row>
    <row r="44" spans="1:13" x14ac:dyDescent="0.25">
      <c r="A44" s="5">
        <v>2007</v>
      </c>
      <c r="B44" s="9" t="s">
        <v>525</v>
      </c>
      <c r="C44" s="18">
        <f>+GETPIVOTDATA("Suma de Agosto",$A$15,"Año",2007)</f>
        <v>142732287856.02002</v>
      </c>
      <c r="E44" s="5">
        <v>2007</v>
      </c>
      <c r="F44" s="9" t="s">
        <v>525</v>
      </c>
      <c r="G44" s="23">
        <f t="shared" si="0"/>
        <v>7.0348142123325311E-2</v>
      </c>
      <c r="I44" s="21" t="s">
        <v>529</v>
      </c>
      <c r="J44" s="24">
        <v>7.62608880539139E-2</v>
      </c>
      <c r="L44" s="21" t="s">
        <v>531</v>
      </c>
      <c r="M44" s="17">
        <v>7418780629.4300003</v>
      </c>
    </row>
    <row r="45" spans="1:13" x14ac:dyDescent="0.25">
      <c r="A45" s="5">
        <v>2007</v>
      </c>
      <c r="B45" s="9" t="s">
        <v>524</v>
      </c>
      <c r="C45" s="18">
        <f>+GETPIVOTDATA("Suma de Setiembre",$A$15,"Año",2007)</f>
        <v>149542574754.20999</v>
      </c>
      <c r="E45" s="5">
        <v>2007</v>
      </c>
      <c r="F45" s="9" t="s">
        <v>524</v>
      </c>
      <c r="G45" s="23">
        <f t="shared" si="0"/>
        <v>7.370471293018975E-2</v>
      </c>
      <c r="I45" s="21" t="s">
        <v>528</v>
      </c>
      <c r="J45" s="24">
        <v>6.9707476069998567E-2</v>
      </c>
      <c r="L45" s="21" t="s">
        <v>530</v>
      </c>
      <c r="M45" s="17">
        <v>8407810201.04</v>
      </c>
    </row>
    <row r="46" spans="1:13" x14ac:dyDescent="0.25">
      <c r="A46" s="5">
        <v>2007</v>
      </c>
      <c r="B46" s="9" t="s">
        <v>523</v>
      </c>
      <c r="C46" s="18">
        <f>+GETPIVOTDATA("Suma de Octubre",$A$15,"Año",2007)</f>
        <v>187977973128.60001</v>
      </c>
      <c r="E46" s="5">
        <v>2007</v>
      </c>
      <c r="F46" s="9" t="s">
        <v>523</v>
      </c>
      <c r="G46" s="23">
        <f t="shared" si="0"/>
        <v>9.2648281396882512E-2</v>
      </c>
      <c r="I46" s="21" t="s">
        <v>527</v>
      </c>
      <c r="J46" s="24">
        <v>7.3816447325592824E-2</v>
      </c>
      <c r="L46" s="21" t="s">
        <v>529</v>
      </c>
      <c r="M46" s="17">
        <v>6367698713.5</v>
      </c>
    </row>
    <row r="47" spans="1:13" x14ac:dyDescent="0.25">
      <c r="A47" s="5">
        <v>2007</v>
      </c>
      <c r="B47" s="9" t="s">
        <v>522</v>
      </c>
      <c r="C47" s="18">
        <f>+GETPIVOTDATA("Suma de Noviembre",$A$15,"Año",2007)</f>
        <v>162792407735.73996</v>
      </c>
      <c r="E47" s="5">
        <v>2007</v>
      </c>
      <c r="F47" s="9" t="s">
        <v>522</v>
      </c>
      <c r="G47" s="23">
        <f t="shared" si="0"/>
        <v>8.0235128351227786E-2</v>
      </c>
      <c r="I47" s="21" t="s">
        <v>526</v>
      </c>
      <c r="J47" s="24">
        <v>8.5314030321693421E-2</v>
      </c>
      <c r="L47" s="21" t="s">
        <v>528</v>
      </c>
      <c r="M47" s="17">
        <v>8378000673.9200001</v>
      </c>
    </row>
    <row r="48" spans="1:13" x14ac:dyDescent="0.25">
      <c r="A48" s="5">
        <v>2007</v>
      </c>
      <c r="B48" s="9" t="s">
        <v>521</v>
      </c>
      <c r="C48" s="18">
        <f>+GETPIVOTDATA("Suma de Diciembre",$A$15,"Año",2007)</f>
        <v>283988423604.59998</v>
      </c>
      <c r="E48" s="5">
        <v>2007</v>
      </c>
      <c r="F48" s="9" t="s">
        <v>521</v>
      </c>
      <c r="G48" s="23">
        <f t="shared" si="0"/>
        <v>0.13996873647305513</v>
      </c>
      <c r="I48" s="21" t="s">
        <v>525</v>
      </c>
      <c r="J48" s="24">
        <v>7.0348142123325311E-2</v>
      </c>
      <c r="L48" s="21" t="s">
        <v>527</v>
      </c>
      <c r="M48" s="17">
        <v>7414866520.2600002</v>
      </c>
    </row>
    <row r="49" spans="1:13" x14ac:dyDescent="0.25">
      <c r="A49" s="5">
        <v>2008</v>
      </c>
      <c r="B49" s="9" t="s">
        <v>532</v>
      </c>
      <c r="C49" s="18">
        <f>+GETPIVOTDATA("Suma de Enero",$A$15,"Año",2008)</f>
        <v>192888563839.37</v>
      </c>
      <c r="E49" s="5">
        <v>2008</v>
      </c>
      <c r="F49" s="9" t="s">
        <v>532</v>
      </c>
      <c r="G49" s="23">
        <f t="shared" ref="G49:G60" si="1">+C49/SUM($C$49:$C$60)</f>
        <v>8.0083980580000394E-2</v>
      </c>
      <c r="I49" s="21" t="s">
        <v>524</v>
      </c>
      <c r="J49" s="24">
        <v>7.370471293018975E-2</v>
      </c>
      <c r="L49" s="21" t="s">
        <v>526</v>
      </c>
      <c r="M49" s="17">
        <v>8983368175.7700005</v>
      </c>
    </row>
    <row r="50" spans="1:13" x14ac:dyDescent="0.25">
      <c r="A50" s="5">
        <v>2008</v>
      </c>
      <c r="B50" s="9" t="s">
        <v>531</v>
      </c>
      <c r="C50" s="18">
        <f>+GETPIVOTDATA("Suma de Febrero",$A$15,"Año",2008)</f>
        <v>166421404345.97995</v>
      </c>
      <c r="E50" s="5">
        <v>2008</v>
      </c>
      <c r="F50" s="9" t="s">
        <v>531</v>
      </c>
      <c r="G50" s="23">
        <f t="shared" si="1"/>
        <v>6.9095275782335264E-2</v>
      </c>
      <c r="I50" s="21" t="s">
        <v>523</v>
      </c>
      <c r="J50" s="24">
        <v>9.2648281396882512E-2</v>
      </c>
      <c r="L50" s="21" t="s">
        <v>525</v>
      </c>
      <c r="M50" s="17">
        <v>9633715557.3199997</v>
      </c>
    </row>
    <row r="51" spans="1:13" x14ac:dyDescent="0.25">
      <c r="A51" s="5">
        <v>2008</v>
      </c>
      <c r="B51" s="9" t="s">
        <v>530</v>
      </c>
      <c r="C51" s="18">
        <f>+GETPIVOTDATA("Suma de Marzo",$A$15,"Año",2008)</f>
        <v>247832237031.07999</v>
      </c>
      <c r="E51" s="5">
        <v>2008</v>
      </c>
      <c r="F51" s="9" t="s">
        <v>530</v>
      </c>
      <c r="G51" s="23">
        <f t="shared" si="1"/>
        <v>0.10289563913194559</v>
      </c>
      <c r="I51" s="21" t="s">
        <v>522</v>
      </c>
      <c r="J51" s="24">
        <v>8.0235128351227786E-2</v>
      </c>
      <c r="L51" s="21" t="s">
        <v>524</v>
      </c>
      <c r="M51" s="17">
        <v>8811471536.7299995</v>
      </c>
    </row>
    <row r="52" spans="1:13" x14ac:dyDescent="0.25">
      <c r="A52" s="5">
        <v>2008</v>
      </c>
      <c r="B52" s="9" t="s">
        <v>529</v>
      </c>
      <c r="C52" s="18">
        <f>+GETPIVOTDATA("Suma de Abril",$A$15,"Año",2008)</f>
        <v>221351559061.85001</v>
      </c>
      <c r="E52" s="5">
        <v>2008</v>
      </c>
      <c r="F52" s="9" t="s">
        <v>529</v>
      </c>
      <c r="G52" s="23">
        <f t="shared" si="1"/>
        <v>9.1901321697973326E-2</v>
      </c>
      <c r="I52" s="21" t="s">
        <v>521</v>
      </c>
      <c r="J52" s="24">
        <v>0.13996873647305513</v>
      </c>
      <c r="L52" s="21" t="s">
        <v>523</v>
      </c>
      <c r="M52" s="17">
        <v>11030551897.43</v>
      </c>
    </row>
    <row r="53" spans="1:13" x14ac:dyDescent="0.25">
      <c r="A53" s="5">
        <v>2008</v>
      </c>
      <c r="B53" s="9" t="s">
        <v>528</v>
      </c>
      <c r="C53" s="18">
        <f>+GETPIVOTDATA("Suma de Mayo",$A$15,"Año",2008)</f>
        <v>164942380165.97006</v>
      </c>
      <c r="E53" s="5">
        <v>2008</v>
      </c>
      <c r="F53" s="9" t="s">
        <v>528</v>
      </c>
      <c r="G53" s="23">
        <f t="shared" si="1"/>
        <v>6.8481210638442647E-2</v>
      </c>
      <c r="I53" s="16">
        <v>2008</v>
      </c>
      <c r="J53" s="24">
        <v>0.99999999999999978</v>
      </c>
      <c r="L53" s="21" t="s">
        <v>522</v>
      </c>
      <c r="M53" s="17">
        <v>12560861833.120001</v>
      </c>
    </row>
    <row r="54" spans="1:13" x14ac:dyDescent="0.25">
      <c r="A54" s="5">
        <v>2008</v>
      </c>
      <c r="B54" s="9" t="s">
        <v>527</v>
      </c>
      <c r="C54" s="18">
        <f>+GETPIVOTDATA("Suma de Junio",$A$15,"Año",2008)</f>
        <v>180473976670.19992</v>
      </c>
      <c r="E54" s="5">
        <v>2008</v>
      </c>
      <c r="F54" s="9" t="s">
        <v>527</v>
      </c>
      <c r="G54" s="23">
        <f t="shared" si="1"/>
        <v>7.492965967068782E-2</v>
      </c>
      <c r="I54" s="21" t="s">
        <v>532</v>
      </c>
      <c r="J54" s="24">
        <v>8.0083980580000394E-2</v>
      </c>
      <c r="L54" s="21" t="s">
        <v>521</v>
      </c>
      <c r="M54" s="17">
        <v>10881979564.73</v>
      </c>
    </row>
    <row r="55" spans="1:13" x14ac:dyDescent="0.25">
      <c r="A55" s="5">
        <v>2008</v>
      </c>
      <c r="B55" s="9" t="s">
        <v>526</v>
      </c>
      <c r="C55" s="18">
        <f>+GETPIVOTDATA("Suma de Julio",$A$15,"Año",2008)</f>
        <v>225263637883.85001</v>
      </c>
      <c r="E55" s="5">
        <v>2008</v>
      </c>
      <c r="F55" s="9" t="s">
        <v>526</v>
      </c>
      <c r="G55" s="23">
        <f t="shared" si="1"/>
        <v>9.3525548858840041E-2</v>
      </c>
      <c r="I55" s="21" t="s">
        <v>531</v>
      </c>
      <c r="J55" s="24">
        <v>6.9095275782335264E-2</v>
      </c>
      <c r="L55" s="16">
        <v>2008</v>
      </c>
      <c r="M55" s="17">
        <v>124550335512.35999</v>
      </c>
    </row>
    <row r="56" spans="1:13" x14ac:dyDescent="0.25">
      <c r="A56" s="5">
        <v>2008</v>
      </c>
      <c r="B56" s="9" t="s">
        <v>525</v>
      </c>
      <c r="C56" s="18">
        <f>+GETPIVOTDATA("Suma de Agosto",$A$15,"Año",2008)</f>
        <v>167709442153.84998</v>
      </c>
      <c r="E56" s="5">
        <v>2008</v>
      </c>
      <c r="F56" s="9" t="s">
        <v>525</v>
      </c>
      <c r="G56" s="23">
        <f t="shared" si="1"/>
        <v>6.9630046702594026E-2</v>
      </c>
      <c r="I56" s="21" t="s">
        <v>530</v>
      </c>
      <c r="J56" s="24">
        <v>0.10289563913194559</v>
      </c>
      <c r="L56" s="21" t="s">
        <v>532</v>
      </c>
      <c r="M56" s="17">
        <v>9107334870.6900005</v>
      </c>
    </row>
    <row r="57" spans="1:13" x14ac:dyDescent="0.25">
      <c r="A57" s="5">
        <v>2008</v>
      </c>
      <c r="B57" s="9" t="s">
        <v>524</v>
      </c>
      <c r="C57" s="18">
        <f>+GETPIVOTDATA("Suma de Setiembre",$A$15,"Año",2008)</f>
        <v>184139161592.53003</v>
      </c>
      <c r="E57" s="5">
        <v>2008</v>
      </c>
      <c r="F57" s="9" t="s">
        <v>524</v>
      </c>
      <c r="G57" s="23">
        <f t="shared" si="1"/>
        <v>7.6451380773792862E-2</v>
      </c>
      <c r="I57" s="21" t="s">
        <v>529</v>
      </c>
      <c r="J57" s="24">
        <v>9.1901321697973326E-2</v>
      </c>
      <c r="L57" s="21" t="s">
        <v>531</v>
      </c>
      <c r="M57" s="17">
        <v>8743688602.0799999</v>
      </c>
    </row>
    <row r="58" spans="1:13" x14ac:dyDescent="0.25">
      <c r="A58" s="5">
        <v>2008</v>
      </c>
      <c r="B58" s="9" t="s">
        <v>523</v>
      </c>
      <c r="C58" s="18">
        <f>+GETPIVOTDATA("Suma de Octubre",$A$15,"Año",2008)</f>
        <v>217131498349.14999</v>
      </c>
      <c r="E58" s="5">
        <v>2008</v>
      </c>
      <c r="F58" s="9" t="s">
        <v>523</v>
      </c>
      <c r="G58" s="23">
        <f t="shared" si="1"/>
        <v>9.0149225806774036E-2</v>
      </c>
      <c r="I58" s="21" t="s">
        <v>528</v>
      </c>
      <c r="J58" s="24">
        <v>6.8481210638442647E-2</v>
      </c>
      <c r="L58" s="21" t="s">
        <v>530</v>
      </c>
      <c r="M58" s="17">
        <v>8098969582.8800001</v>
      </c>
    </row>
    <row r="59" spans="1:13" x14ac:dyDescent="0.25">
      <c r="A59" s="5">
        <v>2008</v>
      </c>
      <c r="B59" s="9" t="s">
        <v>522</v>
      </c>
      <c r="C59" s="18">
        <f>+GETPIVOTDATA("Suma de Noviembre",$A$15,"Año",2008)</f>
        <v>157590845126.87009</v>
      </c>
      <c r="E59" s="5">
        <v>2008</v>
      </c>
      <c r="F59" s="9" t="s">
        <v>522</v>
      </c>
      <c r="G59" s="23">
        <f t="shared" si="1"/>
        <v>6.5428981011212112E-2</v>
      </c>
      <c r="I59" s="21" t="s">
        <v>527</v>
      </c>
      <c r="J59" s="24">
        <v>7.492965967068782E-2</v>
      </c>
      <c r="L59" s="21" t="s">
        <v>529</v>
      </c>
      <c r="M59" s="17">
        <v>9579070817.0499992</v>
      </c>
    </row>
    <row r="60" spans="1:13" x14ac:dyDescent="0.25">
      <c r="A60" s="5">
        <v>2008</v>
      </c>
      <c r="B60" s="9" t="s">
        <v>521</v>
      </c>
      <c r="C60" s="18">
        <f>+GETPIVOTDATA("Suma de Diciembre",$A$15,"Año",2008)</f>
        <v>282833918897.5</v>
      </c>
      <c r="E60" s="5">
        <v>2008</v>
      </c>
      <c r="F60" s="9" t="s">
        <v>521</v>
      </c>
      <c r="G60" s="23">
        <f t="shared" si="1"/>
        <v>0.1174277293454018</v>
      </c>
      <c r="I60" s="21" t="s">
        <v>526</v>
      </c>
      <c r="J60" s="24">
        <v>9.3525548858840041E-2</v>
      </c>
      <c r="L60" s="21" t="s">
        <v>528</v>
      </c>
      <c r="M60" s="17">
        <v>9695435264.9200001</v>
      </c>
    </row>
    <row r="61" spans="1:13" x14ac:dyDescent="0.25">
      <c r="A61" s="5">
        <v>2009</v>
      </c>
      <c r="B61" s="9" t="s">
        <v>532</v>
      </c>
      <c r="C61" s="18">
        <f>+GETPIVOTDATA("Suma de Enero",$A$15,"Año",2009)</f>
        <v>198030678159.13995</v>
      </c>
      <c r="E61" s="5">
        <v>2009</v>
      </c>
      <c r="F61" s="9" t="s">
        <v>532</v>
      </c>
      <c r="G61" s="23">
        <f t="shared" ref="G61:G72" si="2">+C61/SUM($C$61:$C$72)</f>
        <v>8.7535498600532058E-2</v>
      </c>
      <c r="I61" s="21" t="s">
        <v>525</v>
      </c>
      <c r="J61" s="24">
        <v>6.9630046702594026E-2</v>
      </c>
      <c r="L61" s="21" t="s">
        <v>527</v>
      </c>
      <c r="M61" s="17">
        <v>9474255754.9899998</v>
      </c>
    </row>
    <row r="62" spans="1:13" x14ac:dyDescent="0.25">
      <c r="A62" s="5">
        <v>2009</v>
      </c>
      <c r="B62" s="9" t="s">
        <v>531</v>
      </c>
      <c r="C62" s="18">
        <f>+GETPIVOTDATA("Suma de Febrero",$A$15,"Año",2009)</f>
        <v>152881211304.64001</v>
      </c>
      <c r="E62" s="5">
        <v>2009</v>
      </c>
      <c r="F62" s="9" t="s">
        <v>531</v>
      </c>
      <c r="G62" s="23">
        <f t="shared" si="2"/>
        <v>6.7578080237904306E-2</v>
      </c>
      <c r="I62" s="21" t="s">
        <v>524</v>
      </c>
      <c r="J62" s="24">
        <v>7.6451380773792862E-2</v>
      </c>
      <c r="L62" s="21" t="s">
        <v>526</v>
      </c>
      <c r="M62" s="17">
        <v>11399396330.75</v>
      </c>
    </row>
    <row r="63" spans="1:13" x14ac:dyDescent="0.25">
      <c r="A63" s="5">
        <v>2009</v>
      </c>
      <c r="B63" s="9" t="s">
        <v>530</v>
      </c>
      <c r="C63" s="18">
        <f>+GETPIVOTDATA("Suma de Marzo",$A$15,"Año",2009)</f>
        <v>226933241074.79001</v>
      </c>
      <c r="E63" s="5">
        <v>2009</v>
      </c>
      <c r="F63" s="9" t="s">
        <v>530</v>
      </c>
      <c r="G63" s="23">
        <f t="shared" si="2"/>
        <v>0.10031129818458204</v>
      </c>
      <c r="I63" s="21" t="s">
        <v>523</v>
      </c>
      <c r="J63" s="24">
        <v>9.0149225806774036E-2</v>
      </c>
      <c r="L63" s="21" t="s">
        <v>525</v>
      </c>
      <c r="M63" s="17">
        <v>11269724936.5</v>
      </c>
    </row>
    <row r="64" spans="1:13" x14ac:dyDescent="0.25">
      <c r="A64" s="5">
        <v>2009</v>
      </c>
      <c r="B64" s="9" t="s">
        <v>529</v>
      </c>
      <c r="C64" s="18">
        <f>+GETPIVOTDATA("Suma de Abril",$A$15,"Año",2009)</f>
        <v>173185144181.96997</v>
      </c>
      <c r="E64" s="5">
        <v>2009</v>
      </c>
      <c r="F64" s="9" t="s">
        <v>529</v>
      </c>
      <c r="G64" s="23">
        <f t="shared" si="2"/>
        <v>7.6553027475829427E-2</v>
      </c>
      <c r="I64" s="21" t="s">
        <v>522</v>
      </c>
      <c r="J64" s="24">
        <v>6.5428981011212112E-2</v>
      </c>
      <c r="L64" s="21" t="s">
        <v>524</v>
      </c>
      <c r="M64" s="17">
        <v>11073887949.799999</v>
      </c>
    </row>
    <row r="65" spans="1:13" x14ac:dyDescent="0.25">
      <c r="A65" s="5">
        <v>2009</v>
      </c>
      <c r="B65" s="9" t="s">
        <v>528</v>
      </c>
      <c r="C65" s="18">
        <f>+GETPIVOTDATA("Suma de Mayo",$A$15,"Año",2009)</f>
        <v>146450968349.03998</v>
      </c>
      <c r="E65" s="5">
        <v>2009</v>
      </c>
      <c r="F65" s="9" t="s">
        <v>528</v>
      </c>
      <c r="G65" s="23">
        <f t="shared" si="2"/>
        <v>6.4735720011330336E-2</v>
      </c>
      <c r="I65" s="21" t="s">
        <v>521</v>
      </c>
      <c r="J65" s="24">
        <v>0.1174277293454018</v>
      </c>
      <c r="L65" s="21" t="s">
        <v>523</v>
      </c>
      <c r="M65" s="17">
        <v>13168101165.09</v>
      </c>
    </row>
    <row r="66" spans="1:13" x14ac:dyDescent="0.25">
      <c r="A66" s="5">
        <v>2009</v>
      </c>
      <c r="B66" s="9" t="s">
        <v>527</v>
      </c>
      <c r="C66" s="18">
        <f>+GETPIVOTDATA("Suma de Junio",$A$15,"Año",2009)</f>
        <v>168480050347.28006</v>
      </c>
      <c r="E66" s="5">
        <v>2009</v>
      </c>
      <c r="F66" s="9" t="s">
        <v>527</v>
      </c>
      <c r="G66" s="23">
        <f t="shared" si="2"/>
        <v>7.447323489717203E-2</v>
      </c>
      <c r="I66" s="16">
        <v>2009</v>
      </c>
      <c r="J66" s="24">
        <v>1</v>
      </c>
      <c r="L66" s="21" t="s">
        <v>522</v>
      </c>
      <c r="M66" s="17">
        <v>11702882829.450001</v>
      </c>
    </row>
    <row r="67" spans="1:13" x14ac:dyDescent="0.25">
      <c r="A67" s="5">
        <v>2009</v>
      </c>
      <c r="B67" s="9" t="s">
        <v>526</v>
      </c>
      <c r="C67" s="18">
        <f>+GETPIVOTDATA("Suma de Julio",$A$15,"Año",2009)</f>
        <v>208257254793.47998</v>
      </c>
      <c r="E67" s="5">
        <v>2009</v>
      </c>
      <c r="F67" s="9" t="s">
        <v>526</v>
      </c>
      <c r="G67" s="23">
        <f t="shared" si="2"/>
        <v>9.2055952163510424E-2</v>
      </c>
      <c r="I67" s="21" t="s">
        <v>532</v>
      </c>
      <c r="J67" s="24">
        <v>8.7535498600532058E-2</v>
      </c>
      <c r="L67" s="21" t="s">
        <v>521</v>
      </c>
      <c r="M67" s="17">
        <v>11237587408.16</v>
      </c>
    </row>
    <row r="68" spans="1:13" x14ac:dyDescent="0.25">
      <c r="A68" s="5">
        <v>2009</v>
      </c>
      <c r="B68" s="9" t="s">
        <v>525</v>
      </c>
      <c r="C68" s="18">
        <f>+GETPIVOTDATA("Suma de Agosto",$A$15,"Año",2009)</f>
        <v>150332889045.20004</v>
      </c>
      <c r="E68" s="5">
        <v>2009</v>
      </c>
      <c r="F68" s="9" t="s">
        <v>525</v>
      </c>
      <c r="G68" s="23">
        <f t="shared" si="2"/>
        <v>6.645164537615196E-2</v>
      </c>
      <c r="I68" s="21" t="s">
        <v>531</v>
      </c>
      <c r="J68" s="24">
        <v>6.7578080237904306E-2</v>
      </c>
      <c r="L68" s="16">
        <v>2009</v>
      </c>
      <c r="M68" s="17">
        <v>97000942557.300003</v>
      </c>
    </row>
    <row r="69" spans="1:13" x14ac:dyDescent="0.25">
      <c r="A69" s="5">
        <v>2009</v>
      </c>
      <c r="B69" s="9" t="s">
        <v>524</v>
      </c>
      <c r="C69" s="18">
        <f>+GETPIVOTDATA("Suma de Setiembre",$A$15,"Año",2009)</f>
        <v>178549802802.47998</v>
      </c>
      <c r="E69" s="5">
        <v>2009</v>
      </c>
      <c r="F69" s="9" t="s">
        <v>524</v>
      </c>
      <c r="G69" s="23">
        <f t="shared" si="2"/>
        <v>7.8924367469881324E-2</v>
      </c>
      <c r="I69" s="21" t="s">
        <v>530</v>
      </c>
      <c r="J69" s="24">
        <v>0.10031129818458204</v>
      </c>
      <c r="L69" s="21" t="s">
        <v>532</v>
      </c>
      <c r="M69" s="17">
        <v>7858932403.2200003</v>
      </c>
    </row>
    <row r="70" spans="1:13" x14ac:dyDescent="0.25">
      <c r="A70" s="5">
        <v>2009</v>
      </c>
      <c r="B70" s="9" t="s">
        <v>523</v>
      </c>
      <c r="C70" s="18">
        <f>+GETPIVOTDATA("Suma de Octubre",$A$15,"Año",2009)</f>
        <v>203499867927.85995</v>
      </c>
      <c r="E70" s="5">
        <v>2009</v>
      </c>
      <c r="F70" s="9" t="s">
        <v>523</v>
      </c>
      <c r="G70" s="23">
        <f t="shared" si="2"/>
        <v>8.9953044496936585E-2</v>
      </c>
      <c r="I70" s="21" t="s">
        <v>529</v>
      </c>
      <c r="J70" s="24">
        <v>7.6553027475829427E-2</v>
      </c>
      <c r="L70" s="21" t="s">
        <v>531</v>
      </c>
      <c r="M70" s="17">
        <v>7453571320.1199999</v>
      </c>
    </row>
    <row r="71" spans="1:13" x14ac:dyDescent="0.25">
      <c r="A71" s="5">
        <v>2009</v>
      </c>
      <c r="B71" s="9" t="s">
        <v>522</v>
      </c>
      <c r="C71" s="18">
        <f>+GETPIVOTDATA("Suma de Noviembre",$A$15,"Año",2009)</f>
        <v>162175920353.94003</v>
      </c>
      <c r="E71" s="5">
        <v>2009</v>
      </c>
      <c r="F71" s="9" t="s">
        <v>522</v>
      </c>
      <c r="G71" s="23">
        <f t="shared" si="2"/>
        <v>7.1686620381990071E-2</v>
      </c>
      <c r="I71" s="21" t="s">
        <v>528</v>
      </c>
      <c r="J71" s="24">
        <v>6.4735720011330336E-2</v>
      </c>
      <c r="L71" s="21" t="s">
        <v>530</v>
      </c>
      <c r="M71" s="17">
        <v>7682392945.96</v>
      </c>
    </row>
    <row r="72" spans="1:13" x14ac:dyDescent="0.25">
      <c r="A72" s="5">
        <v>2009</v>
      </c>
      <c r="B72" s="9" t="s">
        <v>521</v>
      </c>
      <c r="C72" s="18">
        <f>+GETPIVOTDATA("Suma de Diciembre",$A$15,"Año",2009)</f>
        <v>293512914884.84009</v>
      </c>
      <c r="E72" s="5">
        <v>2009</v>
      </c>
      <c r="F72" s="9" t="s">
        <v>521</v>
      </c>
      <c r="G72" s="23">
        <f t="shared" si="2"/>
        <v>0.12974151070417961</v>
      </c>
      <c r="I72" s="21" t="s">
        <v>527</v>
      </c>
      <c r="J72" s="24">
        <v>7.447323489717203E-2</v>
      </c>
      <c r="L72" s="21" t="s">
        <v>529</v>
      </c>
      <c r="M72" s="17">
        <v>6609769442.0200005</v>
      </c>
    </row>
    <row r="73" spans="1:13" x14ac:dyDescent="0.25">
      <c r="A73" s="5">
        <f>+'[1]Graficos montos'!$A$8</f>
        <v>2010</v>
      </c>
      <c r="B73" s="9" t="s">
        <v>532</v>
      </c>
      <c r="C73" s="18">
        <f>+GETPIVOTDATA("Suma de Enero",$A$15,"Año",2010)</f>
        <v>201182242362.67007</v>
      </c>
      <c r="E73" s="5">
        <f>+'[1]Graficos montos'!$A$8</f>
        <v>2010</v>
      </c>
      <c r="F73" s="9" t="s">
        <v>532</v>
      </c>
      <c r="G73" s="23">
        <f t="shared" ref="G73:G84" si="3">+C73/SUM($C$73:$C$84)</f>
        <v>8.0742510218215324E-2</v>
      </c>
      <c r="I73" s="21" t="s">
        <v>526</v>
      </c>
      <c r="J73" s="24">
        <v>9.2055952163510424E-2</v>
      </c>
      <c r="L73" s="21" t="s">
        <v>528</v>
      </c>
      <c r="M73" s="17">
        <v>6861587648.54</v>
      </c>
    </row>
    <row r="74" spans="1:13" x14ac:dyDescent="0.25">
      <c r="A74" s="5">
        <f>+'[1]Graficos montos'!$A$8</f>
        <v>2010</v>
      </c>
      <c r="B74" s="9" t="s">
        <v>531</v>
      </c>
      <c r="C74" s="18">
        <f>+GETPIVOTDATA("Suma de Febrero",$A$15,"Año",2010)</f>
        <v>156243480860.4201</v>
      </c>
      <c r="E74" s="5">
        <f>+'[1]Graficos montos'!$A$8</f>
        <v>2010</v>
      </c>
      <c r="F74" s="9" t="s">
        <v>531</v>
      </c>
      <c r="G74" s="23">
        <f t="shared" si="3"/>
        <v>6.270678118379916E-2</v>
      </c>
      <c r="I74" s="21" t="s">
        <v>525</v>
      </c>
      <c r="J74" s="24">
        <v>6.645164537615196E-2</v>
      </c>
      <c r="L74" s="21" t="s">
        <v>527</v>
      </c>
      <c r="M74" s="17">
        <v>8089590302.9200001</v>
      </c>
    </row>
    <row r="75" spans="1:13" x14ac:dyDescent="0.25">
      <c r="A75" s="5">
        <f>+'[1]Graficos montos'!$A$8</f>
        <v>2010</v>
      </c>
      <c r="B75" s="9" t="s">
        <v>530</v>
      </c>
      <c r="C75" s="18">
        <f>+GETPIVOTDATA("Suma de Marzo",$A$15,"Año",2010)</f>
        <v>261319918859.0701</v>
      </c>
      <c r="E75" s="5">
        <f>+'[1]Graficos montos'!$A$8</f>
        <v>2010</v>
      </c>
      <c r="F75" s="9" t="s">
        <v>530</v>
      </c>
      <c r="G75" s="23">
        <f t="shared" si="3"/>
        <v>0.10487817399244161</v>
      </c>
      <c r="I75" s="21" t="s">
        <v>524</v>
      </c>
      <c r="J75" s="24">
        <v>7.8924367469881324E-2</v>
      </c>
      <c r="L75" s="21" t="s">
        <v>526</v>
      </c>
      <c r="M75" s="17">
        <v>8396831193.04</v>
      </c>
    </row>
    <row r="76" spans="1:13" x14ac:dyDescent="0.25">
      <c r="A76" s="5">
        <f>+'[1]Graficos montos'!$A$8</f>
        <v>2010</v>
      </c>
      <c r="B76" s="9" t="s">
        <v>529</v>
      </c>
      <c r="C76" s="18">
        <f>+GETPIVOTDATA("Suma de Abril",$A$15,"Año",2010)</f>
        <v>176711330102.23001</v>
      </c>
      <c r="E76" s="5">
        <f>+'[1]Graficos montos'!$A$8</f>
        <v>2010</v>
      </c>
      <c r="F76" s="9" t="s">
        <v>529</v>
      </c>
      <c r="G76" s="23">
        <f t="shared" si="3"/>
        <v>7.0921350755861826E-2</v>
      </c>
      <c r="I76" s="21" t="s">
        <v>523</v>
      </c>
      <c r="J76" s="24">
        <v>8.9953044496936585E-2</v>
      </c>
      <c r="L76" s="21" t="s">
        <v>525</v>
      </c>
      <c r="M76" s="17">
        <v>7771649608.3100004</v>
      </c>
    </row>
    <row r="77" spans="1:13" x14ac:dyDescent="0.25">
      <c r="A77" s="5">
        <f>+'[1]Graficos montos'!$A$8</f>
        <v>2010</v>
      </c>
      <c r="B77" s="9" t="s">
        <v>528</v>
      </c>
      <c r="C77" s="18">
        <f>+GETPIVOTDATA("Suma de Mayo",$A$15,"Año",2010)</f>
        <v>164717016384.63007</v>
      </c>
      <c r="E77" s="5">
        <f>+'[1]Graficos montos'!$A$8</f>
        <v>2010</v>
      </c>
      <c r="F77" s="9" t="s">
        <v>528</v>
      </c>
      <c r="G77" s="23">
        <f t="shared" si="3"/>
        <v>6.6107551155408159E-2</v>
      </c>
      <c r="I77" s="21" t="s">
        <v>522</v>
      </c>
      <c r="J77" s="24">
        <v>7.1686620381990071E-2</v>
      </c>
      <c r="L77" s="21" t="s">
        <v>524</v>
      </c>
      <c r="M77" s="17">
        <v>8364029326.5100002</v>
      </c>
    </row>
    <row r="78" spans="1:13" x14ac:dyDescent="0.25">
      <c r="A78" s="5">
        <f>+'[1]Graficos montos'!$A$8</f>
        <v>2010</v>
      </c>
      <c r="B78" s="9" t="s">
        <v>527</v>
      </c>
      <c r="C78" s="18">
        <f>+GETPIVOTDATA("Suma de Junio",$A$15,"Año",2010)</f>
        <v>205127044588.92007</v>
      </c>
      <c r="E78" s="5">
        <f>+'[1]Graficos montos'!$A$8</f>
        <v>2010</v>
      </c>
      <c r="F78" s="9" t="s">
        <v>527</v>
      </c>
      <c r="G78" s="23">
        <f t="shared" si="3"/>
        <v>8.2325717713674335E-2</v>
      </c>
      <c r="I78" s="21" t="s">
        <v>521</v>
      </c>
      <c r="J78" s="24">
        <v>0.12974151070417961</v>
      </c>
      <c r="L78" s="21" t="s">
        <v>523</v>
      </c>
      <c r="M78" s="17">
        <v>9209829246.7399998</v>
      </c>
    </row>
    <row r="79" spans="1:13" x14ac:dyDescent="0.25">
      <c r="A79" s="5">
        <f>+'[1]Graficos montos'!$A$8</f>
        <v>2010</v>
      </c>
      <c r="B79" s="9" t="s">
        <v>526</v>
      </c>
      <c r="C79" s="18">
        <f>+GETPIVOTDATA("Suma de Julio",$A$15,"Año",2010)</f>
        <v>194379535613.12003</v>
      </c>
      <c r="E79" s="5">
        <f>+'[1]Graficos montos'!$A$8</f>
        <v>2010</v>
      </c>
      <c r="F79" s="9" t="s">
        <v>526</v>
      </c>
      <c r="G79" s="23">
        <f t="shared" si="3"/>
        <v>7.8012310908442725E-2</v>
      </c>
      <c r="I79" s="16">
        <v>2010</v>
      </c>
      <c r="J79" s="24">
        <v>1</v>
      </c>
      <c r="L79" s="21" t="s">
        <v>522</v>
      </c>
      <c r="M79" s="17">
        <v>9806221936.3899994</v>
      </c>
    </row>
    <row r="80" spans="1:13" x14ac:dyDescent="0.25">
      <c r="A80" s="5">
        <f>+'[1]Graficos montos'!$A$8</f>
        <v>2010</v>
      </c>
      <c r="B80" s="9" t="s">
        <v>525</v>
      </c>
      <c r="C80" s="18">
        <f>+GETPIVOTDATA("Suma de Agosto",$A$15,"Año",2010)</f>
        <v>172359437535.27997</v>
      </c>
      <c r="E80" s="5">
        <f>+'[1]Graficos montos'!$A$8</f>
        <v>2010</v>
      </c>
      <c r="F80" s="9" t="s">
        <v>525</v>
      </c>
      <c r="G80" s="23">
        <f t="shared" si="3"/>
        <v>6.9174761564246678E-2</v>
      </c>
      <c r="I80" s="21" t="s">
        <v>532</v>
      </c>
      <c r="J80" s="24">
        <v>8.0742510218215324E-2</v>
      </c>
      <c r="L80" s="21" t="s">
        <v>521</v>
      </c>
      <c r="M80" s="17">
        <v>8896537183.5300007</v>
      </c>
    </row>
    <row r="81" spans="1:13" x14ac:dyDescent="0.25">
      <c r="A81" s="5">
        <f>+'[1]Graficos montos'!$A$8</f>
        <v>2010</v>
      </c>
      <c r="B81" s="9" t="s">
        <v>524</v>
      </c>
      <c r="C81" s="18">
        <f>+GETPIVOTDATA("Suma de Setiembre",$A$15,"Año",2010)</f>
        <v>231262777457.60999</v>
      </c>
      <c r="E81" s="5">
        <f>+'[1]Graficos montos'!$A$8</f>
        <v>2010</v>
      </c>
      <c r="F81" s="9" t="s">
        <v>524</v>
      </c>
      <c r="G81" s="23">
        <f t="shared" si="3"/>
        <v>9.2815036519489108E-2</v>
      </c>
      <c r="I81" s="21" t="s">
        <v>531</v>
      </c>
      <c r="J81" s="24">
        <v>6.270678118379916E-2</v>
      </c>
      <c r="L81" s="16">
        <v>2010</v>
      </c>
      <c r="M81" s="17">
        <v>103850511452.97</v>
      </c>
    </row>
    <row r="82" spans="1:13" x14ac:dyDescent="0.25">
      <c r="A82" s="5">
        <f>+'[1]Graficos montos'!$A$8</f>
        <v>2010</v>
      </c>
      <c r="B82" s="9" t="s">
        <v>523</v>
      </c>
      <c r="C82" s="18">
        <f>+GETPIVOTDATA("Suma de Octubre",$A$15,"Año",2010)</f>
        <v>197428490682.34003</v>
      </c>
      <c r="E82" s="5">
        <f>+'[1]Graficos montos'!$A$8</f>
        <v>2010</v>
      </c>
      <c r="F82" s="9" t="s">
        <v>523</v>
      </c>
      <c r="G82" s="23">
        <f t="shared" si="3"/>
        <v>7.9235978976460314E-2</v>
      </c>
      <c r="I82" s="21" t="s">
        <v>530</v>
      </c>
      <c r="J82" s="24">
        <v>0.10487817399244161</v>
      </c>
      <c r="L82" s="21" t="s">
        <v>532</v>
      </c>
      <c r="M82" s="17">
        <v>6983396021.4499998</v>
      </c>
    </row>
    <row r="83" spans="1:13" x14ac:dyDescent="0.25">
      <c r="A83" s="5">
        <f>+'[1]Graficos montos'!$A$8</f>
        <v>2010</v>
      </c>
      <c r="B83" s="9" t="s">
        <v>522</v>
      </c>
      <c r="C83" s="18">
        <f>+GETPIVOTDATA("Suma de Noviembre",$A$15,"Año",2010)</f>
        <v>185419142398.91998</v>
      </c>
      <c r="E83" s="5">
        <f>+'[1]Graficos montos'!$A$8</f>
        <v>2010</v>
      </c>
      <c r="F83" s="9" t="s">
        <v>522</v>
      </c>
      <c r="G83" s="23">
        <f t="shared" si="3"/>
        <v>7.44161454011881E-2</v>
      </c>
      <c r="I83" s="21" t="s">
        <v>529</v>
      </c>
      <c r="J83" s="24">
        <v>7.0921350755861826E-2</v>
      </c>
      <c r="L83" s="21" t="s">
        <v>531</v>
      </c>
      <c r="M83" s="17">
        <v>7019817761.7600002</v>
      </c>
    </row>
    <row r="84" spans="1:13" x14ac:dyDescent="0.25">
      <c r="A84" s="5">
        <f>+'[1]Graficos montos'!$A$8</f>
        <v>2010</v>
      </c>
      <c r="B84" s="9" t="s">
        <v>521</v>
      </c>
      <c r="C84" s="18">
        <f>+GETPIVOTDATA("Suma de Diciembre",$A$15,"Año",2010)</f>
        <v>345501648701.84003</v>
      </c>
      <c r="E84" s="5">
        <f>+'[1]Graficos montos'!$A$8</f>
        <v>2010</v>
      </c>
      <c r="F84" s="9" t="s">
        <v>521</v>
      </c>
      <c r="G84" s="23">
        <f t="shared" si="3"/>
        <v>0.13866368161077255</v>
      </c>
      <c r="I84" s="21" t="s">
        <v>528</v>
      </c>
      <c r="J84" s="24">
        <v>6.6107551155408159E-2</v>
      </c>
      <c r="L84" s="21" t="s">
        <v>530</v>
      </c>
      <c r="M84" s="17">
        <v>8647242184.5100002</v>
      </c>
    </row>
    <row r="85" spans="1:13" x14ac:dyDescent="0.25">
      <c r="A85" s="5">
        <f>+'[1]Graficos montos'!$A$9</f>
        <v>2011</v>
      </c>
      <c r="B85" s="9" t="s">
        <v>532</v>
      </c>
      <c r="C85" s="18">
        <f>+GETPIVOTDATA("Suma de Enero",$A$15,"Año",2011)</f>
        <v>204125487552.86996</v>
      </c>
      <c r="E85" s="5">
        <f>+'[1]Graficos montos'!$A$9</f>
        <v>2011</v>
      </c>
      <c r="F85" s="9" t="s">
        <v>532</v>
      </c>
      <c r="G85" s="23">
        <f t="shared" ref="G85:G96" si="4">+C85/SUM($C$85:$C$96)</f>
        <v>7.3709262849881427E-2</v>
      </c>
      <c r="I85" s="21" t="s">
        <v>527</v>
      </c>
      <c r="J85" s="24">
        <v>8.2325717713674335E-2</v>
      </c>
      <c r="L85" s="21" t="s">
        <v>529</v>
      </c>
      <c r="M85" s="17">
        <v>7120257763.4300003</v>
      </c>
    </row>
    <row r="86" spans="1:13" x14ac:dyDescent="0.25">
      <c r="A86" s="5">
        <f>+'[1]Graficos montos'!$A$9</f>
        <v>2011</v>
      </c>
      <c r="B86" s="9" t="s">
        <v>531</v>
      </c>
      <c r="C86" s="18">
        <f>+GETPIVOTDATA("Suma de Febrero",$A$15,"Año",2011)</f>
        <v>171540105737.41998</v>
      </c>
      <c r="E86" s="5">
        <f>+'[1]Graficos montos'!$A$9</f>
        <v>2011</v>
      </c>
      <c r="F86" s="9" t="s">
        <v>531</v>
      </c>
      <c r="G86" s="23">
        <f t="shared" si="4"/>
        <v>6.1942753424268159E-2</v>
      </c>
      <c r="I86" s="21" t="s">
        <v>526</v>
      </c>
      <c r="J86" s="24">
        <v>7.8012310908442725E-2</v>
      </c>
      <c r="L86" s="21" t="s">
        <v>528</v>
      </c>
      <c r="M86" s="17">
        <v>7656688724.0799999</v>
      </c>
    </row>
    <row r="87" spans="1:13" x14ac:dyDescent="0.25">
      <c r="A87" s="5">
        <f>+'[1]Graficos montos'!$A$9</f>
        <v>2011</v>
      </c>
      <c r="B87" s="9" t="s">
        <v>530</v>
      </c>
      <c r="C87" s="18">
        <f>+GETPIVOTDATA("Suma de Marzo",$A$15,"Año",2011)</f>
        <v>260213881923.81003</v>
      </c>
      <c r="E87" s="5">
        <f>+'[1]Graficos montos'!$A$9</f>
        <v>2011</v>
      </c>
      <c r="F87" s="9" t="s">
        <v>530</v>
      </c>
      <c r="G87" s="23">
        <f t="shared" si="4"/>
        <v>9.3962658215046874E-2</v>
      </c>
      <c r="I87" s="21" t="s">
        <v>525</v>
      </c>
      <c r="J87" s="24">
        <v>6.9174761564246678E-2</v>
      </c>
      <c r="L87" s="21" t="s">
        <v>527</v>
      </c>
      <c r="M87" s="17">
        <v>8299002360.1599998</v>
      </c>
    </row>
    <row r="88" spans="1:13" x14ac:dyDescent="0.25">
      <c r="A88" s="5">
        <f>+'[1]Graficos montos'!$A$9</f>
        <v>2011</v>
      </c>
      <c r="B88" s="9" t="s">
        <v>529</v>
      </c>
      <c r="C88" s="18">
        <f>+GETPIVOTDATA("Suma de Abril",$A$15,"Año",2011)</f>
        <v>200717296520.76001</v>
      </c>
      <c r="E88" s="5">
        <f>+'[1]Graficos montos'!$A$9</f>
        <v>2011</v>
      </c>
      <c r="F88" s="9" t="s">
        <v>529</v>
      </c>
      <c r="G88" s="23">
        <f t="shared" si="4"/>
        <v>7.2478572593411936E-2</v>
      </c>
      <c r="I88" s="21" t="s">
        <v>524</v>
      </c>
      <c r="J88" s="24">
        <v>9.2815036519489108E-2</v>
      </c>
      <c r="L88" s="21" t="s">
        <v>526</v>
      </c>
      <c r="M88" s="17">
        <v>8264546171.7299995</v>
      </c>
    </row>
    <row r="89" spans="1:13" x14ac:dyDescent="0.25">
      <c r="A89" s="5">
        <f>+'[1]Graficos montos'!$A$9</f>
        <v>2011</v>
      </c>
      <c r="B89" s="9" t="s">
        <v>528</v>
      </c>
      <c r="C89" s="18">
        <f>+GETPIVOTDATA("Suma de Mayo",$A$15,"Año",2011)</f>
        <v>181516340028.07993</v>
      </c>
      <c r="E89" s="5">
        <f>+'[1]Graficos montos'!$A$9</f>
        <v>2011</v>
      </c>
      <c r="F89" s="9" t="s">
        <v>528</v>
      </c>
      <c r="G89" s="23">
        <f t="shared" si="4"/>
        <v>6.5545149599276903E-2</v>
      </c>
      <c r="I89" s="21" t="s">
        <v>523</v>
      </c>
      <c r="J89" s="24">
        <v>7.9235978976460314E-2</v>
      </c>
      <c r="L89" s="21" t="s">
        <v>525</v>
      </c>
      <c r="M89" s="17">
        <v>8929912847.3999996</v>
      </c>
    </row>
    <row r="90" spans="1:13" x14ac:dyDescent="0.25">
      <c r="A90" s="5">
        <f>+'[1]Graficos montos'!$A$9</f>
        <v>2011</v>
      </c>
      <c r="B90" s="9" t="s">
        <v>527</v>
      </c>
      <c r="C90" s="18">
        <f>+GETPIVOTDATA("Suma de Junio",$A$15,"Año",2011)</f>
        <v>257330366051.33002</v>
      </c>
      <c r="E90" s="5">
        <f>+'[1]Graficos montos'!$A$9</f>
        <v>2011</v>
      </c>
      <c r="F90" s="9" t="s">
        <v>527</v>
      </c>
      <c r="G90" s="23">
        <f t="shared" si="4"/>
        <v>9.292142700024629E-2</v>
      </c>
      <c r="I90" s="21" t="s">
        <v>522</v>
      </c>
      <c r="J90" s="24">
        <v>7.44161454011881E-2</v>
      </c>
      <c r="L90" s="21" t="s">
        <v>524</v>
      </c>
      <c r="M90" s="17">
        <v>8831136131.7099991</v>
      </c>
    </row>
    <row r="91" spans="1:13" x14ac:dyDescent="0.25">
      <c r="A91" s="5">
        <f>+'[1]Graficos montos'!$A$9</f>
        <v>2011</v>
      </c>
      <c r="B91" s="9" t="s">
        <v>526</v>
      </c>
      <c r="C91" s="18">
        <f>+GETPIVOTDATA("Suma de Julio",$A$15,"Año",2011)</f>
        <v>199039718324.85004</v>
      </c>
      <c r="E91" s="5">
        <f>+'[1]Graficos montos'!$A$9</f>
        <v>2011</v>
      </c>
      <c r="F91" s="9" t="s">
        <v>526</v>
      </c>
      <c r="G91" s="23">
        <f t="shared" si="4"/>
        <v>7.187280281093178E-2</v>
      </c>
      <c r="I91" s="21" t="s">
        <v>521</v>
      </c>
      <c r="J91" s="24">
        <v>0.13866368161077255</v>
      </c>
      <c r="L91" s="21" t="s">
        <v>523</v>
      </c>
      <c r="M91" s="17">
        <v>9927674610.1599998</v>
      </c>
    </row>
    <row r="92" spans="1:13" x14ac:dyDescent="0.25">
      <c r="A92" s="5">
        <f>+'[1]Graficos montos'!$A$9</f>
        <v>2011</v>
      </c>
      <c r="B92" s="9" t="s">
        <v>525</v>
      </c>
      <c r="C92" s="18">
        <f>+GETPIVOTDATA("Suma de Agosto",$A$15,"Año",2011)</f>
        <v>196483633656.75998</v>
      </c>
      <c r="E92" s="5">
        <f>+'[1]Graficos montos'!$A$9</f>
        <v>2011</v>
      </c>
      <c r="F92" s="9" t="s">
        <v>525</v>
      </c>
      <c r="G92" s="23">
        <f t="shared" si="4"/>
        <v>7.0949806281074126E-2</v>
      </c>
      <c r="I92" s="16">
        <v>2011</v>
      </c>
      <c r="J92" s="24">
        <v>1</v>
      </c>
      <c r="L92" s="21" t="s">
        <v>522</v>
      </c>
      <c r="M92" s="17">
        <v>11277630084.4</v>
      </c>
    </row>
    <row r="93" spans="1:13" x14ac:dyDescent="0.25">
      <c r="A93" s="5">
        <f>+'[1]Graficos montos'!$A$9</f>
        <v>2011</v>
      </c>
      <c r="B93" s="9" t="s">
        <v>524</v>
      </c>
      <c r="C93" s="18">
        <f>+GETPIVOTDATA("Suma de Setiembre",$A$15,"Año",2011)</f>
        <v>256506666234.42999</v>
      </c>
      <c r="E93" s="5">
        <f>+'[1]Graficos montos'!$A$9</f>
        <v>2011</v>
      </c>
      <c r="F93" s="9" t="s">
        <v>524</v>
      </c>
      <c r="G93" s="23">
        <f t="shared" si="4"/>
        <v>9.26239908150783E-2</v>
      </c>
      <c r="I93" s="21" t="s">
        <v>532</v>
      </c>
      <c r="J93" s="24">
        <v>7.3709262849881427E-2</v>
      </c>
      <c r="L93" s="21" t="s">
        <v>521</v>
      </c>
      <c r="M93" s="17">
        <v>10893206792.18</v>
      </c>
    </row>
    <row r="94" spans="1:13" x14ac:dyDescent="0.25">
      <c r="A94" s="5">
        <f>+'[1]Graficos montos'!$A$9</f>
        <v>2011</v>
      </c>
      <c r="B94" s="9" t="s">
        <v>523</v>
      </c>
      <c r="C94" s="18">
        <f>+GETPIVOTDATA("Suma de Octubre",$A$15,"Año",2011)</f>
        <v>205328557758.55005</v>
      </c>
      <c r="E94" s="5">
        <f>+'[1]Graficos montos'!$A$9</f>
        <v>2011</v>
      </c>
      <c r="F94" s="9" t="s">
        <v>523</v>
      </c>
      <c r="G94" s="23">
        <f t="shared" si="4"/>
        <v>7.4143688844794817E-2</v>
      </c>
      <c r="I94" s="21" t="s">
        <v>531</v>
      </c>
      <c r="J94" s="24">
        <v>6.1942753424268159E-2</v>
      </c>
      <c r="L94" s="16">
        <v>2011</v>
      </c>
      <c r="M94" s="17">
        <v>122354691744.29001</v>
      </c>
    </row>
    <row r="95" spans="1:13" x14ac:dyDescent="0.25">
      <c r="A95" s="5">
        <f>+'[1]Graficos montos'!$A$9</f>
        <v>2011</v>
      </c>
      <c r="B95" s="9" t="s">
        <v>522</v>
      </c>
      <c r="C95" s="18">
        <f>+GETPIVOTDATA("Suma de Noviembre",$A$15,"Año",2011)</f>
        <v>212757127103.90988</v>
      </c>
      <c r="E95" s="5">
        <f>+'[1]Graficos montos'!$A$9</f>
        <v>2011</v>
      </c>
      <c r="F95" s="9" t="s">
        <v>522</v>
      </c>
      <c r="G95" s="23">
        <f t="shared" si="4"/>
        <v>7.682612883325475E-2</v>
      </c>
      <c r="I95" s="21" t="s">
        <v>530</v>
      </c>
      <c r="J95" s="24">
        <v>9.3962658215046874E-2</v>
      </c>
      <c r="L95" s="21" t="s">
        <v>532</v>
      </c>
      <c r="M95" s="17">
        <v>7811277785.0799999</v>
      </c>
    </row>
    <row r="96" spans="1:13" x14ac:dyDescent="0.25">
      <c r="A96" s="5">
        <f>+'[1]Graficos montos'!$A$9</f>
        <v>2011</v>
      </c>
      <c r="B96" s="9" t="s">
        <v>521</v>
      </c>
      <c r="C96" s="18">
        <f>+GETPIVOTDATA("Suma de Diciembre",$A$15,"Año",2011)</f>
        <v>423773731425.15997</v>
      </c>
      <c r="E96" s="5">
        <f>+'[1]Graficos montos'!$A$9</f>
        <v>2011</v>
      </c>
      <c r="F96" s="9" t="s">
        <v>521</v>
      </c>
      <c r="G96" s="23">
        <f t="shared" si="4"/>
        <v>0.15302375873273452</v>
      </c>
      <c r="I96" s="21" t="s">
        <v>529</v>
      </c>
      <c r="J96" s="24">
        <v>7.2478572593411936E-2</v>
      </c>
      <c r="L96" s="21" t="s">
        <v>531</v>
      </c>
      <c r="M96" s="17">
        <v>8869308282.5100002</v>
      </c>
    </row>
    <row r="97" spans="1:13" x14ac:dyDescent="0.25">
      <c r="A97" s="5">
        <f>+'[1]Graficos montos'!$A$10</f>
        <v>2012</v>
      </c>
      <c r="B97" s="9" t="s">
        <v>532</v>
      </c>
      <c r="C97" s="18">
        <f>+GETPIVOTDATA("Suma de Enero",$A$15,"Año",2012)</f>
        <v>227157951183.03998</v>
      </c>
      <c r="E97" s="5">
        <f>+'[1]Graficos montos'!$A$10</f>
        <v>2012</v>
      </c>
      <c r="F97" s="9" t="s">
        <v>532</v>
      </c>
      <c r="G97" s="23">
        <f t="shared" ref="G97:G108" si="5">+C97/SUM($C$97:$C$108)</f>
        <v>7.5519888802914159E-2</v>
      </c>
      <c r="I97" s="21" t="s">
        <v>528</v>
      </c>
      <c r="J97" s="24">
        <v>6.5545149599276903E-2</v>
      </c>
      <c r="L97" s="21" t="s">
        <v>530</v>
      </c>
      <c r="M97" s="17">
        <v>9624095231.8199997</v>
      </c>
    </row>
    <row r="98" spans="1:13" x14ac:dyDescent="0.25">
      <c r="A98" s="5">
        <f>+'[1]Graficos montos'!$A$10</f>
        <v>2012</v>
      </c>
      <c r="B98" s="9" t="s">
        <v>531</v>
      </c>
      <c r="C98" s="18">
        <f>+GETPIVOTDATA("Suma de Febrero",$A$15,"Año",2012)</f>
        <v>185412398173.04996</v>
      </c>
      <c r="E98" s="5">
        <f>+'[1]Graficos montos'!$A$10</f>
        <v>2012</v>
      </c>
      <c r="F98" s="9" t="s">
        <v>531</v>
      </c>
      <c r="G98" s="23">
        <f t="shared" si="5"/>
        <v>6.1641354043678376E-2</v>
      </c>
      <c r="I98" s="21" t="s">
        <v>527</v>
      </c>
      <c r="J98" s="24">
        <v>9.292142700024629E-2</v>
      </c>
      <c r="L98" s="21" t="s">
        <v>529</v>
      </c>
      <c r="M98" s="17">
        <v>8154392655.75</v>
      </c>
    </row>
    <row r="99" spans="1:13" x14ac:dyDescent="0.25">
      <c r="A99" s="5">
        <f>+'[1]Graficos montos'!$A$10</f>
        <v>2012</v>
      </c>
      <c r="B99" s="9" t="s">
        <v>530</v>
      </c>
      <c r="C99" s="18">
        <f>+GETPIVOTDATA("Suma de Marzo",$A$15,"Año",2012)</f>
        <v>305618662721.17017</v>
      </c>
      <c r="E99" s="5">
        <f>+'[1]Graficos montos'!$A$10</f>
        <v>2012</v>
      </c>
      <c r="F99" s="9" t="s">
        <v>530</v>
      </c>
      <c r="G99" s="23">
        <f t="shared" si="5"/>
        <v>0.10160457648343728</v>
      </c>
      <c r="I99" s="21" t="s">
        <v>526</v>
      </c>
      <c r="J99" s="24">
        <v>7.187280281093178E-2</v>
      </c>
      <c r="L99" s="21" t="s">
        <v>528</v>
      </c>
      <c r="M99" s="17">
        <v>10237225412.950001</v>
      </c>
    </row>
    <row r="100" spans="1:13" x14ac:dyDescent="0.25">
      <c r="A100" s="5">
        <f>+'[1]Graficos montos'!$A$10</f>
        <v>2012</v>
      </c>
      <c r="B100" s="9" t="s">
        <v>529</v>
      </c>
      <c r="C100" s="18">
        <f>+GETPIVOTDATA("Suma de Abril",$A$15,"Año",2012)</f>
        <v>210588816448.71002</v>
      </c>
      <c r="E100" s="5">
        <f>+'[1]Graficos montos'!$A$10</f>
        <v>2012</v>
      </c>
      <c r="F100" s="9" t="s">
        <v>529</v>
      </c>
      <c r="G100" s="23">
        <f t="shared" si="5"/>
        <v>7.0011390393854178E-2</v>
      </c>
      <c r="I100" s="21" t="s">
        <v>525</v>
      </c>
      <c r="J100" s="24">
        <v>7.0949806281074126E-2</v>
      </c>
      <c r="L100" s="21" t="s">
        <v>527</v>
      </c>
      <c r="M100" s="17">
        <v>10407536131.57</v>
      </c>
    </row>
    <row r="101" spans="1:13" x14ac:dyDescent="0.25">
      <c r="A101" s="5">
        <f>+'[1]Graficos montos'!$A$10</f>
        <v>2012</v>
      </c>
      <c r="B101" s="9" t="s">
        <v>528</v>
      </c>
      <c r="C101" s="18">
        <f>+GETPIVOTDATA("Suma de Mayo",$A$15,"Año",2012)</f>
        <v>220598864201.06</v>
      </c>
      <c r="E101" s="5">
        <f>+'[1]Graficos montos'!$A$10</f>
        <v>2012</v>
      </c>
      <c r="F101" s="9" t="s">
        <v>528</v>
      </c>
      <c r="G101" s="23">
        <f t="shared" si="5"/>
        <v>7.3339284879749556E-2</v>
      </c>
      <c r="I101" s="21" t="s">
        <v>524</v>
      </c>
      <c r="J101" s="24">
        <v>9.26239908150783E-2</v>
      </c>
      <c r="L101" s="21" t="s">
        <v>526</v>
      </c>
      <c r="M101" s="17">
        <v>9629204309.5</v>
      </c>
    </row>
    <row r="102" spans="1:13" x14ac:dyDescent="0.25">
      <c r="A102" s="5">
        <f>+'[1]Graficos montos'!$A$10</f>
        <v>2012</v>
      </c>
      <c r="B102" s="9" t="s">
        <v>527</v>
      </c>
      <c r="C102" s="18">
        <f>+GETPIVOTDATA("Suma de Junio",$A$15,"Año",2012)</f>
        <v>275872715727.67004</v>
      </c>
      <c r="E102" s="5">
        <f>+'[1]Graficos montos'!$A$10</f>
        <v>2012</v>
      </c>
      <c r="F102" s="9" t="s">
        <v>527</v>
      </c>
      <c r="G102" s="23">
        <f t="shared" si="5"/>
        <v>9.1715375609828467E-2</v>
      </c>
      <c r="I102" s="21" t="s">
        <v>523</v>
      </c>
      <c r="J102" s="24">
        <v>7.4143688844794817E-2</v>
      </c>
      <c r="L102" s="21" t="s">
        <v>525</v>
      </c>
      <c r="M102" s="17">
        <v>11075152497.889999</v>
      </c>
    </row>
    <row r="103" spans="1:13" x14ac:dyDescent="0.25">
      <c r="A103" s="5">
        <f>+'[1]Graficos montos'!$A$10</f>
        <v>2012</v>
      </c>
      <c r="B103" s="9" t="s">
        <v>526</v>
      </c>
      <c r="C103" s="18">
        <f>+GETPIVOTDATA("Suma de Julio",$A$15,"Año",2012)</f>
        <v>215947154566.69992</v>
      </c>
      <c r="E103" s="5">
        <f>+'[1]Graficos montos'!$A$10</f>
        <v>2012</v>
      </c>
      <c r="F103" s="9" t="s">
        <v>526</v>
      </c>
      <c r="G103" s="23">
        <f t="shared" si="5"/>
        <v>7.1792798866379723E-2</v>
      </c>
      <c r="I103" s="21" t="s">
        <v>522</v>
      </c>
      <c r="J103" s="24">
        <v>7.682612883325475E-2</v>
      </c>
      <c r="L103" s="21" t="s">
        <v>524</v>
      </c>
      <c r="M103" s="17">
        <v>11086527122.26</v>
      </c>
    </row>
    <row r="104" spans="1:13" x14ac:dyDescent="0.25">
      <c r="A104" s="5">
        <f>+'[1]Graficos montos'!$A$10</f>
        <v>2012</v>
      </c>
      <c r="B104" s="9" t="s">
        <v>525</v>
      </c>
      <c r="C104" s="18">
        <f>+GETPIVOTDATA("Suma de Agosto",$A$15,"Año",2012)</f>
        <v>203664940370.93997</v>
      </c>
      <c r="E104" s="5">
        <f>+'[1]Graficos montos'!$A$10</f>
        <v>2012</v>
      </c>
      <c r="F104" s="9" t="s">
        <v>525</v>
      </c>
      <c r="G104" s="23">
        <f t="shared" si="5"/>
        <v>6.7709510363878844E-2</v>
      </c>
      <c r="I104" s="21" t="s">
        <v>521</v>
      </c>
      <c r="J104" s="24">
        <v>0.15302375873273452</v>
      </c>
      <c r="L104" s="21" t="s">
        <v>523</v>
      </c>
      <c r="M104" s="17">
        <v>11622154276.190001</v>
      </c>
    </row>
    <row r="105" spans="1:13" x14ac:dyDescent="0.25">
      <c r="A105" s="5">
        <f>+'[1]Graficos montos'!$A$10</f>
        <v>2012</v>
      </c>
      <c r="B105" s="9" t="s">
        <v>524</v>
      </c>
      <c r="C105" s="18">
        <f>+GETPIVOTDATA("Suma de Setiembre",$A$15,"Año",2012)</f>
        <v>279408024113.06995</v>
      </c>
      <c r="E105" s="5">
        <f>+'[1]Graficos montos'!$A$10</f>
        <v>2012</v>
      </c>
      <c r="F105" s="9" t="s">
        <v>524</v>
      </c>
      <c r="G105" s="23">
        <f t="shared" si="5"/>
        <v>9.2890707993128041E-2</v>
      </c>
      <c r="I105" s="16">
        <v>2012</v>
      </c>
      <c r="J105" s="24">
        <v>1</v>
      </c>
      <c r="L105" s="21" t="s">
        <v>522</v>
      </c>
      <c r="M105" s="17">
        <v>12961684395.219999</v>
      </c>
    </row>
    <row r="106" spans="1:13" x14ac:dyDescent="0.25">
      <c r="A106" s="5">
        <f>+'[1]Graficos montos'!$A$10</f>
        <v>2012</v>
      </c>
      <c r="B106" s="9" t="s">
        <v>523</v>
      </c>
      <c r="C106" s="18">
        <f>+GETPIVOTDATA("Suma de Octubre",$A$15,"Año",2012)</f>
        <v>222141670845.63998</v>
      </c>
      <c r="E106" s="5">
        <f>+'[1]Graficos montos'!$A$10</f>
        <v>2012</v>
      </c>
      <c r="F106" s="9" t="s">
        <v>523</v>
      </c>
      <c r="G106" s="23">
        <f t="shared" si="5"/>
        <v>7.3852199288583942E-2</v>
      </c>
      <c r="I106" s="21" t="s">
        <v>532</v>
      </c>
      <c r="J106" s="24">
        <v>7.5519888802914159E-2</v>
      </c>
      <c r="L106" s="21" t="s">
        <v>521</v>
      </c>
      <c r="M106" s="17">
        <v>10876133643.549999</v>
      </c>
    </row>
    <row r="107" spans="1:13" x14ac:dyDescent="0.25">
      <c r="A107" s="5">
        <f>+'[1]Graficos montos'!$A$10</f>
        <v>2012</v>
      </c>
      <c r="B107" s="9" t="s">
        <v>522</v>
      </c>
      <c r="C107" s="18">
        <f>+GETPIVOTDATA("Suma de Noviembre",$A$15,"Año",2012)</f>
        <v>229260026201.52002</v>
      </c>
      <c r="E107" s="5">
        <f>+'[1]Graficos montos'!$A$10</f>
        <v>2012</v>
      </c>
      <c r="F107" s="9" t="s">
        <v>522</v>
      </c>
      <c r="G107" s="23">
        <f t="shared" si="5"/>
        <v>7.6218735005850191E-2</v>
      </c>
      <c r="I107" s="21" t="s">
        <v>531</v>
      </c>
      <c r="J107" s="24">
        <v>6.1641354043678376E-2</v>
      </c>
      <c r="L107" s="16">
        <v>2012</v>
      </c>
      <c r="M107" s="17">
        <v>128357663044.42001</v>
      </c>
    </row>
    <row r="108" spans="1:13" x14ac:dyDescent="0.25">
      <c r="A108" s="5">
        <f>+'[1]Graficos montos'!$A$10</f>
        <v>2012</v>
      </c>
      <c r="B108" s="9" t="s">
        <v>521</v>
      </c>
      <c r="C108" s="18">
        <f>+GETPIVOTDATA("Suma de Diciembre",$A$15,"Año",2012)</f>
        <v>432250990161.73993</v>
      </c>
      <c r="E108" s="5">
        <f>+'[1]Graficos montos'!$A$10</f>
        <v>2012</v>
      </c>
      <c r="F108" s="9" t="s">
        <v>521</v>
      </c>
      <c r="G108" s="23">
        <f t="shared" si="5"/>
        <v>0.14370417826871723</v>
      </c>
      <c r="I108" s="21" t="s">
        <v>530</v>
      </c>
      <c r="J108" s="24">
        <v>0.10160457648343728</v>
      </c>
      <c r="L108" s="21" t="s">
        <v>532</v>
      </c>
      <c r="M108" s="17">
        <v>9656477386.1299992</v>
      </c>
    </row>
    <row r="109" spans="1:13" x14ac:dyDescent="0.25">
      <c r="A109" s="5">
        <f>+'[1]Graficos montos'!$A$11</f>
        <v>2013</v>
      </c>
      <c r="B109" s="9" t="s">
        <v>532</v>
      </c>
      <c r="C109" s="18">
        <f>+GETPIVOTDATA("Suma de Enero",$A$15,"Año",2013)</f>
        <v>250360150464.03</v>
      </c>
      <c r="E109" s="5">
        <f>+'[1]Graficos montos'!$A$11</f>
        <v>2013</v>
      </c>
      <c r="F109" s="9" t="s">
        <v>532</v>
      </c>
      <c r="G109" s="23">
        <f t="shared" ref="G109:G120" si="6">+C109/SUM($C$109:$C$120)</f>
        <v>7.6043944397022084E-2</v>
      </c>
      <c r="I109" s="21" t="s">
        <v>529</v>
      </c>
      <c r="J109" s="24">
        <v>7.0011390393854178E-2</v>
      </c>
      <c r="L109" s="21" t="s">
        <v>531</v>
      </c>
      <c r="M109" s="17">
        <v>9687402007.7999992</v>
      </c>
    </row>
    <row r="110" spans="1:13" x14ac:dyDescent="0.25">
      <c r="A110" s="5">
        <f>+'[1]Graficos montos'!$A$11</f>
        <v>2013</v>
      </c>
      <c r="B110" s="9" t="s">
        <v>531</v>
      </c>
      <c r="C110" s="18">
        <f>+GETPIVOTDATA("Suma de Febrero",$A$15,"Año",2013)</f>
        <v>232209812950.87006</v>
      </c>
      <c r="E110" s="5">
        <f>+'[1]Graficos montos'!$A$11</f>
        <v>2013</v>
      </c>
      <c r="F110" s="9" t="s">
        <v>531</v>
      </c>
      <c r="G110" s="23">
        <f t="shared" si="6"/>
        <v>7.053099333799874E-2</v>
      </c>
      <c r="I110" s="21" t="s">
        <v>528</v>
      </c>
      <c r="J110" s="24">
        <v>7.3339284879749556E-2</v>
      </c>
      <c r="L110" s="21" t="s">
        <v>530</v>
      </c>
      <c r="M110" s="17">
        <v>9803020559.5799999</v>
      </c>
    </row>
    <row r="111" spans="1:13" x14ac:dyDescent="0.25">
      <c r="A111" s="5">
        <f>+'[1]Graficos montos'!$A$11</f>
        <v>2013</v>
      </c>
      <c r="B111" s="9" t="s">
        <v>530</v>
      </c>
      <c r="C111" s="18">
        <f>+GETPIVOTDATA("Suma de Marzo",$A$15,"Año",2013)</f>
        <v>317725881116.13</v>
      </c>
      <c r="E111" s="5">
        <f>+'[1]Graficos montos'!$A$11</f>
        <v>2013</v>
      </c>
      <c r="F111" s="9" t="s">
        <v>530</v>
      </c>
      <c r="G111" s="23">
        <f t="shared" si="6"/>
        <v>9.6505490958958107E-2</v>
      </c>
      <c r="I111" s="21" t="s">
        <v>527</v>
      </c>
      <c r="J111" s="24">
        <v>9.1715375609828467E-2</v>
      </c>
      <c r="L111" s="21" t="s">
        <v>529</v>
      </c>
      <c r="M111" s="17">
        <v>8298004671.7299995</v>
      </c>
    </row>
    <row r="112" spans="1:13" x14ac:dyDescent="0.25">
      <c r="A112" s="5">
        <f>+'[1]Graficos montos'!$A$11</f>
        <v>2013</v>
      </c>
      <c r="B112" s="9" t="s">
        <v>529</v>
      </c>
      <c r="C112" s="18">
        <f>+GETPIVOTDATA("Suma de Abril",$A$15,"Año",2013)</f>
        <v>247510351446.70996</v>
      </c>
      <c r="E112" s="5">
        <f>+'[1]Graficos montos'!$A$11</f>
        <v>2013</v>
      </c>
      <c r="F112" s="9" t="s">
        <v>529</v>
      </c>
      <c r="G112" s="23">
        <f t="shared" si="6"/>
        <v>7.5178351539635979E-2</v>
      </c>
      <c r="I112" s="21" t="s">
        <v>526</v>
      </c>
      <c r="J112" s="24">
        <v>7.1792798866379723E-2</v>
      </c>
      <c r="L112" s="21" t="s">
        <v>528</v>
      </c>
      <c r="M112" s="17">
        <v>10504638619.68</v>
      </c>
    </row>
    <row r="113" spans="1:13" x14ac:dyDescent="0.25">
      <c r="A113" s="5">
        <f>+'[1]Graficos montos'!$A$11</f>
        <v>2013</v>
      </c>
      <c r="B113" s="9" t="s">
        <v>528</v>
      </c>
      <c r="C113" s="18">
        <f>+GETPIVOTDATA("Suma de Mayo",$A$15,"Año",2013)</f>
        <v>212876300248.79001</v>
      </c>
      <c r="E113" s="5">
        <f>+'[1]Graficos montos'!$A$11</f>
        <v>2013</v>
      </c>
      <c r="F113" s="9" t="s">
        <v>528</v>
      </c>
      <c r="G113" s="23">
        <f t="shared" si="6"/>
        <v>6.4658666762898193E-2</v>
      </c>
      <c r="I113" s="21" t="s">
        <v>525</v>
      </c>
      <c r="J113" s="24">
        <v>6.7709510363878844E-2</v>
      </c>
      <c r="L113" s="21" t="s">
        <v>527</v>
      </c>
      <c r="M113" s="17">
        <v>9884144146.4799995</v>
      </c>
    </row>
    <row r="114" spans="1:13" x14ac:dyDescent="0.25">
      <c r="A114" s="5">
        <f>+'[1]Graficos montos'!$A$11</f>
        <v>2013</v>
      </c>
      <c r="B114" s="9" t="s">
        <v>527</v>
      </c>
      <c r="C114" s="18">
        <f>+GETPIVOTDATA("Suma de Junio",$A$15,"Año",2013)</f>
        <v>287917144769.07001</v>
      </c>
      <c r="E114" s="5">
        <f>+'[1]Graficos montos'!$A$11</f>
        <v>2013</v>
      </c>
      <c r="F114" s="9" t="s">
        <v>527</v>
      </c>
      <c r="G114" s="23">
        <f t="shared" si="6"/>
        <v>8.7451438686182395E-2</v>
      </c>
      <c r="I114" s="21" t="s">
        <v>524</v>
      </c>
      <c r="J114" s="24">
        <v>9.2890707993128041E-2</v>
      </c>
      <c r="L114" s="21" t="s">
        <v>526</v>
      </c>
      <c r="M114" s="17">
        <v>10507438514.549999</v>
      </c>
    </row>
    <row r="115" spans="1:13" x14ac:dyDescent="0.25">
      <c r="A115" s="5">
        <f>+'[1]Graficos montos'!$A$11</f>
        <v>2013</v>
      </c>
      <c r="B115" s="9" t="s">
        <v>526</v>
      </c>
      <c r="C115" s="18">
        <f>+GETPIVOTDATA("Suma de Julio",$A$15,"Año",2013)</f>
        <v>255512775129.06003</v>
      </c>
      <c r="E115" s="5">
        <f>+'[1]Graficos montos'!$A$11</f>
        <v>2013</v>
      </c>
      <c r="F115" s="9" t="s">
        <v>526</v>
      </c>
      <c r="G115" s="23">
        <f t="shared" si="6"/>
        <v>7.7608993398630519E-2</v>
      </c>
      <c r="I115" s="21" t="s">
        <v>523</v>
      </c>
      <c r="J115" s="24">
        <v>7.3852199288583942E-2</v>
      </c>
      <c r="L115" s="21" t="s">
        <v>525</v>
      </c>
      <c r="M115" s="17">
        <v>10650820270.84</v>
      </c>
    </row>
    <row r="116" spans="1:13" x14ac:dyDescent="0.25">
      <c r="A116" s="5">
        <f>+'[1]Graficos montos'!$A$11</f>
        <v>2013</v>
      </c>
      <c r="B116" s="9" t="s">
        <v>525</v>
      </c>
      <c r="C116" s="18">
        <f>+GETPIVOTDATA("Suma de Agosto",$A$15,"Año",2013)</f>
        <v>218786279255.13998</v>
      </c>
      <c r="E116" s="5">
        <f>+'[1]Graficos montos'!$A$11</f>
        <v>2013</v>
      </c>
      <c r="F116" s="9" t="s">
        <v>525</v>
      </c>
      <c r="G116" s="23">
        <f t="shared" si="6"/>
        <v>6.6453753217805139E-2</v>
      </c>
      <c r="I116" s="21" t="s">
        <v>522</v>
      </c>
      <c r="J116" s="24">
        <v>7.6218735005850191E-2</v>
      </c>
      <c r="L116" s="21" t="s">
        <v>524</v>
      </c>
      <c r="M116" s="17">
        <v>10833561514.84</v>
      </c>
    </row>
    <row r="117" spans="1:13" x14ac:dyDescent="0.25">
      <c r="A117" s="5">
        <f>+'[1]Graficos montos'!$A$11</f>
        <v>2013</v>
      </c>
      <c r="B117" s="9" t="s">
        <v>524</v>
      </c>
      <c r="C117" s="18">
        <f>+GETPIVOTDATA("Suma de Setiembre",$A$15,"Año",2013)</f>
        <v>298722890610.70996</v>
      </c>
      <c r="E117" s="5">
        <f>+'[1]Graficos montos'!$A$11</f>
        <v>2013</v>
      </c>
      <c r="F117" s="9" t="s">
        <v>524</v>
      </c>
      <c r="G117" s="23">
        <f t="shared" si="6"/>
        <v>9.0733556604816884E-2</v>
      </c>
      <c r="I117" s="21" t="s">
        <v>521</v>
      </c>
      <c r="J117" s="24">
        <v>0.14370417826871723</v>
      </c>
      <c r="L117" s="21" t="s">
        <v>523</v>
      </c>
      <c r="M117" s="17">
        <v>12886166235.25</v>
      </c>
    </row>
    <row r="118" spans="1:13" x14ac:dyDescent="0.25">
      <c r="A118" s="5">
        <f>+'[1]Graficos montos'!$A$11</f>
        <v>2013</v>
      </c>
      <c r="B118" s="9" t="s">
        <v>523</v>
      </c>
      <c r="C118" s="18">
        <f>+GETPIVOTDATA("Suma de Octubre",$A$15,"Año",2013)</f>
        <v>251521232460.92001</v>
      </c>
      <c r="E118" s="5">
        <f>+'[1]Graficos montos'!$A$11</f>
        <v>2013</v>
      </c>
      <c r="F118" s="9" t="s">
        <v>523</v>
      </c>
      <c r="G118" s="23">
        <f t="shared" si="6"/>
        <v>7.6396609366460075E-2</v>
      </c>
      <c r="I118" s="16">
        <v>2013</v>
      </c>
      <c r="J118" s="24">
        <v>1</v>
      </c>
      <c r="L118" s="21" t="s">
        <v>522</v>
      </c>
      <c r="M118" s="17">
        <v>14343115742.469999</v>
      </c>
    </row>
    <row r="119" spans="1:13" x14ac:dyDescent="0.25">
      <c r="A119" s="5">
        <f>+'[1]Graficos montos'!$A$11</f>
        <v>2013</v>
      </c>
      <c r="B119" s="9" t="s">
        <v>522</v>
      </c>
      <c r="C119" s="18">
        <f>+GETPIVOTDATA("Suma de Noviembre",$A$15,"Año",2013)</f>
        <v>236723941037.69995</v>
      </c>
      <c r="E119" s="5">
        <f>+'[1]Graficos montos'!$A$11</f>
        <v>2013</v>
      </c>
      <c r="F119" s="9" t="s">
        <v>522</v>
      </c>
      <c r="G119" s="23">
        <f t="shared" si="6"/>
        <v>7.1902106530732049E-2</v>
      </c>
      <c r="I119" s="21" t="s">
        <v>532</v>
      </c>
      <c r="J119" s="24">
        <v>7.6043944397022084E-2</v>
      </c>
      <c r="L119" s="21" t="s">
        <v>521</v>
      </c>
      <c r="M119" s="17">
        <v>11302873375.07</v>
      </c>
    </row>
    <row r="120" spans="1:13" x14ac:dyDescent="0.25">
      <c r="A120" s="5">
        <f>+'[1]Graficos montos'!$A$11</f>
        <v>2013</v>
      </c>
      <c r="B120" s="9" t="s">
        <v>521</v>
      </c>
      <c r="C120" s="18">
        <f>+GETPIVOTDATA("Suma de Diciembre",$A$15,"Año",2013)</f>
        <v>482442081789.67993</v>
      </c>
      <c r="E120" s="5">
        <f>+'[1]Graficos montos'!$A$11</f>
        <v>2013</v>
      </c>
      <c r="F120" s="9" t="s">
        <v>521</v>
      </c>
      <c r="G120" s="23">
        <f t="shared" si="6"/>
        <v>0.14653609519885996</v>
      </c>
      <c r="I120" s="21" t="s">
        <v>531</v>
      </c>
      <c r="J120" s="24">
        <v>7.053099333799874E-2</v>
      </c>
      <c r="L120" s="16">
        <v>2013</v>
      </c>
      <c r="M120" s="17">
        <v>130633891749.70001</v>
      </c>
    </row>
    <row r="121" spans="1:13" x14ac:dyDescent="0.25">
      <c r="A121" s="5">
        <f>+'[1]Graficos montos'!$A$12</f>
        <v>2014</v>
      </c>
      <c r="B121" s="9" t="s">
        <v>532</v>
      </c>
      <c r="C121" s="18">
        <f>+GETPIVOTDATA("Suma de Enero",$A$15,"Año",2014)</f>
        <v>274155135531.79004</v>
      </c>
      <c r="E121" s="5">
        <f>+'[1]Graficos montos'!$A$12</f>
        <v>2014</v>
      </c>
      <c r="F121" s="9" t="s">
        <v>532</v>
      </c>
      <c r="G121" s="23">
        <f t="shared" ref="G121:G132" si="7">+C121/SUM(C121:C132)</f>
        <v>7.783097557628979E-2</v>
      </c>
      <c r="I121" s="21" t="s">
        <v>530</v>
      </c>
      <c r="J121" s="24">
        <v>9.6505490958958107E-2</v>
      </c>
      <c r="L121" s="21" t="s">
        <v>532</v>
      </c>
      <c r="M121" s="17">
        <v>10137268563.42</v>
      </c>
    </row>
    <row r="122" spans="1:13" x14ac:dyDescent="0.25">
      <c r="A122" s="5">
        <f>+'[1]Graficos montos'!$A$12</f>
        <v>2014</v>
      </c>
      <c r="B122" s="9" t="s">
        <v>531</v>
      </c>
      <c r="C122" s="18">
        <f>+GETPIVOTDATA("Suma de Febrero",$A$15,"Año",2014)</f>
        <v>230660033237.29999</v>
      </c>
      <c r="E122" s="5">
        <f>+'[1]Graficos montos'!$A$12</f>
        <v>2014</v>
      </c>
      <c r="F122" s="9" t="s">
        <v>531</v>
      </c>
      <c r="G122" s="23">
        <f t="shared" si="7"/>
        <v>6.509435905333659E-2</v>
      </c>
      <c r="I122" s="21" t="s">
        <v>529</v>
      </c>
      <c r="J122" s="24">
        <v>7.5178351539635979E-2</v>
      </c>
      <c r="L122" s="21" t="s">
        <v>531</v>
      </c>
      <c r="M122" s="17">
        <v>9487901956.6900005</v>
      </c>
    </row>
    <row r="123" spans="1:13" x14ac:dyDescent="0.25">
      <c r="A123" s="5">
        <f>+'[1]Graficos montos'!$A$12</f>
        <v>2014</v>
      </c>
      <c r="B123" s="9" t="s">
        <v>530</v>
      </c>
      <c r="C123" s="18">
        <f>+GETPIVOTDATA("Suma de Marzo",$A$15,"Año",2014)</f>
        <v>346225815145.28998</v>
      </c>
      <c r="E123" s="5">
        <f>+'[1]Graficos montos'!$A$12</f>
        <v>2014</v>
      </c>
      <c r="F123" s="9" t="s">
        <v>530</v>
      </c>
      <c r="G123" s="23">
        <f t="shared" si="7"/>
        <v>9.7026266274015671E-2</v>
      </c>
      <c r="I123" s="21" t="s">
        <v>528</v>
      </c>
      <c r="J123" s="24">
        <v>6.4658666762898193E-2</v>
      </c>
      <c r="L123" s="21" t="s">
        <v>530</v>
      </c>
      <c r="M123" s="17">
        <v>8852766171.4300003</v>
      </c>
    </row>
    <row r="124" spans="1:13" x14ac:dyDescent="0.25">
      <c r="A124" s="5">
        <f>+'[1]Graficos montos'!$A$12</f>
        <v>2014</v>
      </c>
      <c r="B124" s="9" t="s">
        <v>529</v>
      </c>
      <c r="C124" s="18">
        <f>+GETPIVOTDATA("Suma de Abril",$A$15,"Año",2014)</f>
        <v>281705580262.70001</v>
      </c>
      <c r="E124" s="5">
        <f>+'[1]Graficos montos'!$A$12</f>
        <v>2014</v>
      </c>
      <c r="F124" s="9" t="s">
        <v>529</v>
      </c>
      <c r="G124" s="23">
        <f t="shared" si="7"/>
        <v>7.785237747426571E-2</v>
      </c>
      <c r="I124" s="21" t="s">
        <v>527</v>
      </c>
      <c r="J124" s="24">
        <v>8.7451438686182367E-2</v>
      </c>
      <c r="L124" s="21" t="s">
        <v>529</v>
      </c>
      <c r="M124" s="17">
        <v>10024697175.73</v>
      </c>
    </row>
    <row r="125" spans="1:13" x14ac:dyDescent="0.25">
      <c r="A125" s="5">
        <f>+'[1]Graficos montos'!$A$12</f>
        <v>2014</v>
      </c>
      <c r="B125" s="9" t="s">
        <v>528</v>
      </c>
      <c r="C125" s="18">
        <f>+GETPIVOTDATA("Suma de Mayo",$A$15,"Año",2014)</f>
        <v>233846507399.95999</v>
      </c>
      <c r="E125" s="5">
        <f>+'[1]Graficos montos'!$A$12</f>
        <v>2014</v>
      </c>
      <c r="F125" s="9" t="s">
        <v>528</v>
      </c>
      <c r="G125" s="23">
        <f t="shared" si="7"/>
        <v>6.4724423962435718E-2</v>
      </c>
      <c r="I125" s="21" t="s">
        <v>526</v>
      </c>
      <c r="J125" s="24">
        <v>7.7608993398630505E-2</v>
      </c>
      <c r="L125" s="21" t="s">
        <v>528</v>
      </c>
      <c r="M125" s="17">
        <v>10429460002.620001</v>
      </c>
    </row>
    <row r="126" spans="1:13" x14ac:dyDescent="0.25">
      <c r="A126" s="5">
        <f>+'[1]Graficos montos'!$A$12</f>
        <v>2014</v>
      </c>
      <c r="B126" s="9" t="s">
        <v>527</v>
      </c>
      <c r="C126" s="18">
        <f>+GETPIVOTDATA("Suma de Junio",$A$15,"Año",2014)</f>
        <v>307525011818.74994</v>
      </c>
      <c r="E126" s="5">
        <f>+'[1]Graficos montos'!$A$12</f>
        <v>2014</v>
      </c>
      <c r="F126" s="9" t="s">
        <v>527</v>
      </c>
      <c r="G126" s="23">
        <f t="shared" si="7"/>
        <v>8.4924900379575632E-2</v>
      </c>
      <c r="I126" s="21" t="s">
        <v>525</v>
      </c>
      <c r="J126" s="24">
        <v>6.6453753217805139E-2</v>
      </c>
      <c r="L126" s="21" t="s">
        <v>527</v>
      </c>
      <c r="M126" s="17">
        <v>9467715399.2000008</v>
      </c>
    </row>
    <row r="127" spans="1:13" x14ac:dyDescent="0.25">
      <c r="A127" s="5">
        <f>+'[1]Graficos montos'!$A$12</f>
        <v>2014</v>
      </c>
      <c r="B127" s="9" t="s">
        <v>526</v>
      </c>
      <c r="C127" s="18">
        <f>+GETPIVOTDATA("Suma de Julio",$A$15,"Año",2014)</f>
        <v>260237241275.96997</v>
      </c>
      <c r="E127" s="5">
        <f>+'[1]Graficos montos'!$A$12</f>
        <v>2014</v>
      </c>
      <c r="F127" s="9" t="s">
        <v>526</v>
      </c>
      <c r="G127" s="23">
        <f t="shared" si="7"/>
        <v>7.1180793607456411E-2</v>
      </c>
      <c r="I127" s="21" t="s">
        <v>524</v>
      </c>
      <c r="J127" s="24">
        <v>9.0733556604816884E-2</v>
      </c>
      <c r="L127" s="21" t="s">
        <v>526</v>
      </c>
      <c r="M127" s="17">
        <v>10883391887.459999</v>
      </c>
    </row>
    <row r="128" spans="1:13" x14ac:dyDescent="0.25">
      <c r="A128" s="5">
        <f>+'[1]Graficos montos'!$A$12</f>
        <v>2014</v>
      </c>
      <c r="B128" s="9" t="s">
        <v>525</v>
      </c>
      <c r="C128" s="18">
        <f>+GETPIVOTDATA("Suma de Agosto",$A$15,"Año",2014)</f>
        <v>232911660935.10999</v>
      </c>
      <c r="E128" s="5">
        <f>+'[1]Graficos montos'!$A$12</f>
        <v>2014</v>
      </c>
      <c r="F128" s="9" t="s">
        <v>525</v>
      </c>
      <c r="G128" s="23">
        <f t="shared" si="7"/>
        <v>6.3353519344573603E-2</v>
      </c>
      <c r="I128" s="21" t="s">
        <v>523</v>
      </c>
      <c r="J128" s="24">
        <v>7.6396609366460075E-2</v>
      </c>
      <c r="L128" s="21" t="s">
        <v>525</v>
      </c>
      <c r="M128" s="17">
        <v>10709182471.76</v>
      </c>
    </row>
    <row r="129" spans="1:13" x14ac:dyDescent="0.25">
      <c r="A129" s="5">
        <f>+'[1]Graficos montos'!$A$12</f>
        <v>2014</v>
      </c>
      <c r="B129" s="9" t="s">
        <v>524</v>
      </c>
      <c r="C129" s="18">
        <f>+GETPIVOTDATA("Suma de Setiembre",$A$15,"Año",2014)</f>
        <v>328025410780.56995</v>
      </c>
      <c r="E129" s="5">
        <f>+'[1]Graficos montos'!$A$12</f>
        <v>2014</v>
      </c>
      <c r="F129" s="9" t="s">
        <v>524</v>
      </c>
      <c r="G129" s="23">
        <f t="shared" si="7"/>
        <v>8.8388456306428442E-2</v>
      </c>
      <c r="I129" s="21" t="s">
        <v>522</v>
      </c>
      <c r="J129" s="24">
        <v>7.1902106530732049E-2</v>
      </c>
      <c r="L129" s="21" t="s">
        <v>524</v>
      </c>
      <c r="M129" s="17">
        <v>12027996435.93</v>
      </c>
    </row>
    <row r="130" spans="1:13" x14ac:dyDescent="0.25">
      <c r="A130" s="5">
        <f>+'[1]Graficos montos'!$A$12</f>
        <v>2014</v>
      </c>
      <c r="B130" s="9" t="s">
        <v>523</v>
      </c>
      <c r="C130" s="18">
        <f>+GETPIVOTDATA("Suma de Octubre",$A$15,"Año",2014)</f>
        <v>264871586222.80002</v>
      </c>
      <c r="E130" s="5">
        <f>+'[1]Graficos montos'!$A$12</f>
        <v>2014</v>
      </c>
      <c r="F130" s="9" t="s">
        <v>523</v>
      </c>
      <c r="G130" s="23">
        <f t="shared" si="7"/>
        <v>7.0985395561024539E-2</v>
      </c>
      <c r="I130" s="21" t="s">
        <v>521</v>
      </c>
      <c r="J130" s="24">
        <v>0.14653609519885996</v>
      </c>
      <c r="L130" s="21" t="s">
        <v>523</v>
      </c>
      <c r="M130" s="17">
        <v>13239741188.65</v>
      </c>
    </row>
    <row r="131" spans="1:13" x14ac:dyDescent="0.25">
      <c r="A131" s="5">
        <f>+'[1]Graficos montos'!$A$12</f>
        <v>2014</v>
      </c>
      <c r="B131" s="9" t="s">
        <v>522</v>
      </c>
      <c r="C131" s="18">
        <f>+GETPIVOTDATA("Suma de Noviembre",$A$15,"Año",2014)</f>
        <v>256825903691.15002</v>
      </c>
      <c r="E131" s="5">
        <f>+'[1]Graficos montos'!$A$12</f>
        <v>2014</v>
      </c>
      <c r="F131" s="9" t="s">
        <v>522</v>
      </c>
      <c r="G131" s="23">
        <f t="shared" si="7"/>
        <v>6.8446665593610082E-2</v>
      </c>
      <c r="I131" s="16">
        <v>2014</v>
      </c>
      <c r="J131" s="24">
        <v>0.96301295533721032</v>
      </c>
      <c r="L131" s="21" t="s">
        <v>522</v>
      </c>
      <c r="M131" s="17">
        <v>13024650670.67</v>
      </c>
    </row>
    <row r="132" spans="1:13" x14ac:dyDescent="0.25">
      <c r="A132" s="5">
        <f>+'[1]Graficos montos'!$A$12</f>
        <v>2014</v>
      </c>
      <c r="B132" s="9" t="s">
        <v>521</v>
      </c>
      <c r="C132" s="18">
        <f>+GETPIVOTDATA("Suma de Diciembre",$A$15,"Año",2014)</f>
        <v>505452605288.14001</v>
      </c>
      <c r="E132" s="5">
        <f>+'[1]Graficos montos'!$A$12</f>
        <v>2014</v>
      </c>
      <c r="F132" s="9" t="s">
        <v>521</v>
      </c>
      <c r="G132" s="23">
        <f t="shared" si="7"/>
        <v>0.13320482220419819</v>
      </c>
      <c r="I132" s="21" t="s">
        <v>532</v>
      </c>
      <c r="J132" s="24">
        <v>7.783097557628979E-2</v>
      </c>
      <c r="L132" s="21" t="s">
        <v>521</v>
      </c>
      <c r="M132" s="17">
        <v>12349119826.139999</v>
      </c>
    </row>
    <row r="133" spans="1:13" x14ac:dyDescent="0.25">
      <c r="A133" s="5">
        <f>+'[1]Graficos montos'!$A$13</f>
        <v>2015</v>
      </c>
      <c r="B133" s="9" t="s">
        <v>532</v>
      </c>
      <c r="C133" s="18">
        <f>+GETPIVOTDATA("Suma de Enero",$A$15,"Año",2015)</f>
        <v>295184560584.12</v>
      </c>
      <c r="E133" s="5">
        <f>+'[1]Graficos montos'!$A$13</f>
        <v>2015</v>
      </c>
      <c r="F133" s="9" t="s">
        <v>532</v>
      </c>
      <c r="G133" s="23">
        <f t="shared" ref="G133:G144" si="8">+C133/SUM($C$133:$C$143)</f>
        <v>8.9746322049655644E-2</v>
      </c>
      <c r="I133" s="21" t="s">
        <v>531</v>
      </c>
      <c r="J133" s="24">
        <v>6.509435905333659E-2</v>
      </c>
      <c r="L133" s="16">
        <v>2014</v>
      </c>
      <c r="M133" s="17">
        <v>142225523498.86002</v>
      </c>
    </row>
    <row r="134" spans="1:13" x14ac:dyDescent="0.25">
      <c r="A134" s="5">
        <f>+'[1]Graficos montos'!$A$13</f>
        <v>2015</v>
      </c>
      <c r="B134" s="9" t="s">
        <v>531</v>
      </c>
      <c r="C134" s="18">
        <f>+GETPIVOTDATA("Suma de Febrero",$A$15,"Año",2015)</f>
        <v>255560150694.95004</v>
      </c>
      <c r="E134" s="5">
        <f>+'[1]Graficos montos'!$A$13</f>
        <v>2015</v>
      </c>
      <c r="F134" s="9" t="s">
        <v>531</v>
      </c>
      <c r="G134" s="23">
        <f t="shared" si="8"/>
        <v>7.7699130137233119E-2</v>
      </c>
      <c r="I134" s="21" t="s">
        <v>530</v>
      </c>
      <c r="J134" s="24">
        <v>9.7026266274015671E-2</v>
      </c>
      <c r="L134" s="21" t="s">
        <v>532</v>
      </c>
      <c r="M134" s="17">
        <v>9967659520.7099991</v>
      </c>
    </row>
    <row r="135" spans="1:13" x14ac:dyDescent="0.25">
      <c r="A135" s="5">
        <f>+'[1]Graficos montos'!$A$13</f>
        <v>2015</v>
      </c>
      <c r="B135" s="9" t="s">
        <v>530</v>
      </c>
      <c r="C135" s="18">
        <f>+GETPIVOTDATA("Suma de Marzo",$A$15,"Año",2015)</f>
        <v>396312065840.20996</v>
      </c>
      <c r="E135" s="5">
        <f>+'[1]Graficos montos'!$A$13</f>
        <v>2015</v>
      </c>
      <c r="F135" s="9" t="s">
        <v>530</v>
      </c>
      <c r="G135" s="23">
        <f t="shared" si="8"/>
        <v>0.12049258342874603</v>
      </c>
      <c r="I135" s="21" t="s">
        <v>529</v>
      </c>
      <c r="J135" s="24">
        <v>7.785237747426571E-2</v>
      </c>
      <c r="L135" s="21" t="s">
        <v>531</v>
      </c>
      <c r="M135" s="17">
        <v>10087636647.66</v>
      </c>
    </row>
    <row r="136" spans="1:13" x14ac:dyDescent="0.25">
      <c r="A136" s="5">
        <f>+'[1]Graficos montos'!$A$13</f>
        <v>2015</v>
      </c>
      <c r="B136" s="9" t="s">
        <v>529</v>
      </c>
      <c r="C136" s="18">
        <f>+GETPIVOTDATA("Suma de Abril",$A$15,"Año",2015)</f>
        <v>276203473118.89001</v>
      </c>
      <c r="E136" s="5">
        <f>+'[1]Graficos montos'!$A$13</f>
        <v>2015</v>
      </c>
      <c r="F136" s="9" t="s">
        <v>529</v>
      </c>
      <c r="G136" s="23">
        <f t="shared" si="8"/>
        <v>8.3975414570157697E-2</v>
      </c>
      <c r="I136" s="21" t="s">
        <v>528</v>
      </c>
      <c r="J136" s="24">
        <v>6.4724423962435718E-2</v>
      </c>
      <c r="L136" s="21" t="s">
        <v>530</v>
      </c>
      <c r="M136" s="17">
        <v>12258695918.85</v>
      </c>
    </row>
    <row r="137" spans="1:13" x14ac:dyDescent="0.25">
      <c r="A137" s="5">
        <f>+'[1]Graficos montos'!$A$13</f>
        <v>2015</v>
      </c>
      <c r="B137" s="9" t="s">
        <v>528</v>
      </c>
      <c r="C137" s="18">
        <f>+GETPIVOTDATA("Suma de Mayo",$A$15,"Año",2015)</f>
        <v>242031013391.62997</v>
      </c>
      <c r="E137" s="5">
        <f>+'[1]Graficos montos'!$A$13</f>
        <v>2015</v>
      </c>
      <c r="F137" s="9" t="s">
        <v>528</v>
      </c>
      <c r="G137" s="23">
        <f t="shared" si="8"/>
        <v>7.3585804185919479E-2</v>
      </c>
      <c r="I137" s="21" t="s">
        <v>527</v>
      </c>
      <c r="J137" s="24">
        <v>8.4924900379575632E-2</v>
      </c>
      <c r="L137" s="21" t="s">
        <v>529</v>
      </c>
      <c r="M137" s="17">
        <v>10892021667.59</v>
      </c>
    </row>
    <row r="138" spans="1:13" x14ac:dyDescent="0.25">
      <c r="A138" s="5">
        <f>+'[1]Graficos montos'!$A$13</f>
        <v>2015</v>
      </c>
      <c r="B138" s="9" t="s">
        <v>527</v>
      </c>
      <c r="C138" s="18">
        <f>+GETPIVOTDATA("Suma de Junio",$A$15,"Año",2015)</f>
        <v>342387978699.25</v>
      </c>
      <c r="E138" s="5">
        <f>+'[1]Graficos montos'!$A$13</f>
        <v>2015</v>
      </c>
      <c r="F138" s="9" t="s">
        <v>527</v>
      </c>
      <c r="G138" s="23">
        <f t="shared" si="8"/>
        <v>0.10409779475412916</v>
      </c>
      <c r="I138" s="21" t="s">
        <v>526</v>
      </c>
      <c r="J138" s="24">
        <v>7.1180793607456411E-2</v>
      </c>
      <c r="L138" s="21" t="s">
        <v>528</v>
      </c>
      <c r="M138" s="17">
        <v>12497616759.76</v>
      </c>
    </row>
    <row r="139" spans="1:13" x14ac:dyDescent="0.25">
      <c r="A139" s="5">
        <f>+'[1]Graficos montos'!$A$13</f>
        <v>2015</v>
      </c>
      <c r="B139" s="9" t="s">
        <v>526</v>
      </c>
      <c r="C139" s="18">
        <f>+GETPIVOTDATA("Suma de Julio",$A$15,"Año",2015)</f>
        <v>280614371879.58002</v>
      </c>
      <c r="E139" s="5">
        <f>+'[1]Graficos montos'!$A$13</f>
        <v>2015</v>
      </c>
      <c r="F139" s="9" t="s">
        <v>526</v>
      </c>
      <c r="G139" s="23">
        <f t="shared" si="8"/>
        <v>8.5316480444070503E-2</v>
      </c>
      <c r="I139" s="21" t="s">
        <v>525</v>
      </c>
      <c r="J139" s="24">
        <v>6.3353519344573603E-2</v>
      </c>
      <c r="L139" s="21" t="s">
        <v>527</v>
      </c>
      <c r="M139" s="17">
        <v>10602200396.889999</v>
      </c>
    </row>
    <row r="140" spans="1:13" x14ac:dyDescent="0.25">
      <c r="A140" s="5">
        <f>+'[1]Graficos montos'!$A$13</f>
        <v>2015</v>
      </c>
      <c r="B140" s="9" t="s">
        <v>525</v>
      </c>
      <c r="C140" s="18">
        <f>+GETPIVOTDATA("Suma de Agosto",$A$15,"Año",2015)</f>
        <v>267710195389.91</v>
      </c>
      <c r="E140" s="5">
        <f>+'[1]Graficos montos'!$A$13</f>
        <v>2015</v>
      </c>
      <c r="F140" s="9" t="s">
        <v>525</v>
      </c>
      <c r="G140" s="23">
        <f t="shared" si="8"/>
        <v>8.1393164208506452E-2</v>
      </c>
      <c r="I140" s="21" t="s">
        <v>524</v>
      </c>
      <c r="J140" s="24">
        <v>8.8388456306428442E-2</v>
      </c>
      <c r="L140" s="21" t="s">
        <v>526</v>
      </c>
      <c r="M140" s="17">
        <v>11934237922.93</v>
      </c>
    </row>
    <row r="141" spans="1:13" x14ac:dyDescent="0.25">
      <c r="A141" s="5">
        <f>+'[1]Graficos montos'!$A$13</f>
        <v>2015</v>
      </c>
      <c r="B141" s="9" t="s">
        <v>524</v>
      </c>
      <c r="C141" s="18">
        <f>+GETPIVOTDATA("Suma de Setiembre",$A$15,"Año",2015)</f>
        <v>348199342292.2301</v>
      </c>
      <c r="E141" s="5">
        <f>+'[1]Graficos montos'!$A$13</f>
        <v>2015</v>
      </c>
      <c r="F141" s="9" t="s">
        <v>524</v>
      </c>
      <c r="G141" s="23">
        <f t="shared" si="8"/>
        <v>0.10586465040379857</v>
      </c>
      <c r="I141" s="21" t="s">
        <v>523</v>
      </c>
      <c r="J141" s="24">
        <v>7.0985395561024539E-2</v>
      </c>
      <c r="L141" s="21" t="s">
        <v>525</v>
      </c>
      <c r="M141" s="17">
        <v>11527595841.35</v>
      </c>
    </row>
    <row r="142" spans="1:13" x14ac:dyDescent="0.25">
      <c r="A142" s="5">
        <f>+'[1]Graficos montos'!$A$13</f>
        <v>2015</v>
      </c>
      <c r="B142" s="9" t="s">
        <v>523</v>
      </c>
      <c r="C142" s="18">
        <f>+GETPIVOTDATA("Suma de Octubre",$A$15,"Año",2015)</f>
        <v>285723088094.75</v>
      </c>
      <c r="E142" s="5">
        <f>+'[1]Graficos montos'!$A$13</f>
        <v>2015</v>
      </c>
      <c r="F142" s="9" t="s">
        <v>523</v>
      </c>
      <c r="G142" s="23">
        <f t="shared" si="8"/>
        <v>8.6869706973939392E-2</v>
      </c>
      <c r="I142" s="21" t="s">
        <v>522</v>
      </c>
      <c r="J142" s="24">
        <v>6.8446665593610082E-2</v>
      </c>
      <c r="L142" s="21" t="s">
        <v>524</v>
      </c>
      <c r="M142" s="17">
        <v>11789757386.23</v>
      </c>
    </row>
    <row r="143" spans="1:13" x14ac:dyDescent="0.25">
      <c r="A143" s="5">
        <f>+'[1]Graficos montos'!$A$13</f>
        <v>2015</v>
      </c>
      <c r="B143" s="9" t="s">
        <v>522</v>
      </c>
      <c r="C143" s="18">
        <f>+GETPIVOTDATA("Suma de Noviembre",$A$15,"Año",2015)</f>
        <v>299173010463.96002</v>
      </c>
      <c r="E143" s="5">
        <f>+'[1]Graficos montos'!$A$13</f>
        <v>2015</v>
      </c>
      <c r="F143" s="9" t="s">
        <v>522</v>
      </c>
      <c r="G143" s="23">
        <f t="shared" si="8"/>
        <v>9.0958948843844034E-2</v>
      </c>
      <c r="I143" s="21" t="s">
        <v>521</v>
      </c>
      <c r="J143" s="24">
        <v>0.13320482220419819</v>
      </c>
      <c r="L143" s="21" t="s">
        <v>523</v>
      </c>
      <c r="M143" s="17">
        <v>13785712657.84</v>
      </c>
    </row>
    <row r="144" spans="1:13" x14ac:dyDescent="0.25">
      <c r="A144" s="5">
        <f>+'[1]Graficos montos'!$A$13</f>
        <v>2015</v>
      </c>
      <c r="B144" s="9" t="s">
        <v>521</v>
      </c>
      <c r="C144" s="18">
        <f>+GETPIVOTDATA("Suma de Diciembre",$A$15,"Año",2015)</f>
        <v>572813865216.1001</v>
      </c>
      <c r="E144" s="5">
        <f>+'[1]Graficos montos'!$A$13</f>
        <v>2015</v>
      </c>
      <c r="F144" s="9" t="s">
        <v>521</v>
      </c>
      <c r="G144" s="23">
        <f t="shared" si="8"/>
        <v>0.17415523874441333</v>
      </c>
      <c r="I144" s="16">
        <v>2015</v>
      </c>
      <c r="J144" s="24">
        <v>1.1741552387444132</v>
      </c>
      <c r="L144" s="21" t="s">
        <v>522</v>
      </c>
      <c r="M144" s="17">
        <v>14036188380.27</v>
      </c>
    </row>
    <row r="145" spans="1:13" x14ac:dyDescent="0.25">
      <c r="A145" s="5">
        <f>+'[1]Graficos montos'!$A$14</f>
        <v>2016</v>
      </c>
      <c r="B145" s="9" t="s">
        <v>532</v>
      </c>
      <c r="C145" s="18">
        <f>+GETPIVOTDATA("Suma de Enero",$A$15,"Año",2016)</f>
        <v>317229199475.97998</v>
      </c>
      <c r="E145" s="5">
        <f>+'[1]Graficos montos'!$A$14</f>
        <v>2016</v>
      </c>
      <c r="F145" s="9" t="s">
        <v>532</v>
      </c>
      <c r="G145" s="23">
        <f t="shared" ref="G145:G156" si="9">+C145/SUM($C$145:$C$156)</f>
        <v>7.6115405709737349E-2</v>
      </c>
      <c r="I145" s="21" t="s">
        <v>532</v>
      </c>
      <c r="J145" s="24">
        <v>8.9746322049655644E-2</v>
      </c>
      <c r="L145" s="21" t="s">
        <v>521</v>
      </c>
      <c r="M145" s="17">
        <v>12846200398.780001</v>
      </c>
    </row>
    <row r="146" spans="1:13" x14ac:dyDescent="0.25">
      <c r="A146" s="5">
        <f>+'[1]Graficos montos'!$A$14</f>
        <v>2016</v>
      </c>
      <c r="B146" s="9" t="s">
        <v>531</v>
      </c>
      <c r="C146" s="18">
        <f>+GETPIVOTDATA("Suma de Febrero",$A$15,"Año",2016)</f>
        <v>276099392802.90002</v>
      </c>
      <c r="E146" s="5">
        <f>+'[1]Graficos montos'!$A$14</f>
        <v>2016</v>
      </c>
      <c r="F146" s="9" t="s">
        <v>531</v>
      </c>
      <c r="G146" s="23">
        <f t="shared" si="9"/>
        <v>6.6246793593148154E-2</v>
      </c>
      <c r="I146" s="21" t="s">
        <v>531</v>
      </c>
      <c r="J146" s="24">
        <v>7.7699130137233119E-2</v>
      </c>
      <c r="L146" s="16">
        <v>2015</v>
      </c>
      <c r="M146" s="17">
        <v>148666094214.15997</v>
      </c>
    </row>
    <row r="147" spans="1:13" x14ac:dyDescent="0.25">
      <c r="A147" s="5">
        <f>+'[1]Graficos montos'!$A$14</f>
        <v>2016</v>
      </c>
      <c r="B147" s="9" t="s">
        <v>530</v>
      </c>
      <c r="C147" s="18">
        <f>+GETPIVOTDATA("Suma de Marzo",$A$15,"Año",2016)</f>
        <v>419932507678.67999</v>
      </c>
      <c r="E147" s="5">
        <f>+'[1]Graficos montos'!$A$14</f>
        <v>2016</v>
      </c>
      <c r="F147" s="9" t="s">
        <v>530</v>
      </c>
      <c r="G147" s="23">
        <f t="shared" si="9"/>
        <v>0.10075785345570097</v>
      </c>
      <c r="I147" s="21" t="s">
        <v>530</v>
      </c>
      <c r="J147" s="24">
        <v>0.12049258342874603</v>
      </c>
      <c r="L147" s="21" t="s">
        <v>532</v>
      </c>
      <c r="M147" s="17">
        <v>10502171015.610001</v>
      </c>
    </row>
    <row r="148" spans="1:13" x14ac:dyDescent="0.25">
      <c r="A148" s="5">
        <f>+'[1]Graficos montos'!$A$14</f>
        <v>2016</v>
      </c>
      <c r="B148" s="9" t="s">
        <v>529</v>
      </c>
      <c r="C148" s="18">
        <f>+GETPIVOTDATA("Suma de Abril",$A$15,"Año",2016)</f>
        <v>315286741338.87006</v>
      </c>
      <c r="E148" s="5">
        <f>+'[1]Graficos montos'!$A$14</f>
        <v>2016</v>
      </c>
      <c r="F148" s="9" t="s">
        <v>529</v>
      </c>
      <c r="G148" s="23">
        <f t="shared" si="9"/>
        <v>7.5649335784823329E-2</v>
      </c>
      <c r="I148" s="21" t="s">
        <v>529</v>
      </c>
      <c r="J148" s="24">
        <v>8.3975414570157697E-2</v>
      </c>
      <c r="L148" s="21" t="s">
        <v>531</v>
      </c>
      <c r="M148" s="17">
        <v>10410639620.559999</v>
      </c>
    </row>
    <row r="149" spans="1:13" x14ac:dyDescent="0.25">
      <c r="A149" s="5">
        <f>+'[1]Graficos montos'!$A$14</f>
        <v>2016</v>
      </c>
      <c r="B149" s="9" t="s">
        <v>528</v>
      </c>
      <c r="C149" s="18">
        <f>+GETPIVOTDATA("Suma de Mayo",$A$15,"Año",2016)</f>
        <v>271137592421.00003</v>
      </c>
      <c r="E149" s="5">
        <f>+'[1]Graficos montos'!$A$14</f>
        <v>2016</v>
      </c>
      <c r="F149" s="9" t="s">
        <v>528</v>
      </c>
      <c r="G149" s="23">
        <f t="shared" si="9"/>
        <v>6.5056268100088549E-2</v>
      </c>
      <c r="I149" s="21" t="s">
        <v>528</v>
      </c>
      <c r="J149" s="24">
        <v>7.3585804185919479E-2</v>
      </c>
      <c r="L149" s="21" t="s">
        <v>530</v>
      </c>
      <c r="M149" s="17">
        <v>11844371368.209999</v>
      </c>
    </row>
    <row r="150" spans="1:13" x14ac:dyDescent="0.25">
      <c r="A150" s="5">
        <f>+'[1]Graficos montos'!$A$14</f>
        <v>2016</v>
      </c>
      <c r="B150" s="9" t="s">
        <v>527</v>
      </c>
      <c r="C150" s="18">
        <f>+GETPIVOTDATA("Suma de Junio",$A$15,"Año",2016)</f>
        <v>394330163941.81006</v>
      </c>
      <c r="E150" s="5">
        <f>+'[1]Graficos montos'!$A$14</f>
        <v>2016</v>
      </c>
      <c r="F150" s="9" t="s">
        <v>527</v>
      </c>
      <c r="G150" s="23">
        <f t="shared" si="9"/>
        <v>9.4614872973856762E-2</v>
      </c>
      <c r="I150" s="21" t="s">
        <v>527</v>
      </c>
      <c r="J150" s="24">
        <v>0.10409779475412916</v>
      </c>
      <c r="L150" s="21" t="s">
        <v>529</v>
      </c>
      <c r="M150" s="17">
        <v>10525401822.389999</v>
      </c>
    </row>
    <row r="151" spans="1:13" x14ac:dyDescent="0.25">
      <c r="A151" s="5">
        <f>+'[1]Graficos montos'!$A$14</f>
        <v>2016</v>
      </c>
      <c r="B151" s="9" t="s">
        <v>526</v>
      </c>
      <c r="C151" s="18">
        <f>+GETPIVOTDATA("Suma de Julio",$A$15,"Año",2016)</f>
        <v>297827704962.25995</v>
      </c>
      <c r="E151" s="5">
        <f>+'[1]Graficos montos'!$A$14</f>
        <v>2016</v>
      </c>
      <c r="F151" s="9" t="s">
        <v>526</v>
      </c>
      <c r="G151" s="23">
        <f t="shared" si="9"/>
        <v>7.1460245879789663E-2</v>
      </c>
      <c r="I151" s="21" t="s">
        <v>526</v>
      </c>
      <c r="J151" s="24">
        <v>8.5316480444070503E-2</v>
      </c>
      <c r="L151" s="21" t="s">
        <v>528</v>
      </c>
      <c r="M151" s="17">
        <v>11078077351.719999</v>
      </c>
    </row>
    <row r="152" spans="1:13" x14ac:dyDescent="0.25">
      <c r="A152" s="5">
        <f>+'[1]Graficos montos'!$A$14</f>
        <v>2016</v>
      </c>
      <c r="B152" s="9" t="s">
        <v>525</v>
      </c>
      <c r="C152" s="18">
        <f>+GETPIVOTDATA("Suma de Agosto",$A$15,"Año",2016)</f>
        <v>266598106437.24002</v>
      </c>
      <c r="E152" s="5">
        <f>+'[1]Graficos montos'!$A$14</f>
        <v>2016</v>
      </c>
      <c r="F152" s="9" t="s">
        <v>525</v>
      </c>
      <c r="G152" s="23">
        <f t="shared" si="9"/>
        <v>6.3967071967014039E-2</v>
      </c>
      <c r="I152" s="21" t="s">
        <v>525</v>
      </c>
      <c r="J152" s="24">
        <v>8.1393164208506452E-2</v>
      </c>
      <c r="L152" s="21" t="s">
        <v>527</v>
      </c>
      <c r="M152" s="17">
        <v>11397617088.92</v>
      </c>
    </row>
    <row r="153" spans="1:13" x14ac:dyDescent="0.25">
      <c r="A153" s="5">
        <f>+'[1]Graficos montos'!$A$14</f>
        <v>2016</v>
      </c>
      <c r="B153" s="9" t="s">
        <v>524</v>
      </c>
      <c r="C153" s="18">
        <f>+GETPIVOTDATA("Suma de Setiembre",$A$15,"Año",2016)</f>
        <v>383780078384.06006</v>
      </c>
      <c r="E153" s="5">
        <f>+'[1]Graficos montos'!$A$14</f>
        <v>2016</v>
      </c>
      <c r="F153" s="9" t="s">
        <v>524</v>
      </c>
      <c r="G153" s="23">
        <f t="shared" si="9"/>
        <v>9.2083504348815085E-2</v>
      </c>
      <c r="I153" s="21" t="s">
        <v>524</v>
      </c>
      <c r="J153" s="24">
        <v>0.10586465040379857</v>
      </c>
      <c r="L153" s="21" t="s">
        <v>526</v>
      </c>
      <c r="M153" s="17">
        <v>13292357601.139999</v>
      </c>
    </row>
    <row r="154" spans="1:13" x14ac:dyDescent="0.25">
      <c r="A154" s="5">
        <f>+'[1]Graficos montos'!$A$14</f>
        <v>2016</v>
      </c>
      <c r="B154" s="9" t="s">
        <v>523</v>
      </c>
      <c r="C154" s="18">
        <f>+GETPIVOTDATA("Suma de Octubre",$A$15,"Año",2016)</f>
        <v>311661497291.60004</v>
      </c>
      <c r="E154" s="5">
        <f>+'[1]Graficos montos'!$A$14</f>
        <v>2016</v>
      </c>
      <c r="F154" s="9" t="s">
        <v>523</v>
      </c>
      <c r="G154" s="23">
        <f t="shared" si="9"/>
        <v>7.4779501223847925E-2</v>
      </c>
      <c r="I154" s="21" t="s">
        <v>523</v>
      </c>
      <c r="J154" s="24">
        <v>8.6869706973939392E-2</v>
      </c>
      <c r="L154" s="21" t="s">
        <v>525</v>
      </c>
      <c r="M154" s="17">
        <v>11242105273.299999</v>
      </c>
    </row>
    <row r="155" spans="1:13" x14ac:dyDescent="0.25">
      <c r="A155" s="5">
        <f>+'[1]Graficos montos'!$A$14</f>
        <v>2016</v>
      </c>
      <c r="B155" s="9" t="s">
        <v>522</v>
      </c>
      <c r="C155" s="18">
        <f>+GETPIVOTDATA("Suma de Noviembre",$A$15,"Año",2016)</f>
        <v>315676559718.41998</v>
      </c>
      <c r="E155" s="5">
        <f>+'[1]Graficos montos'!$A$14</f>
        <v>2016</v>
      </c>
      <c r="F155" s="9" t="s">
        <v>522</v>
      </c>
      <c r="G155" s="23">
        <f t="shared" si="9"/>
        <v>7.574286810833443E-2</v>
      </c>
      <c r="I155" s="21" t="s">
        <v>522</v>
      </c>
      <c r="J155" s="24">
        <v>9.0958948843844034E-2</v>
      </c>
      <c r="L155" s="21" t="s">
        <v>524</v>
      </c>
      <c r="M155" s="17">
        <v>13587717115.52</v>
      </c>
    </row>
    <row r="156" spans="1:13" x14ac:dyDescent="0.25">
      <c r="A156" s="5">
        <f>+'[1]Graficos montos'!$A$14</f>
        <v>2016</v>
      </c>
      <c r="B156" s="9" t="s">
        <v>521</v>
      </c>
      <c r="C156" s="18">
        <f>+GETPIVOTDATA("Suma de Diciembre",$A$15,"Año",2016)</f>
        <v>598180172861.68994</v>
      </c>
      <c r="E156" s="5">
        <f>+'[1]Graficos montos'!$A$14</f>
        <v>2016</v>
      </c>
      <c r="F156" s="9" t="s">
        <v>521</v>
      </c>
      <c r="G156" s="23">
        <f t="shared" si="9"/>
        <v>0.14352627885484373</v>
      </c>
      <c r="I156" s="21" t="s">
        <v>521</v>
      </c>
      <c r="J156" s="24">
        <v>0.17415523874441333</v>
      </c>
      <c r="L156" s="21" t="s">
        <v>523</v>
      </c>
      <c r="M156" s="17">
        <v>14485744824.219999</v>
      </c>
    </row>
    <row r="157" spans="1:13" x14ac:dyDescent="0.25">
      <c r="A157" s="5">
        <f>+'[1]Graficos montos'!$A$15</f>
        <v>2017</v>
      </c>
      <c r="B157" s="9" t="s">
        <v>532</v>
      </c>
      <c r="C157" s="20">
        <f>+GETPIVOTDATA("Suma de Enero",$A$15,"Año",2017)</f>
        <v>343836014845.53992</v>
      </c>
      <c r="E157" s="5">
        <f>+'[1]Graficos montos'!$A$15</f>
        <v>2017</v>
      </c>
      <c r="F157" s="9" t="s">
        <v>532</v>
      </c>
      <c r="G157" s="23">
        <f t="shared" ref="G157:G168" si="10">+C157/SUM($C$157:$C$168)</f>
        <v>7.8307056778953138E-2</v>
      </c>
      <c r="I157" s="16">
        <v>2016</v>
      </c>
      <c r="J157" s="24">
        <v>0.99999999999999989</v>
      </c>
      <c r="L157" s="21" t="s">
        <v>522</v>
      </c>
      <c r="M157" s="17">
        <v>15553625017.68</v>
      </c>
    </row>
    <row r="158" spans="1:13" x14ac:dyDescent="0.25">
      <c r="A158" s="5">
        <f>+'[1]Graficos montos'!$A$15</f>
        <v>2017</v>
      </c>
      <c r="B158" s="9" t="s">
        <v>531</v>
      </c>
      <c r="C158" s="20">
        <f>+GETPIVOTDATA("Suma de Febrero",$A$15,"Año",2017)</f>
        <v>280392279972.29999</v>
      </c>
      <c r="E158" s="5">
        <f>+'[1]Graficos montos'!$A$15</f>
        <v>2017</v>
      </c>
      <c r="F158" s="9" t="s">
        <v>531</v>
      </c>
      <c r="G158" s="23">
        <f t="shared" si="10"/>
        <v>6.3858040577961378E-2</v>
      </c>
      <c r="I158" s="21" t="s">
        <v>532</v>
      </c>
      <c r="J158" s="24">
        <v>7.6115405709737349E-2</v>
      </c>
      <c r="L158" s="21" t="s">
        <v>521</v>
      </c>
      <c r="M158" s="17">
        <v>14746266114.889999</v>
      </c>
    </row>
    <row r="159" spans="1:13" x14ac:dyDescent="0.25">
      <c r="A159" s="5">
        <f>+'[1]Graficos montos'!$A$15</f>
        <v>2017</v>
      </c>
      <c r="B159" s="9" t="s">
        <v>530</v>
      </c>
      <c r="C159" s="20">
        <f>+GETPIVOTDATA("Suma de Marzo",$A$15,"Año",2017)</f>
        <v>474822059145.46002</v>
      </c>
      <c r="E159" s="5">
        <f>+'[1]Graficos montos'!$A$15</f>
        <v>2017</v>
      </c>
      <c r="F159" s="9" t="s">
        <v>530</v>
      </c>
      <c r="G159" s="23">
        <f t="shared" si="10"/>
        <v>0.10813852051567684</v>
      </c>
      <c r="I159" s="21" t="s">
        <v>531</v>
      </c>
      <c r="J159" s="24">
        <v>6.6246793593148154E-2</v>
      </c>
      <c r="L159" s="16">
        <v>2016</v>
      </c>
      <c r="M159" s="17">
        <v>158558842868.39001</v>
      </c>
    </row>
    <row r="160" spans="1:13" x14ac:dyDescent="0.25">
      <c r="A160" s="5">
        <f>+'[1]Graficos montos'!$A$15</f>
        <v>2017</v>
      </c>
      <c r="B160" s="9" t="s">
        <v>529</v>
      </c>
      <c r="C160" s="20">
        <f>+GETPIVOTDATA("Suma de Abril",$A$15,"Año",2017)</f>
        <v>306436207133.71002</v>
      </c>
      <c r="E160" s="5">
        <f>+'[1]Graficos montos'!$A$15</f>
        <v>2017</v>
      </c>
      <c r="F160" s="9" t="s">
        <v>529</v>
      </c>
      <c r="G160" s="23">
        <f t="shared" si="10"/>
        <v>6.9789424129773486E-2</v>
      </c>
      <c r="I160" s="21" t="s">
        <v>530</v>
      </c>
      <c r="J160" s="24">
        <v>0.10075785345570097</v>
      </c>
      <c r="L160" s="21" t="s">
        <v>532</v>
      </c>
      <c r="M160" s="17">
        <v>11474229008.610001</v>
      </c>
    </row>
    <row r="161" spans="1:13" x14ac:dyDescent="0.25">
      <c r="A161" s="5">
        <f>+'[1]Graficos montos'!$A$15</f>
        <v>2017</v>
      </c>
      <c r="B161" s="9" t="s">
        <v>528</v>
      </c>
      <c r="C161" s="20">
        <f>+GETPIVOTDATA("Suma de Mayo",$A$15,"Año",2017)</f>
        <v>300587597761.12994</v>
      </c>
      <c r="E161" s="5">
        <f>+'[1]Graficos montos'!$A$15</f>
        <v>2017</v>
      </c>
      <c r="F161" s="9" t="s">
        <v>528</v>
      </c>
      <c r="G161" s="23">
        <f t="shared" si="10"/>
        <v>6.8457430486169021E-2</v>
      </c>
      <c r="I161" s="21" t="s">
        <v>529</v>
      </c>
      <c r="J161" s="24">
        <v>7.5649335784823329E-2</v>
      </c>
      <c r="L161" s="21" t="s">
        <v>531</v>
      </c>
      <c r="M161" s="17">
        <v>11833556382.24</v>
      </c>
    </row>
    <row r="162" spans="1:13" x14ac:dyDescent="0.25">
      <c r="A162" s="5">
        <f>+'[1]Graficos montos'!$A$15</f>
        <v>2017</v>
      </c>
      <c r="B162" s="9" t="s">
        <v>527</v>
      </c>
      <c r="C162" s="20">
        <f>+GETPIVOTDATA("Suma de Junio",$A$15,"Año",2017)</f>
        <v>423549453791.07001</v>
      </c>
      <c r="E162" s="5">
        <f>+'[1]Graficos montos'!$A$15</f>
        <v>2017</v>
      </c>
      <c r="F162" s="9" t="s">
        <v>527</v>
      </c>
      <c r="G162" s="23">
        <f t="shared" si="10"/>
        <v>9.6461422581376036E-2</v>
      </c>
      <c r="I162" s="21" t="s">
        <v>528</v>
      </c>
      <c r="J162" s="24">
        <v>6.5056268100088549E-2</v>
      </c>
      <c r="L162" s="21" t="s">
        <v>530</v>
      </c>
      <c r="M162" s="17">
        <v>11439653217.9</v>
      </c>
    </row>
    <row r="163" spans="1:13" x14ac:dyDescent="0.25">
      <c r="A163" s="5">
        <f>+'[1]Graficos montos'!$A$15</f>
        <v>2017</v>
      </c>
      <c r="B163" s="9" t="s">
        <v>526</v>
      </c>
      <c r="C163" s="20">
        <f>+GETPIVOTDATA("Suma de Julio",$A$15,"Año",2017)</f>
        <v>291373542911.82001</v>
      </c>
      <c r="E163" s="5">
        <f>+'[1]Graficos montos'!$A$15</f>
        <v>2017</v>
      </c>
      <c r="F163" s="9" t="s">
        <v>526</v>
      </c>
      <c r="G163" s="23">
        <f t="shared" si="10"/>
        <v>6.6358972252893403E-2</v>
      </c>
      <c r="I163" s="21" t="s">
        <v>527</v>
      </c>
      <c r="J163" s="24">
        <v>9.4614872973856762E-2</v>
      </c>
      <c r="L163" s="21" t="s">
        <v>529</v>
      </c>
      <c r="M163" s="17">
        <v>11260447570.039999</v>
      </c>
    </row>
    <row r="164" spans="1:13" x14ac:dyDescent="0.25">
      <c r="A164" s="5">
        <f>+'[1]Graficos montos'!$A$15</f>
        <v>2017</v>
      </c>
      <c r="B164" s="9" t="s">
        <v>525</v>
      </c>
      <c r="C164" s="20">
        <f>+GETPIVOTDATA("Suma de Agosto",$A$15,"Año",2017)</f>
        <v>284514930615.25006</v>
      </c>
      <c r="E164" s="5">
        <f>+'[1]Graficos montos'!$A$15</f>
        <v>2017</v>
      </c>
      <c r="F164" s="9" t="s">
        <v>525</v>
      </c>
      <c r="G164" s="23">
        <f t="shared" si="10"/>
        <v>6.4796955130360157E-2</v>
      </c>
      <c r="I164" s="21" t="s">
        <v>526</v>
      </c>
      <c r="J164" s="24">
        <v>7.1460245879789663E-2</v>
      </c>
      <c r="L164" s="21" t="s">
        <v>528</v>
      </c>
      <c r="M164" s="17">
        <v>14482735989.140001</v>
      </c>
    </row>
    <row r="165" spans="1:13" x14ac:dyDescent="0.25">
      <c r="A165" s="5">
        <f>+'[1]Graficos montos'!$A$15</f>
        <v>2017</v>
      </c>
      <c r="B165" s="9" t="s">
        <v>524</v>
      </c>
      <c r="C165" s="20">
        <f>+GETPIVOTDATA("Suma de Setiembre",$A$15,"Año",2017)</f>
        <v>415992794020.99005</v>
      </c>
      <c r="E165" s="5">
        <f>+'[1]Graficos montos'!$A$15</f>
        <v>2017</v>
      </c>
      <c r="F165" s="9" t="s">
        <v>524</v>
      </c>
      <c r="G165" s="23">
        <f t="shared" si="10"/>
        <v>9.4740428386103304E-2</v>
      </c>
      <c r="I165" s="21" t="s">
        <v>525</v>
      </c>
      <c r="J165" s="24">
        <v>6.3967071967014039E-2</v>
      </c>
      <c r="L165" s="21" t="s">
        <v>527</v>
      </c>
      <c r="M165" s="17">
        <v>12622237964.860001</v>
      </c>
    </row>
    <row r="166" spans="1:13" x14ac:dyDescent="0.25">
      <c r="A166" s="5">
        <f>+'[1]Graficos montos'!$A$15</f>
        <v>2017</v>
      </c>
      <c r="B166" s="9" t="s">
        <v>523</v>
      </c>
      <c r="C166" s="20">
        <f>+GETPIVOTDATA("Suma de Octubre",$A$15,"Año",2017)</f>
        <v>309435440716.63</v>
      </c>
      <c r="E166" s="5">
        <f>+'[1]Graficos montos'!$A$15</f>
        <v>2017</v>
      </c>
      <c r="F166" s="9" t="s">
        <v>523</v>
      </c>
      <c r="G166" s="23">
        <f t="shared" si="10"/>
        <v>7.0472485660068862E-2</v>
      </c>
      <c r="I166" s="21" t="s">
        <v>524</v>
      </c>
      <c r="J166" s="24">
        <v>9.2083504348815085E-2</v>
      </c>
      <c r="L166" s="21" t="s">
        <v>526</v>
      </c>
      <c r="M166" s="17">
        <v>12690576017.58</v>
      </c>
    </row>
    <row r="167" spans="1:13" x14ac:dyDescent="0.25">
      <c r="A167" s="5">
        <f>+'[1]Graficos montos'!$A$15</f>
        <v>2017</v>
      </c>
      <c r="B167" s="9" t="s">
        <v>522</v>
      </c>
      <c r="C167" s="20">
        <f>+GETPIVOTDATA("Suma de Noviembre",$A$15,"Año",2017)</f>
        <v>332454415156.19</v>
      </c>
      <c r="E167" s="5">
        <f>+'[1]Graficos montos'!$A$15</f>
        <v>2017</v>
      </c>
      <c r="F167" s="9" t="s">
        <v>522</v>
      </c>
      <c r="G167" s="23">
        <f t="shared" si="10"/>
        <v>7.5714950267046249E-2</v>
      </c>
      <c r="I167" s="21" t="s">
        <v>523</v>
      </c>
      <c r="J167" s="24">
        <v>7.4779501223847925E-2</v>
      </c>
      <c r="L167" s="21" t="s">
        <v>525</v>
      </c>
      <c r="M167" s="17">
        <v>13713617706.27</v>
      </c>
    </row>
    <row r="168" spans="1:13" x14ac:dyDescent="0.25">
      <c r="A168" s="5">
        <f>+'[1]Graficos montos'!$A$15</f>
        <v>2017</v>
      </c>
      <c r="B168" s="9" t="s">
        <v>521</v>
      </c>
      <c r="C168" s="20">
        <f>+GETPIVOTDATA("Suma de Diciembre",$A$15,"Año",2017)</f>
        <v>627474094770.12</v>
      </c>
      <c r="E168" s="5">
        <f>+'[1]Graficos montos'!$A$15</f>
        <v>2017</v>
      </c>
      <c r="F168" s="9" t="s">
        <v>521</v>
      </c>
      <c r="G168" s="23">
        <f t="shared" si="10"/>
        <v>0.14290431323361813</v>
      </c>
      <c r="I168" s="21" t="s">
        <v>522</v>
      </c>
      <c r="J168" s="24">
        <v>7.574286810833443E-2</v>
      </c>
      <c r="L168" s="21" t="s">
        <v>524</v>
      </c>
      <c r="M168" s="17">
        <v>13672422106.709999</v>
      </c>
    </row>
    <row r="169" spans="1:13" x14ac:dyDescent="0.25">
      <c r="A169" s="5">
        <v>2018</v>
      </c>
      <c r="B169" s="9" t="s">
        <v>532</v>
      </c>
      <c r="C169" s="20">
        <f>+GETPIVOTDATA("Suma de Enero",$A$15,"Año",2018)</f>
        <v>374171218049.09998</v>
      </c>
      <c r="E169" s="5">
        <v>2018</v>
      </c>
      <c r="F169" s="9" t="s">
        <v>532</v>
      </c>
      <c r="G169" s="23">
        <f t="shared" ref="G169:G179" si="11">+C169/SUM($C$169:$C$180)</f>
        <v>8.1926961518730093E-2</v>
      </c>
      <c r="I169" s="21" t="s">
        <v>521</v>
      </c>
      <c r="J169" s="24">
        <v>0.14352627885484373</v>
      </c>
      <c r="L169" s="21" t="s">
        <v>523</v>
      </c>
      <c r="M169" s="17">
        <v>14318942544.98</v>
      </c>
    </row>
    <row r="170" spans="1:13" x14ac:dyDescent="0.25">
      <c r="A170" s="5">
        <v>2018</v>
      </c>
      <c r="B170" s="9" t="s">
        <v>531</v>
      </c>
      <c r="C170" s="18">
        <f>+GETPIVOTDATA("Suma de Febrero",$A$15,"Año",2018)</f>
        <v>278293190741.60999</v>
      </c>
      <c r="E170" s="5">
        <v>2018</v>
      </c>
      <c r="F170" s="9" t="s">
        <v>531</v>
      </c>
      <c r="G170" s="23">
        <f>+C170/SUM($C$169:$C$180)</f>
        <v>6.0933910544184726E-2</v>
      </c>
      <c r="I170" s="16">
        <v>2017</v>
      </c>
      <c r="J170" s="24">
        <v>1</v>
      </c>
      <c r="L170" s="21" t="s">
        <v>522</v>
      </c>
      <c r="M170" s="17">
        <v>16008753657.370001</v>
      </c>
    </row>
    <row r="171" spans="1:13" x14ac:dyDescent="0.25">
      <c r="A171" s="5">
        <v>2018</v>
      </c>
      <c r="B171" s="9" t="s">
        <v>530</v>
      </c>
      <c r="C171" s="18">
        <f>+GETPIVOTDATA("Suma de Marzo",$A$16,"Año",2018)</f>
        <v>462009571448.65002</v>
      </c>
      <c r="D171" s="77"/>
      <c r="E171" s="5">
        <v>2018</v>
      </c>
      <c r="F171" s="9" t="s">
        <v>530</v>
      </c>
      <c r="G171" s="23">
        <f>+C171/SUM($C$169:$C$180)</f>
        <v>0.10115967919368826</v>
      </c>
      <c r="I171" s="21" t="s">
        <v>532</v>
      </c>
      <c r="J171" s="24">
        <v>7.8307056778953138E-2</v>
      </c>
      <c r="L171" s="21" t="s">
        <v>521</v>
      </c>
      <c r="M171" s="17">
        <v>15041670702.690001</v>
      </c>
    </row>
    <row r="172" spans="1:13" x14ac:dyDescent="0.25">
      <c r="A172" s="5">
        <v>2018</v>
      </c>
      <c r="B172" s="9" t="s">
        <v>529</v>
      </c>
      <c r="C172" s="18">
        <f>+GETPIVOTDATA("Suma de Abril",$A$16,"Año",2018)</f>
        <v>350885506249.38</v>
      </c>
      <c r="E172" s="5">
        <v>2018</v>
      </c>
      <c r="F172" s="9" t="s">
        <v>529</v>
      </c>
      <c r="G172" s="23">
        <f t="shared" si="11"/>
        <v>7.6828419668026976E-2</v>
      </c>
      <c r="I172" s="21" t="s">
        <v>531</v>
      </c>
      <c r="J172" s="24">
        <v>6.3858040577961378E-2</v>
      </c>
      <c r="L172" s="16">
        <v>2017</v>
      </c>
      <c r="M172" s="17">
        <v>152755507577.12</v>
      </c>
    </row>
    <row r="173" spans="1:13" x14ac:dyDescent="0.25">
      <c r="A173" s="5">
        <v>2018</v>
      </c>
      <c r="B173" s="9" t="s">
        <v>528</v>
      </c>
      <c r="C173" s="18">
        <f>+GETPIVOTDATA("Suma de Mayo",$A$16,"Año",2018)</f>
        <v>268299827205.63995</v>
      </c>
      <c r="E173" s="5">
        <v>2018</v>
      </c>
      <c r="F173" s="9" t="s">
        <v>528</v>
      </c>
      <c r="G173" s="23">
        <f>+C173/SUM($C$169:$C$180)</f>
        <v>5.8745805552777662E-2</v>
      </c>
      <c r="I173" s="21" t="s">
        <v>530</v>
      </c>
      <c r="J173" s="24">
        <v>0.10813852051567684</v>
      </c>
      <c r="L173" s="21" t="s">
        <v>532</v>
      </c>
      <c r="M173" s="17">
        <v>12629754127.950001</v>
      </c>
    </row>
    <row r="174" spans="1:13" x14ac:dyDescent="0.25">
      <c r="A174" s="5">
        <v>2018</v>
      </c>
      <c r="B174" s="9" t="s">
        <v>527</v>
      </c>
      <c r="C174" s="18">
        <f>+GETPIVOTDATA("Suma de Junio",$A$16,"Año",2018)</f>
        <v>418059690573.59003</v>
      </c>
      <c r="E174" s="5">
        <v>2018</v>
      </c>
      <c r="F174" s="9" t="s">
        <v>527</v>
      </c>
      <c r="G174" s="23">
        <f t="shared" si="11"/>
        <v>9.1536597498689157E-2</v>
      </c>
      <c r="I174" s="21" t="s">
        <v>529</v>
      </c>
      <c r="J174" s="24">
        <v>6.9789424129773486E-2</v>
      </c>
      <c r="L174" s="21" t="s">
        <v>531</v>
      </c>
      <c r="M174" s="17">
        <v>11139139653.58</v>
      </c>
    </row>
    <row r="175" spans="1:13" x14ac:dyDescent="0.25">
      <c r="A175" s="5">
        <v>2018</v>
      </c>
      <c r="B175" s="9" t="s">
        <v>526</v>
      </c>
      <c r="C175" s="18">
        <f>+GETPIVOTDATA("Suma de Julio",$A$16,"Año",2018)</f>
        <v>326698737843.93994</v>
      </c>
      <c r="E175" s="5">
        <v>2018</v>
      </c>
      <c r="F175" s="9" t="s">
        <v>526</v>
      </c>
      <c r="G175" s="23">
        <f>+C175/SUM($C$169:$C$180)</f>
        <v>7.1532586239826473E-2</v>
      </c>
      <c r="I175" s="21" t="s">
        <v>528</v>
      </c>
      <c r="J175" s="24">
        <v>6.8457430486169021E-2</v>
      </c>
      <c r="L175" s="21" t="s">
        <v>530</v>
      </c>
      <c r="M175" s="17">
        <v>12350384258.98</v>
      </c>
    </row>
    <row r="176" spans="1:13" x14ac:dyDescent="0.25">
      <c r="A176" s="5">
        <v>2018</v>
      </c>
      <c r="B176" s="9" t="s">
        <v>525</v>
      </c>
      <c r="C176" s="18">
        <f>+GETPIVOTDATA("Suma de Agosto",$A$16,"Año",2018)</f>
        <v>280039396552.37</v>
      </c>
      <c r="E176" s="5">
        <v>2018</v>
      </c>
      <c r="F176" s="9" t="s">
        <v>525</v>
      </c>
      <c r="G176" s="23">
        <f t="shared" si="11"/>
        <v>6.1316252449069415E-2</v>
      </c>
      <c r="I176" s="21" t="s">
        <v>527</v>
      </c>
      <c r="J176" s="24">
        <v>9.6461422581376036E-2</v>
      </c>
      <c r="L176" s="21" t="s">
        <v>529</v>
      </c>
      <c r="M176" s="17">
        <v>9572608198.6599998</v>
      </c>
    </row>
    <row r="177" spans="1:13" x14ac:dyDescent="0.25">
      <c r="A177" s="5">
        <v>2018</v>
      </c>
      <c r="B177" s="9" t="s">
        <v>524</v>
      </c>
      <c r="C177" s="18">
        <f>+GETPIVOTDATA("Suma de Setiembre",$A$16,"Año",2018)</f>
        <v>398681538327.95007</v>
      </c>
      <c r="E177" s="5">
        <v>2018</v>
      </c>
      <c r="F177" s="9" t="s">
        <v>524</v>
      </c>
      <c r="G177" s="23">
        <f t="shared" si="11"/>
        <v>8.7293638508924451E-2</v>
      </c>
      <c r="I177" s="21" t="s">
        <v>526</v>
      </c>
      <c r="J177" s="24">
        <v>6.6358972252893403E-2</v>
      </c>
      <c r="L177" s="21" t="s">
        <v>528</v>
      </c>
      <c r="M177" s="17">
        <v>12871984232.01</v>
      </c>
    </row>
    <row r="178" spans="1:13" x14ac:dyDescent="0.25">
      <c r="A178" s="5">
        <v>2018</v>
      </c>
      <c r="B178" s="9" t="s">
        <v>523</v>
      </c>
      <c r="C178" s="18">
        <f>+GETPIVOTDATA("Suma de Octubre",$A$16,"Año",2018)</f>
        <v>338750292108.09998</v>
      </c>
      <c r="E178" s="5">
        <v>2018</v>
      </c>
      <c r="F178" s="9" t="s">
        <v>523</v>
      </c>
      <c r="G178" s="23">
        <f t="shared" si="11"/>
        <v>7.4171344045915036E-2</v>
      </c>
      <c r="I178" s="21" t="s">
        <v>525</v>
      </c>
      <c r="J178" s="24">
        <v>6.4796955130360157E-2</v>
      </c>
      <c r="L178" s="21" t="s">
        <v>527</v>
      </c>
      <c r="M178" s="17">
        <v>12569363630.85</v>
      </c>
    </row>
    <row r="179" spans="1:13" x14ac:dyDescent="0.25">
      <c r="A179" s="5">
        <v>2018</v>
      </c>
      <c r="B179" s="9" t="s">
        <v>522</v>
      </c>
      <c r="C179" s="18">
        <f>+GETPIVOTDATA("Suma de Noviembre",$A$16,"Año",2018)</f>
        <v>341343941462.31</v>
      </c>
      <c r="E179" s="5">
        <v>2018</v>
      </c>
      <c r="F179" s="9" t="s">
        <v>522</v>
      </c>
      <c r="G179" s="23">
        <f t="shared" si="11"/>
        <v>7.473923863690829E-2</v>
      </c>
      <c r="I179" s="21" t="s">
        <v>524</v>
      </c>
      <c r="J179" s="24">
        <v>9.4740428386103304E-2</v>
      </c>
      <c r="L179" s="21" t="s">
        <v>526</v>
      </c>
      <c r="M179" s="17">
        <v>11754339433.91</v>
      </c>
    </row>
    <row r="180" spans="1:13" x14ac:dyDescent="0.25">
      <c r="A180" s="5">
        <v>2018</v>
      </c>
      <c r="B180" s="9" t="s">
        <v>521</v>
      </c>
      <c r="C180" s="18">
        <f>+GETPIVOTDATA("Suma de Diciembre",$A$16,"Año",2018)</f>
        <v>729898728556.64001</v>
      </c>
      <c r="E180" s="5">
        <v>2018</v>
      </c>
      <c r="F180" s="9" t="s">
        <v>521</v>
      </c>
      <c r="G180" s="23">
        <f>+C180/SUM($C$169:$C$180)</f>
        <v>0.1598155661432594</v>
      </c>
      <c r="I180" s="21" t="s">
        <v>523</v>
      </c>
      <c r="J180" s="24">
        <v>7.0472485660068862E-2</v>
      </c>
      <c r="L180" s="21" t="s">
        <v>525</v>
      </c>
      <c r="M180" s="17">
        <v>12783264492.35</v>
      </c>
    </row>
    <row r="181" spans="1:13" x14ac:dyDescent="0.25">
      <c r="A181" s="5">
        <v>2019</v>
      </c>
      <c r="B181" s="9" t="s">
        <v>532</v>
      </c>
      <c r="C181" s="20">
        <f>+GETPIVOTDATA("Suma de Enero",$A$16,"Año",2019)</f>
        <v>455189582051.52997</v>
      </c>
      <c r="E181" s="5">
        <v>2019</v>
      </c>
      <c r="F181" s="9" t="s">
        <v>532</v>
      </c>
      <c r="G181" s="23">
        <f>+C181/SUM($C$181:$C$192)</f>
        <v>9.3093995689698728E-2</v>
      </c>
      <c r="I181" s="21" t="s">
        <v>522</v>
      </c>
      <c r="J181" s="24">
        <v>7.5714950267046249E-2</v>
      </c>
      <c r="L181" s="21" t="s">
        <v>524</v>
      </c>
      <c r="M181" s="17">
        <v>12391433587.91</v>
      </c>
    </row>
    <row r="182" spans="1:13" x14ac:dyDescent="0.25">
      <c r="A182" s="5">
        <v>2019</v>
      </c>
      <c r="B182" s="9" t="s">
        <v>531</v>
      </c>
      <c r="C182" s="18">
        <f>+GETPIVOTDATA("Suma de Febrero",$A$16,"Año",2019)</f>
        <v>303736847845.47003</v>
      </c>
      <c r="E182" s="5">
        <v>2019</v>
      </c>
      <c r="F182" s="9" t="s">
        <v>531</v>
      </c>
      <c r="G182" s="23">
        <f t="shared" ref="G182:G191" si="12">+C182/SUM($C$181:$C$192)</f>
        <v>6.2119340861645334E-2</v>
      </c>
      <c r="I182" s="21" t="s">
        <v>521</v>
      </c>
      <c r="J182" s="24">
        <v>0.14290431323361813</v>
      </c>
      <c r="L182" s="21" t="s">
        <v>523</v>
      </c>
      <c r="M182" s="17">
        <v>15237091881.870001</v>
      </c>
    </row>
    <row r="183" spans="1:13" x14ac:dyDescent="0.25">
      <c r="A183" s="5">
        <v>2019</v>
      </c>
      <c r="B183" s="9" t="s">
        <v>530</v>
      </c>
      <c r="C183" s="18">
        <f>+GETPIVOTDATA("Suma de Marzo",$A$16,"Año",2019)</f>
        <v>474555135172.23004</v>
      </c>
      <c r="E183" s="5">
        <v>2019</v>
      </c>
      <c r="F183" s="9" t="s">
        <v>530</v>
      </c>
      <c r="G183" s="23">
        <f t="shared" si="12"/>
        <v>9.7054580004088856E-2</v>
      </c>
      <c r="I183" s="16" t="s">
        <v>795</v>
      </c>
      <c r="J183" s="24">
        <v>11.137168194081626</v>
      </c>
      <c r="L183" s="21" t="s">
        <v>522</v>
      </c>
      <c r="M183" s="17">
        <v>16075766187.24</v>
      </c>
    </row>
    <row r="184" spans="1:13" x14ac:dyDescent="0.25">
      <c r="A184" s="5">
        <v>2019</v>
      </c>
      <c r="B184" s="9" t="s">
        <v>529</v>
      </c>
      <c r="C184" s="18">
        <f>+GETPIVOTDATA("Suma de Abril",$A$16,"Año",2019)</f>
        <v>348911494293.27002</v>
      </c>
      <c r="E184" s="5">
        <v>2019</v>
      </c>
      <c r="F184" s="9" t="s">
        <v>529</v>
      </c>
      <c r="G184" s="23">
        <f t="shared" si="12"/>
        <v>7.1358322832061061E-2</v>
      </c>
      <c r="L184" s="21" t="s">
        <v>521</v>
      </c>
      <c r="M184" s="17">
        <v>13380377891.809999</v>
      </c>
    </row>
    <row r="185" spans="1:13" x14ac:dyDescent="0.25">
      <c r="A185" s="5">
        <v>2019</v>
      </c>
      <c r="B185" s="9" t="s">
        <v>528</v>
      </c>
      <c r="C185" s="18">
        <f>+GETPIVOTDATA("Suma de Mayo",$A$16,"Año",2019)</f>
        <v>305368958623.01001</v>
      </c>
      <c r="E185" s="5">
        <v>2019</v>
      </c>
      <c r="F185" s="9" t="s">
        <v>528</v>
      </c>
      <c r="G185" s="23">
        <f t="shared" si="12"/>
        <v>6.2453135218283787E-2</v>
      </c>
      <c r="L185" s="16">
        <v>2018</v>
      </c>
      <c r="M185" s="17">
        <v>85206058877.619995</v>
      </c>
    </row>
    <row r="186" spans="1:13" x14ac:dyDescent="0.25">
      <c r="A186" s="5">
        <v>2019</v>
      </c>
      <c r="B186" s="9" t="s">
        <v>527</v>
      </c>
      <c r="C186" s="18">
        <f>+GETPIVOTDATA("Suma de Junio",$A$16,"Año",2019)</f>
        <v>422539111482.51996</v>
      </c>
      <c r="E186" s="5">
        <v>2019</v>
      </c>
      <c r="F186" s="9" t="s">
        <v>527</v>
      </c>
      <c r="G186" s="23">
        <f t="shared" si="12"/>
        <v>8.6416420265589045E-2</v>
      </c>
      <c r="L186" s="21" t="s">
        <v>532</v>
      </c>
      <c r="M186" s="17">
        <v>12482044939.049999</v>
      </c>
    </row>
    <row r="187" spans="1:13" x14ac:dyDescent="0.25">
      <c r="A187" s="5">
        <v>2019</v>
      </c>
      <c r="B187" s="9" t="s">
        <v>526</v>
      </c>
      <c r="C187" s="18">
        <f>+GETPIVOTDATA("Suma de Julio",$A$16,"Año",2019)</f>
        <v>325187198775.26001</v>
      </c>
      <c r="E187" s="5">
        <v>2019</v>
      </c>
      <c r="F187" s="9" t="s">
        <v>526</v>
      </c>
      <c r="G187" s="23">
        <f t="shared" si="12"/>
        <v>6.6506301714308991E-2</v>
      </c>
      <c r="L187" s="21" t="s">
        <v>531</v>
      </c>
      <c r="M187" s="17">
        <v>11666097896.370001</v>
      </c>
    </row>
    <row r="188" spans="1:13" x14ac:dyDescent="0.25">
      <c r="A188" s="5">
        <v>2019</v>
      </c>
      <c r="B188" s="9" t="s">
        <v>525</v>
      </c>
      <c r="C188" s="18">
        <f>+GETPIVOTDATA("Suma de Agosto",$A$16,"Año",2019)</f>
        <v>337328098790.13</v>
      </c>
      <c r="E188" s="5">
        <v>2019</v>
      </c>
      <c r="F188" s="9" t="s">
        <v>525</v>
      </c>
      <c r="G188" s="23">
        <f t="shared" si="12"/>
        <v>6.8989321840910695E-2</v>
      </c>
      <c r="L188" s="21" t="s">
        <v>530</v>
      </c>
      <c r="M188" s="17">
        <v>11053737495.469999</v>
      </c>
    </row>
    <row r="189" spans="1:13" x14ac:dyDescent="0.25">
      <c r="A189" s="5">
        <v>2019</v>
      </c>
      <c r="B189" s="9" t="s">
        <v>524</v>
      </c>
      <c r="C189" s="18">
        <f>+GETPIVOTDATA("Suma de Setiembre",$A$16,"Año",2019)</f>
        <v>449550378276.73993</v>
      </c>
      <c r="E189" s="5">
        <v>2019</v>
      </c>
      <c r="F189" s="9" t="s">
        <v>524</v>
      </c>
      <c r="G189" s="23">
        <f t="shared" si="12"/>
        <v>9.1940682800731505E-2</v>
      </c>
      <c r="L189" s="21" t="s">
        <v>529</v>
      </c>
      <c r="M189" s="17">
        <v>11662593415.709999</v>
      </c>
    </row>
    <row r="190" spans="1:13" x14ac:dyDescent="0.25">
      <c r="A190" s="5">
        <v>2019</v>
      </c>
      <c r="B190" s="9" t="s">
        <v>523</v>
      </c>
      <c r="C190" s="18">
        <f>+GETPIVOTDATA("Suma de Octubre",$A$16,"Año",2019)</f>
        <v>414811521293.09003</v>
      </c>
      <c r="E190" s="5">
        <v>2019</v>
      </c>
      <c r="F190" s="9" t="s">
        <v>523</v>
      </c>
      <c r="G190" s="23">
        <f t="shared" si="12"/>
        <v>8.4835996907602115E-2</v>
      </c>
      <c r="L190" s="21" t="s">
        <v>528</v>
      </c>
      <c r="M190" s="17">
        <v>11471139718.629999</v>
      </c>
    </row>
    <row r="191" spans="1:13" x14ac:dyDescent="0.25">
      <c r="A191" s="5">
        <v>2019</v>
      </c>
      <c r="B191" s="9" t="s">
        <v>522</v>
      </c>
      <c r="C191" s="18">
        <f>+GETPIVOTDATA("Suma de Noviembre",$A$16,"Año",2019)</f>
        <v>367570250379.71997</v>
      </c>
      <c r="E191" s="5">
        <v>2019</v>
      </c>
      <c r="F191" s="9" t="s">
        <v>522</v>
      </c>
      <c r="G191" s="23">
        <f t="shared" si="12"/>
        <v>7.5174355156127901E-2</v>
      </c>
      <c r="L191" s="21" t="s">
        <v>527</v>
      </c>
      <c r="M191" s="17">
        <v>10874278077.09</v>
      </c>
    </row>
    <row r="192" spans="1:13" x14ac:dyDescent="0.25">
      <c r="A192" s="5">
        <v>2019</v>
      </c>
      <c r="B192" s="9" t="s">
        <v>521</v>
      </c>
      <c r="C192" s="18">
        <f>+GETPIVOTDATA("Suma de Diciembre",$A$16,"Año",2019)</f>
        <v>684821138863.90002</v>
      </c>
      <c r="E192" s="5">
        <v>2019</v>
      </c>
      <c r="F192" s="9" t="s">
        <v>521</v>
      </c>
      <c r="G192" s="23">
        <f>+C192/SUM($C$181:$C$192)</f>
        <v>0.14005754670895196</v>
      </c>
      <c r="L192" s="21" t="s">
        <v>526</v>
      </c>
      <c r="M192" s="17">
        <v>11485624557.379999</v>
      </c>
    </row>
    <row r="193" spans="1:13" x14ac:dyDescent="0.25">
      <c r="A193" s="5">
        <v>2020</v>
      </c>
      <c r="B193" s="9" t="s">
        <v>532</v>
      </c>
      <c r="C193" s="18">
        <f>+GETPIVOTDATA("Suma de Enero",$A$16,"Año",2020)</f>
        <v>442684394646.52997</v>
      </c>
      <c r="E193" s="5">
        <v>2020</v>
      </c>
      <c r="F193" s="9" t="s">
        <v>532</v>
      </c>
      <c r="G193" s="23">
        <f>+C193/SUM($C$193:$C$204)</f>
        <v>0.11890658568439574</v>
      </c>
      <c r="L193" s="21" t="s">
        <v>525</v>
      </c>
      <c r="M193" s="17">
        <v>4510542777.9200001</v>
      </c>
    </row>
    <row r="194" spans="1:13" x14ac:dyDescent="0.25">
      <c r="A194" s="5">
        <v>2020</v>
      </c>
      <c r="B194" s="9" t="s">
        <v>531</v>
      </c>
      <c r="C194" s="18">
        <f>+GETPIVOTDATA("Suma de Febrero",$A$16,"Año",2020)</f>
        <v>352575219607.16998</v>
      </c>
      <c r="E194" s="5">
        <v>2020</v>
      </c>
      <c r="F194" s="9" t="s">
        <v>531</v>
      </c>
      <c r="G194" s="23">
        <f t="shared" ref="G194:G203" si="13">+C194/SUM($C$193:$C$204)</f>
        <v>9.470294428130735E-2</v>
      </c>
      <c r="L194" s="16" t="s">
        <v>795</v>
      </c>
      <c r="M194" s="17">
        <v>1501725401722.7402</v>
      </c>
    </row>
    <row r="195" spans="1:13" x14ac:dyDescent="0.25">
      <c r="A195" s="5">
        <v>2020</v>
      </c>
      <c r="B195" s="9" t="s">
        <v>530</v>
      </c>
      <c r="C195" s="18">
        <f>+GETPIVOTDATA("Suma de Marzo",$A$16,"Año",2020)</f>
        <v>496420455583.21997</v>
      </c>
      <c r="E195" s="5">
        <v>2020</v>
      </c>
      <c r="F195" s="9" t="s">
        <v>530</v>
      </c>
      <c r="G195" s="23">
        <f t="shared" si="13"/>
        <v>0.13334028068557671</v>
      </c>
    </row>
    <row r="196" spans="1:13" x14ac:dyDescent="0.25">
      <c r="A196" s="5">
        <v>2020</v>
      </c>
      <c r="B196" s="9" t="s">
        <v>529</v>
      </c>
      <c r="C196" s="18">
        <f>+GETPIVOTDATA("Suma de Abril",$A$16,"Año",2020)</f>
        <v>267112783880.09998</v>
      </c>
      <c r="E196" s="5">
        <v>2020</v>
      </c>
      <c r="F196" s="9" t="s">
        <v>529</v>
      </c>
      <c r="G196" s="23">
        <f t="shared" si="13"/>
        <v>7.1747433403874905E-2</v>
      </c>
    </row>
    <row r="197" spans="1:13" x14ac:dyDescent="0.25">
      <c r="A197" s="5">
        <v>2020</v>
      </c>
      <c r="B197" s="9" t="s">
        <v>528</v>
      </c>
      <c r="C197" s="18">
        <f>+GETPIVOTDATA("Suma de Mayo",$A$16,"Año",2020)</f>
        <v>213855805763.61996</v>
      </c>
      <c r="E197" s="5">
        <v>2020</v>
      </c>
      <c r="F197" s="9" t="s">
        <v>528</v>
      </c>
      <c r="G197" s="23">
        <f t="shared" si="13"/>
        <v>5.7442421733527663E-2</v>
      </c>
    </row>
    <row r="198" spans="1:13" x14ac:dyDescent="0.25">
      <c r="A198" s="5">
        <v>2020</v>
      </c>
      <c r="B198" s="9" t="s">
        <v>527</v>
      </c>
      <c r="C198" s="18">
        <f>+GETPIVOTDATA("Suma de Junio",$A$16,"Año",2020)</f>
        <v>268898415986.01004</v>
      </c>
      <c r="E198" s="5">
        <v>2020</v>
      </c>
      <c r="F198" s="9" t="s">
        <v>527</v>
      </c>
      <c r="G198" s="23">
        <f t="shared" si="13"/>
        <v>7.2227060469047921E-2</v>
      </c>
    </row>
    <row r="199" spans="1:13" x14ac:dyDescent="0.25">
      <c r="A199" s="5">
        <v>2020</v>
      </c>
      <c r="B199" s="9" t="s">
        <v>526</v>
      </c>
      <c r="C199" s="18">
        <f>+GETPIVOTDATA("Suma de Julio",$A$16,"Año",2020)</f>
        <v>292719840713.69995</v>
      </c>
      <c r="E199" s="5">
        <v>2020</v>
      </c>
      <c r="F199" s="9" t="s">
        <v>526</v>
      </c>
      <c r="G199" s="23">
        <f t="shared" si="13"/>
        <v>7.8625578950299396E-2</v>
      </c>
    </row>
    <row r="200" spans="1:13" x14ac:dyDescent="0.25">
      <c r="A200" s="5">
        <v>2020</v>
      </c>
      <c r="B200" s="9" t="s">
        <v>525</v>
      </c>
      <c r="C200" s="18">
        <f>+GETPIVOTDATA("Suma de Agosto",$A$16,"Año",2020)</f>
        <v>295586958971.72998</v>
      </c>
      <c r="E200" s="5">
        <v>2020</v>
      </c>
      <c r="F200" s="9" t="s">
        <v>525</v>
      </c>
      <c r="G200" s="23">
        <f t="shared" si="13"/>
        <v>7.9395697000401333E-2</v>
      </c>
    </row>
    <row r="201" spans="1:13" x14ac:dyDescent="0.25">
      <c r="A201" s="5">
        <v>2020</v>
      </c>
      <c r="B201" s="9" t="s">
        <v>524</v>
      </c>
      <c r="C201" s="18">
        <f>+GETPIVOTDATA("Suma de Setiembre",$A$16,"Año",2020)</f>
        <v>400288955889.50995</v>
      </c>
      <c r="E201" s="5">
        <v>2020</v>
      </c>
      <c r="F201" s="9" t="s">
        <v>524</v>
      </c>
      <c r="G201" s="23">
        <f t="shared" si="13"/>
        <v>0.10751902169489863</v>
      </c>
    </row>
    <row r="202" spans="1:13" x14ac:dyDescent="0.25">
      <c r="A202" s="5">
        <v>2020</v>
      </c>
      <c r="B202" s="9" t="s">
        <v>523</v>
      </c>
      <c r="C202" s="18">
        <f>+GETPIVOTDATA("Suma de Octubre",$A$16,"Año",2020)</f>
        <v>346955942199.33997</v>
      </c>
      <c r="E202" s="5">
        <v>2020</v>
      </c>
      <c r="F202" s="9" t="s">
        <v>523</v>
      </c>
      <c r="G202" s="23">
        <f t="shared" si="13"/>
        <v>9.3193586601979073E-2</v>
      </c>
    </row>
    <row r="203" spans="1:13" x14ac:dyDescent="0.25">
      <c r="A203" s="5">
        <v>2020</v>
      </c>
      <c r="B203" s="9" t="s">
        <v>522</v>
      </c>
      <c r="C203" s="18">
        <f>+GETPIVOTDATA("Suma de Noviembre",$A$16,"Año",2020)</f>
        <v>327012109592.53992</v>
      </c>
      <c r="E203" s="5">
        <v>2020</v>
      </c>
      <c r="F203" s="9" t="s">
        <v>522</v>
      </c>
      <c r="G203" s="23">
        <f t="shared" si="13"/>
        <v>8.7836603005055025E-2</v>
      </c>
    </row>
    <row r="204" spans="1:13" x14ac:dyDescent="0.25">
      <c r="A204" s="5">
        <v>2020</v>
      </c>
      <c r="B204" s="9" t="s">
        <v>521</v>
      </c>
      <c r="C204" s="18">
        <f>+GETPIVOTDATA("Suma de Diciembre",$A$16,"Año",2020)</f>
        <v>18848548711.490002</v>
      </c>
      <c r="E204" s="5">
        <v>2020</v>
      </c>
      <c r="F204" s="9" t="s">
        <v>521</v>
      </c>
      <c r="G204" s="23">
        <f>+C204/SUM($C$193:$C$204)</f>
        <v>5.0627864896363381E-3</v>
      </c>
    </row>
  </sheetData>
  <mergeCells count="9">
    <mergeCell ref="A35:C35"/>
    <mergeCell ref="L38:M38"/>
    <mergeCell ref="I38:J38"/>
    <mergeCell ref="E35:G35"/>
    <mergeCell ref="A1:D1"/>
    <mergeCell ref="A2:D2"/>
    <mergeCell ref="A3:D3"/>
    <mergeCell ref="A4:D4"/>
    <mergeCell ref="A5:D5"/>
  </mergeCell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V204"/>
  <sheetViews>
    <sheetView topLeftCell="A10" zoomScale="84" zoomScaleNormal="84" workbookViewId="0">
      <selection activeCell="E26" sqref="E26"/>
    </sheetView>
  </sheetViews>
  <sheetFormatPr baseColWidth="10" defaultRowHeight="15" x14ac:dyDescent="0.25"/>
  <cols>
    <col min="1" max="1" width="17.5703125" customWidth="1"/>
    <col min="2" max="2" width="54.85546875" customWidth="1"/>
    <col min="3" max="3" width="16.140625" customWidth="1"/>
    <col min="4" max="9" width="15.28515625" customWidth="1"/>
    <col min="10" max="10" width="18.42578125" customWidth="1"/>
    <col min="11" max="11" width="16.28515625" customWidth="1"/>
    <col min="12" max="12" width="19.140625" bestFit="1" customWidth="1"/>
    <col min="13" max="13" width="18.28515625" bestFit="1" customWidth="1"/>
    <col min="14" max="14" width="16.28515625" bestFit="1" customWidth="1"/>
    <col min="21" max="21" width="17.5703125" bestFit="1" customWidth="1"/>
    <col min="22" max="22" width="21.85546875" bestFit="1" customWidth="1"/>
    <col min="28" max="28" width="20.140625" customWidth="1"/>
  </cols>
  <sheetData>
    <row r="1" spans="1:13" x14ac:dyDescent="0.25">
      <c r="A1" s="198" t="s">
        <v>1098</v>
      </c>
      <c r="B1" s="199"/>
      <c r="C1" s="199"/>
      <c r="D1" s="199"/>
      <c r="E1" s="32"/>
    </row>
    <row r="2" spans="1:13" x14ac:dyDescent="0.25">
      <c r="A2" s="201" t="s">
        <v>1099</v>
      </c>
      <c r="B2" s="202"/>
      <c r="C2" s="202"/>
      <c r="D2" s="202"/>
      <c r="E2" s="35"/>
    </row>
    <row r="3" spans="1:13" x14ac:dyDescent="0.25">
      <c r="A3" s="201" t="s">
        <v>1100</v>
      </c>
      <c r="B3" s="202"/>
      <c r="C3" s="202"/>
      <c r="D3" s="202"/>
      <c r="E3" s="35"/>
    </row>
    <row r="4" spans="1:13" x14ac:dyDescent="0.25">
      <c r="A4" s="201" t="s">
        <v>1269</v>
      </c>
      <c r="B4" s="202"/>
      <c r="C4" s="202"/>
      <c r="D4" s="202"/>
      <c r="E4" s="35"/>
    </row>
    <row r="5" spans="1:13" x14ac:dyDescent="0.25">
      <c r="A5" s="201" t="s">
        <v>1101</v>
      </c>
      <c r="B5" s="202"/>
      <c r="C5" s="202"/>
      <c r="D5" s="202"/>
      <c r="E5" s="35"/>
    </row>
    <row r="6" spans="1:13" x14ac:dyDescent="0.25">
      <c r="A6" s="33"/>
      <c r="B6" s="34"/>
      <c r="C6" s="34"/>
      <c r="D6" s="34"/>
      <c r="E6" s="35"/>
    </row>
    <row r="7" spans="1:13" x14ac:dyDescent="0.25">
      <c r="A7" s="15" t="s">
        <v>540</v>
      </c>
      <c r="B7" t="s">
        <v>55</v>
      </c>
      <c r="C7" s="39"/>
      <c r="D7" s="39"/>
      <c r="E7" s="38"/>
    </row>
    <row r="8" spans="1:13" x14ac:dyDescent="0.25">
      <c r="A8" s="15" t="s">
        <v>539</v>
      </c>
      <c r="B8" t="s">
        <v>232</v>
      </c>
    </row>
    <row r="9" spans="1:13" x14ac:dyDescent="0.25">
      <c r="A9" s="15" t="s">
        <v>538</v>
      </c>
      <c r="B9" t="s">
        <v>793</v>
      </c>
    </row>
    <row r="10" spans="1:13" x14ac:dyDescent="0.25">
      <c r="A10" s="15" t="s">
        <v>537</v>
      </c>
      <c r="B10" t="s">
        <v>793</v>
      </c>
    </row>
    <row r="11" spans="1:13" x14ac:dyDescent="0.25">
      <c r="A11" s="15" t="s">
        <v>536</v>
      </c>
      <c r="B11" t="s">
        <v>261</v>
      </c>
    </row>
    <row r="12" spans="1:13" x14ac:dyDescent="0.25">
      <c r="A12" s="15" t="s">
        <v>535</v>
      </c>
      <c r="B12" t="s">
        <v>793</v>
      </c>
    </row>
    <row r="13" spans="1:13" x14ac:dyDescent="0.25">
      <c r="A13" s="15" t="s">
        <v>534</v>
      </c>
      <c r="B13" t="s">
        <v>793</v>
      </c>
    </row>
    <row r="14" spans="1:13" x14ac:dyDescent="0.25">
      <c r="A14" s="15" t="s">
        <v>541</v>
      </c>
      <c r="B14" t="s">
        <v>793</v>
      </c>
    </row>
    <row r="16" spans="1:13" x14ac:dyDescent="0.25">
      <c r="A16" s="15" t="s">
        <v>794</v>
      </c>
      <c r="B16" t="s">
        <v>796</v>
      </c>
      <c r="C16" t="s">
        <v>797</v>
      </c>
      <c r="D16" t="s">
        <v>798</v>
      </c>
      <c r="E16" t="s">
        <v>807</v>
      </c>
      <c r="F16" t="s">
        <v>799</v>
      </c>
      <c r="G16" t="s">
        <v>800</v>
      </c>
      <c r="H16" t="s">
        <v>801</v>
      </c>
      <c r="I16" t="s">
        <v>802</v>
      </c>
      <c r="J16" t="s">
        <v>803</v>
      </c>
      <c r="K16" t="s">
        <v>804</v>
      </c>
      <c r="L16" t="s">
        <v>805</v>
      </c>
      <c r="M16" t="s">
        <v>806</v>
      </c>
    </row>
    <row r="17" spans="1:14" x14ac:dyDescent="0.25">
      <c r="A17" s="16">
        <v>2007</v>
      </c>
      <c r="B17" s="22">
        <v>1905852009.1900001</v>
      </c>
      <c r="C17" s="22">
        <v>1999273627.6199999</v>
      </c>
      <c r="D17" s="22">
        <v>2271002299.9299998</v>
      </c>
      <c r="E17" s="22">
        <v>1787825543.4100001</v>
      </c>
      <c r="F17" s="22">
        <v>2189008032.9400001</v>
      </c>
      <c r="G17" s="22">
        <v>2141901944</v>
      </c>
      <c r="H17" s="22">
        <v>2350207894.5900002</v>
      </c>
      <c r="I17" s="22">
        <v>2320482736.9699998</v>
      </c>
      <c r="J17" s="22">
        <v>2278065641.1999998</v>
      </c>
      <c r="K17" s="22">
        <v>2573172587.8200002</v>
      </c>
      <c r="L17" s="22">
        <v>2887751029.1799998</v>
      </c>
      <c r="M17" s="22">
        <v>2306120734.3800001</v>
      </c>
    </row>
    <row r="18" spans="1:14" x14ac:dyDescent="0.25">
      <c r="A18" s="16">
        <v>2008</v>
      </c>
      <c r="B18" s="22">
        <v>2617346960.0599999</v>
      </c>
      <c r="C18" s="22">
        <v>2438429604.8299999</v>
      </c>
      <c r="D18" s="22">
        <v>2111669726.9200001</v>
      </c>
      <c r="E18" s="22">
        <v>2776122133.4499998</v>
      </c>
      <c r="F18" s="22">
        <v>2741874649.8699999</v>
      </c>
      <c r="G18" s="22">
        <v>2374857999.27</v>
      </c>
      <c r="H18" s="22">
        <v>3032856190.25</v>
      </c>
      <c r="I18" s="22">
        <v>3117024056.8299999</v>
      </c>
      <c r="J18" s="22">
        <v>2962025032.5799999</v>
      </c>
      <c r="K18" s="22">
        <v>3199357214.52</v>
      </c>
      <c r="L18" s="22">
        <v>2519150630.52</v>
      </c>
      <c r="M18" s="22">
        <v>2374988340.1999998</v>
      </c>
    </row>
    <row r="19" spans="1:14" x14ac:dyDescent="0.25">
      <c r="A19" s="16">
        <v>2009</v>
      </c>
      <c r="B19" s="22">
        <v>1697216785.22</v>
      </c>
      <c r="C19" s="22">
        <v>1504662853</v>
      </c>
      <c r="D19" s="22">
        <v>1577516849.5899999</v>
      </c>
      <c r="E19" s="22">
        <v>1403287237.6900001</v>
      </c>
      <c r="F19" s="22">
        <v>1338359127.24</v>
      </c>
      <c r="G19" s="22">
        <v>1685181601.0699999</v>
      </c>
      <c r="H19" s="22">
        <v>1814419839.0599999</v>
      </c>
      <c r="I19" s="22">
        <v>1752511579.1099999</v>
      </c>
      <c r="J19" s="22">
        <v>1704762809.1800001</v>
      </c>
      <c r="K19" s="22">
        <v>1927542602.6600001</v>
      </c>
      <c r="L19" s="22">
        <v>1899733756.6900001</v>
      </c>
      <c r="M19" s="22">
        <v>1949838849.4400001</v>
      </c>
    </row>
    <row r="20" spans="1:14" x14ac:dyDescent="0.25">
      <c r="A20" s="16">
        <v>2010</v>
      </c>
      <c r="B20" s="22">
        <v>1611924215.28</v>
      </c>
      <c r="C20" s="22">
        <v>1804714951.29</v>
      </c>
      <c r="D20" s="22">
        <v>2046002842.04</v>
      </c>
      <c r="E20" s="22">
        <v>1766538356.8099999</v>
      </c>
      <c r="F20" s="22">
        <v>1841519810.8199999</v>
      </c>
      <c r="G20" s="22">
        <v>1880228749.3599999</v>
      </c>
      <c r="H20" s="22">
        <v>1891302243.1700001</v>
      </c>
      <c r="I20" s="22">
        <v>2036626619.3599999</v>
      </c>
      <c r="J20" s="22">
        <v>1667559763.6500001</v>
      </c>
      <c r="K20" s="22">
        <v>1898849957.0699999</v>
      </c>
      <c r="L20" s="22">
        <v>1951531085.73</v>
      </c>
      <c r="M20" s="22">
        <v>1887113992.45</v>
      </c>
    </row>
    <row r="21" spans="1:14" x14ac:dyDescent="0.25">
      <c r="A21" s="16">
        <v>2011</v>
      </c>
      <c r="B21" s="22">
        <v>1724480591.1500001</v>
      </c>
      <c r="C21" s="22">
        <v>1697780329.45</v>
      </c>
      <c r="D21" s="22">
        <v>2193095497.9899998</v>
      </c>
      <c r="E21" s="22">
        <v>1651086470.75</v>
      </c>
      <c r="F21" s="22">
        <v>2124684859.99</v>
      </c>
      <c r="G21" s="22">
        <v>2047840155.23</v>
      </c>
      <c r="H21" s="22">
        <v>1898945116.5599999</v>
      </c>
      <c r="I21" s="22">
        <v>2360117525.6700001</v>
      </c>
      <c r="J21" s="22">
        <v>2169727551.6199999</v>
      </c>
      <c r="K21" s="22">
        <v>1956543760.01</v>
      </c>
      <c r="L21" s="22">
        <v>2362131599.8099999</v>
      </c>
      <c r="M21" s="22">
        <v>1969216084.54</v>
      </c>
    </row>
    <row r="22" spans="1:14" x14ac:dyDescent="0.25">
      <c r="A22" s="16">
        <v>2012</v>
      </c>
      <c r="B22" s="22">
        <v>1983611026.0599999</v>
      </c>
      <c r="C22" s="22">
        <v>1866959008.8499999</v>
      </c>
      <c r="D22" s="22">
        <v>2170465358.2800002</v>
      </c>
      <c r="E22" s="22">
        <v>1609512641.73</v>
      </c>
      <c r="F22" s="22">
        <v>2066835476.4300001</v>
      </c>
      <c r="G22" s="22">
        <v>1866744841.54</v>
      </c>
      <c r="H22" s="22">
        <v>2025190957.8699999</v>
      </c>
      <c r="I22" s="22">
        <v>2085801198.21</v>
      </c>
      <c r="J22" s="22">
        <v>1758425215.9000001</v>
      </c>
      <c r="K22" s="22">
        <v>2105455542.3099999</v>
      </c>
      <c r="L22" s="22">
        <v>2222458933.1999998</v>
      </c>
      <c r="M22" s="22">
        <v>2155243057.4400001</v>
      </c>
    </row>
    <row r="23" spans="1:14" x14ac:dyDescent="0.25">
      <c r="A23" s="16">
        <v>2013</v>
      </c>
      <c r="B23" s="22">
        <v>2153575697.5999999</v>
      </c>
      <c r="C23" s="22">
        <v>1906924330.54</v>
      </c>
      <c r="D23" s="22">
        <v>1766943780.1500001</v>
      </c>
      <c r="E23" s="22">
        <v>2029707415.02</v>
      </c>
      <c r="F23" s="22">
        <v>1981629071.8699999</v>
      </c>
      <c r="G23" s="22">
        <v>1769818469.49</v>
      </c>
      <c r="H23" s="22">
        <v>1844909578.05</v>
      </c>
      <c r="I23" s="22">
        <v>1930961108.8</v>
      </c>
      <c r="J23" s="22">
        <v>2192193289.8200002</v>
      </c>
      <c r="K23" s="22">
        <v>2218665779.4499998</v>
      </c>
      <c r="L23" s="22">
        <v>1882478014.21</v>
      </c>
      <c r="M23" s="22">
        <v>2264377414.5100002</v>
      </c>
    </row>
    <row r="24" spans="1:14" x14ac:dyDescent="0.25">
      <c r="A24" s="16">
        <v>2014</v>
      </c>
      <c r="B24" s="22">
        <v>2224915986.1300001</v>
      </c>
      <c r="C24" s="22">
        <v>1936431282.45</v>
      </c>
      <c r="D24" s="22">
        <v>2462377176.3299999</v>
      </c>
      <c r="E24" s="22">
        <v>2133416719.8900001</v>
      </c>
      <c r="F24" s="22">
        <v>2411779207.5</v>
      </c>
      <c r="G24" s="22">
        <v>1982507081.9000001</v>
      </c>
      <c r="H24" s="22">
        <v>2408260648.3200002</v>
      </c>
      <c r="I24" s="22">
        <v>2337657191.9200001</v>
      </c>
      <c r="J24" s="22">
        <v>2105816271.54</v>
      </c>
      <c r="K24" s="22">
        <v>2369665403.8099999</v>
      </c>
      <c r="L24" s="22">
        <v>2264258325.3699999</v>
      </c>
      <c r="M24" s="22">
        <v>2257248771.4200001</v>
      </c>
    </row>
    <row r="25" spans="1:14" x14ac:dyDescent="0.25">
      <c r="A25" s="16">
        <v>2015</v>
      </c>
      <c r="B25" s="22">
        <v>2039404017.5599999</v>
      </c>
      <c r="C25" s="22">
        <v>1843163560.5599999</v>
      </c>
      <c r="D25" s="22">
        <v>2205200390.1300001</v>
      </c>
      <c r="E25" s="22">
        <v>2066259377.97</v>
      </c>
      <c r="F25" s="22">
        <v>1988434502.77</v>
      </c>
      <c r="G25" s="22">
        <v>2064625359.79</v>
      </c>
      <c r="H25" s="22">
        <v>2391230739.3099999</v>
      </c>
      <c r="I25" s="22">
        <v>2000611605.01</v>
      </c>
      <c r="J25" s="22">
        <v>2168940115.9899998</v>
      </c>
      <c r="K25" s="22">
        <v>2291260980.0799999</v>
      </c>
      <c r="L25" s="22">
        <v>2578191522.6399999</v>
      </c>
      <c r="M25" s="22">
        <v>2264750336.8200002</v>
      </c>
    </row>
    <row r="26" spans="1:14" x14ac:dyDescent="0.25">
      <c r="A26" s="16">
        <v>2016</v>
      </c>
      <c r="B26" s="22">
        <v>2024687482.5599999</v>
      </c>
      <c r="C26" s="22">
        <v>1982937393.2</v>
      </c>
      <c r="D26" s="22">
        <v>2108770296.96</v>
      </c>
      <c r="E26" s="22">
        <v>2185012061.25</v>
      </c>
      <c r="F26" s="22">
        <v>2186937225.52</v>
      </c>
      <c r="G26" s="22">
        <v>2366007811.7199998</v>
      </c>
      <c r="H26" s="22">
        <v>2282727859.0700002</v>
      </c>
      <c r="I26" s="22">
        <v>2346338614.8200002</v>
      </c>
      <c r="J26" s="22">
        <v>2216651295.1799998</v>
      </c>
      <c r="K26" s="22">
        <v>2261229390.6199999</v>
      </c>
      <c r="L26" s="22">
        <v>2644455933.1599998</v>
      </c>
      <c r="M26" s="22">
        <v>2379705024.52</v>
      </c>
    </row>
    <row r="27" spans="1:14" x14ac:dyDescent="0.25">
      <c r="A27" s="16">
        <v>2017</v>
      </c>
      <c r="B27" s="22">
        <v>2056564528.3800001</v>
      </c>
      <c r="C27" s="22">
        <v>1924847099.53</v>
      </c>
      <c r="D27" s="22">
        <v>2388352899.02</v>
      </c>
      <c r="E27" s="22">
        <v>1941970453.9100001</v>
      </c>
      <c r="F27" s="22">
        <v>2362566847.2399998</v>
      </c>
      <c r="G27" s="22">
        <v>2333690828.9099998</v>
      </c>
      <c r="H27" s="22">
        <v>2095552514.0599999</v>
      </c>
      <c r="I27" s="22">
        <v>2213869132.4000001</v>
      </c>
      <c r="J27" s="22">
        <v>2099455416.5999999</v>
      </c>
      <c r="K27" s="22">
        <v>2356562187.5500002</v>
      </c>
      <c r="L27" s="22">
        <v>2574642916.6399999</v>
      </c>
      <c r="M27" s="22">
        <v>2084329957.28</v>
      </c>
    </row>
    <row r="28" spans="1:14" x14ac:dyDescent="0.25">
      <c r="A28" s="16">
        <v>2018</v>
      </c>
      <c r="B28" s="22">
        <v>2136414384.8499999</v>
      </c>
      <c r="C28" s="22">
        <v>1965876959.3699999</v>
      </c>
      <c r="D28" s="22">
        <v>2124106981.02</v>
      </c>
      <c r="E28" s="22">
        <v>2313670327.4400001</v>
      </c>
      <c r="F28" s="22">
        <v>2244353356.6300001</v>
      </c>
      <c r="G28" s="22">
        <v>1943429405.1400001</v>
      </c>
      <c r="H28" s="22">
        <v>2160101503.4499998</v>
      </c>
      <c r="I28" s="22">
        <v>2222130318.1799998</v>
      </c>
      <c r="J28" s="22">
        <v>1784881378.8699999</v>
      </c>
      <c r="K28" s="22">
        <v>2454835128.1300001</v>
      </c>
      <c r="L28" s="22">
        <v>2869033508.96</v>
      </c>
      <c r="M28" s="22">
        <v>2131779509.21</v>
      </c>
      <c r="N28" s="22"/>
    </row>
    <row r="29" spans="1:14" x14ac:dyDescent="0.25">
      <c r="A29" s="16">
        <v>2019</v>
      </c>
      <c r="B29" s="22">
        <v>2095596351.6400001</v>
      </c>
      <c r="C29" s="22">
        <v>1863960738.95</v>
      </c>
      <c r="D29" s="22">
        <v>2076180742.0799999</v>
      </c>
      <c r="E29" s="22">
        <v>1909440282.26</v>
      </c>
      <c r="F29" s="22">
        <v>2085819669.2</v>
      </c>
      <c r="G29" s="22">
        <v>1877773037.8499999</v>
      </c>
      <c r="H29" s="22">
        <v>1970123640.4400001</v>
      </c>
      <c r="I29" s="22">
        <v>1737621082.1400001</v>
      </c>
      <c r="J29" s="22">
        <v>1804262017.1400001</v>
      </c>
      <c r="K29" s="22">
        <v>2126866154.48</v>
      </c>
      <c r="L29" s="22">
        <v>2026160259.23</v>
      </c>
      <c r="M29" s="22">
        <v>1731334487.2</v>
      </c>
      <c r="N29" s="22"/>
    </row>
    <row r="30" spans="1:14" x14ac:dyDescent="0.25">
      <c r="A30" s="16">
        <v>2020</v>
      </c>
      <c r="B30" s="22">
        <v>1897646313.3399999</v>
      </c>
      <c r="C30" s="22">
        <v>1708655139.5</v>
      </c>
      <c r="D30" s="22">
        <v>1631351605.4200001</v>
      </c>
      <c r="E30" s="22">
        <v>884344519.69000006</v>
      </c>
      <c r="F30" s="22">
        <v>847580178.10000002</v>
      </c>
      <c r="G30" s="22">
        <v>1074077603.5899999</v>
      </c>
      <c r="H30" s="22">
        <v>1475463168.5</v>
      </c>
      <c r="I30" s="22">
        <v>1414646460.8800001</v>
      </c>
      <c r="J30" s="22">
        <v>1608075243.73</v>
      </c>
      <c r="K30" s="22">
        <v>1861523354.3599999</v>
      </c>
      <c r="L30" s="22">
        <v>1989089350.1400001</v>
      </c>
      <c r="M30" s="22">
        <v>187750906.38999999</v>
      </c>
      <c r="N30" s="22"/>
    </row>
    <row r="31" spans="1:14" x14ac:dyDescent="0.25">
      <c r="A31" s="16" t="s">
        <v>795</v>
      </c>
      <c r="B31" s="22">
        <v>28169236349.02</v>
      </c>
      <c r="C31" s="22">
        <v>26444616879.139999</v>
      </c>
      <c r="D31" s="22">
        <v>29133036445.860001</v>
      </c>
      <c r="E31" s="22">
        <v>26458193541.269993</v>
      </c>
      <c r="F31" s="22">
        <v>28411382016.120003</v>
      </c>
      <c r="G31" s="22">
        <v>27408684888.860001</v>
      </c>
      <c r="H31" s="22">
        <v>29641291892.700001</v>
      </c>
      <c r="I31" s="22">
        <v>29876399230.299995</v>
      </c>
      <c r="J31" s="22">
        <v>28520841042.999992</v>
      </c>
      <c r="K31" s="22">
        <v>31601530042.870003</v>
      </c>
      <c r="L31" s="22">
        <v>32671066865.479992</v>
      </c>
      <c r="M31" s="22">
        <v>27943797465.799999</v>
      </c>
      <c r="N31" s="22"/>
    </row>
    <row r="32" spans="1:14" x14ac:dyDescent="0.25">
      <c r="D32" s="77"/>
      <c r="F32" s="22"/>
      <c r="G32" s="22"/>
      <c r="H32" s="22"/>
      <c r="L32" s="22"/>
      <c r="N32" s="22"/>
    </row>
    <row r="33" spans="2:14" x14ac:dyDescent="0.25">
      <c r="D33" s="77"/>
      <c r="F33" s="22"/>
      <c r="G33" s="22"/>
      <c r="H33" s="22"/>
      <c r="L33" s="22"/>
      <c r="N33" s="22"/>
    </row>
    <row r="34" spans="2:14" x14ac:dyDescent="0.25">
      <c r="L34" s="22"/>
    </row>
    <row r="35" spans="2:14" x14ac:dyDescent="0.25">
      <c r="B35" s="15" t="s">
        <v>794</v>
      </c>
      <c r="C35" t="s">
        <v>814</v>
      </c>
      <c r="E35" s="207" t="s">
        <v>810</v>
      </c>
      <c r="F35" s="208"/>
      <c r="G35" s="208"/>
      <c r="H35" s="208"/>
      <c r="I35" s="208"/>
      <c r="J35" s="208"/>
      <c r="K35" s="208"/>
      <c r="L35" s="22"/>
    </row>
    <row r="36" spans="2:14" x14ac:dyDescent="0.25">
      <c r="B36" s="16">
        <v>2013</v>
      </c>
      <c r="C36" s="24">
        <v>1.1856515061167043</v>
      </c>
      <c r="E36" s="19" t="s">
        <v>542</v>
      </c>
      <c r="F36" s="19" t="s">
        <v>808</v>
      </c>
      <c r="G36" s="19" t="s">
        <v>809</v>
      </c>
      <c r="H36" s="19" t="s">
        <v>811</v>
      </c>
      <c r="I36" s="19" t="s">
        <v>813</v>
      </c>
      <c r="J36" s="19" t="s">
        <v>1112</v>
      </c>
      <c r="K36" s="19" t="s">
        <v>1113</v>
      </c>
      <c r="L36" s="22"/>
    </row>
    <row r="37" spans="2:14" x14ac:dyDescent="0.25">
      <c r="B37" s="21" t="s">
        <v>532</v>
      </c>
      <c r="C37" s="24">
        <v>0.10214125968363796</v>
      </c>
      <c r="E37" s="5">
        <v>2007</v>
      </c>
      <c r="F37" s="9" t="s">
        <v>532</v>
      </c>
      <c r="G37" s="18">
        <f>+GETPIVOTDATA("Suma de Enero",$A$16,"Año",2007)</f>
        <v>1905852009.1900001</v>
      </c>
      <c r="H37" s="44" t="s">
        <v>954</v>
      </c>
      <c r="I37" s="18" t="s">
        <v>812</v>
      </c>
      <c r="J37" s="85">
        <f>+G37</f>
        <v>1905852009.1900001</v>
      </c>
      <c r="K37" s="85" t="s">
        <v>1114</v>
      </c>
      <c r="L37" s="22"/>
    </row>
    <row r="38" spans="2:14" x14ac:dyDescent="0.25">
      <c r="B38" s="21" t="s">
        <v>531</v>
      </c>
      <c r="C38" s="24">
        <v>0.2523963620498717</v>
      </c>
      <c r="E38" s="5">
        <v>2007</v>
      </c>
      <c r="F38" s="9" t="s">
        <v>531</v>
      </c>
      <c r="G38" s="18">
        <f>+GETPIVOTDATA("Suma de Febrero",$A$16,"Año",2007)</f>
        <v>1999273627.6199999</v>
      </c>
      <c r="H38" s="23">
        <f>+G38/G37-1</f>
        <v>4.901829626829457E-2</v>
      </c>
      <c r="I38" s="18" t="s">
        <v>812</v>
      </c>
      <c r="J38" s="85">
        <f>+G38+G37</f>
        <v>3905125636.8099999</v>
      </c>
      <c r="K38" s="85" t="s">
        <v>1114</v>
      </c>
      <c r="L38" s="22"/>
    </row>
    <row r="39" spans="2:14" x14ac:dyDescent="0.25">
      <c r="B39" s="21" t="s">
        <v>530</v>
      </c>
      <c r="C39" s="24">
        <v>3.9615441960119346E-2</v>
      </c>
      <c r="E39" s="5">
        <v>2007</v>
      </c>
      <c r="F39" s="9" t="s">
        <v>530</v>
      </c>
      <c r="G39" s="18">
        <f>+GETPIVOTDATA("Suma de Marzo",$A$16,"Año",2007)</f>
        <v>2271002299.9299998</v>
      </c>
      <c r="H39" s="23">
        <f t="shared" ref="H39:H74" si="0">+G39/G38-1</f>
        <v>0.13591369813319387</v>
      </c>
      <c r="I39" s="18" t="s">
        <v>812</v>
      </c>
      <c r="J39" s="85">
        <f>+G39+G38+G37</f>
        <v>6176127936.7399998</v>
      </c>
      <c r="K39" s="85" t="s">
        <v>1114</v>
      </c>
      <c r="L39" s="22"/>
    </row>
    <row r="40" spans="2:14" x14ac:dyDescent="0.25">
      <c r="B40" s="21" t="s">
        <v>529</v>
      </c>
      <c r="C40" s="24">
        <v>0.17532524101056612</v>
      </c>
      <c r="E40" s="5">
        <v>2007</v>
      </c>
      <c r="F40" s="9" t="s">
        <v>529</v>
      </c>
      <c r="G40" s="18">
        <f>+GETPIVOTDATA("Suma de Abril",$A$16,"Año",2007)</f>
        <v>1787825543.4100001</v>
      </c>
      <c r="H40" s="23">
        <f t="shared" si="0"/>
        <v>-0.2127592545964806</v>
      </c>
      <c r="I40" s="18" t="s">
        <v>812</v>
      </c>
      <c r="J40" s="85">
        <f t="shared" ref="J40:J48" si="1">+J39+G40</f>
        <v>7963953480.1499996</v>
      </c>
      <c r="K40" s="85" t="s">
        <v>1114</v>
      </c>
    </row>
    <row r="41" spans="2:14" x14ac:dyDescent="0.25">
      <c r="B41" s="21" t="s">
        <v>528</v>
      </c>
      <c r="C41" s="24">
        <v>-3.500726978009927E-2</v>
      </c>
      <c r="E41" s="5">
        <v>2007</v>
      </c>
      <c r="F41" s="9" t="s">
        <v>528</v>
      </c>
      <c r="G41" s="18">
        <f>+GETPIVOTDATA("Suma de Mayo",$A$16,"Año",2007)</f>
        <v>2189008032.9400001</v>
      </c>
      <c r="H41" s="23">
        <f t="shared" si="0"/>
        <v>0.22439688872819574</v>
      </c>
      <c r="I41" s="18" t="s">
        <v>812</v>
      </c>
      <c r="J41" s="85">
        <f t="shared" si="1"/>
        <v>10152961513.09</v>
      </c>
      <c r="K41" s="85" t="s">
        <v>1114</v>
      </c>
    </row>
    <row r="42" spans="2:14" x14ac:dyDescent="0.25">
      <c r="B42" s="21" t="s">
        <v>527</v>
      </c>
      <c r="C42" s="24">
        <v>4.365937026294997E-2</v>
      </c>
      <c r="E42" s="5">
        <v>2007</v>
      </c>
      <c r="F42" s="9" t="s">
        <v>527</v>
      </c>
      <c r="G42" s="18">
        <f>+GETPIVOTDATA("Suma de Junio",$A$16,"Año",2007)</f>
        <v>2141901944</v>
      </c>
      <c r="H42" s="23">
        <f t="shared" si="0"/>
        <v>-2.151937691920347E-2</v>
      </c>
      <c r="I42" s="18" t="s">
        <v>812</v>
      </c>
      <c r="J42" s="85">
        <f t="shared" si="1"/>
        <v>12294863457.09</v>
      </c>
      <c r="K42" s="85" t="s">
        <v>1114</v>
      </c>
    </row>
    <row r="43" spans="2:14" x14ac:dyDescent="0.25">
      <c r="B43" s="21" t="s">
        <v>526</v>
      </c>
      <c r="C43" s="24">
        <v>0.18321899467371483</v>
      </c>
      <c r="E43" s="5">
        <v>2007</v>
      </c>
      <c r="F43" s="9" t="s">
        <v>526</v>
      </c>
      <c r="G43" s="18">
        <f>+GETPIVOTDATA("Suma de Julio",$A$16,"Año",2007)</f>
        <v>2350207894.5900002</v>
      </c>
      <c r="H43" s="23">
        <f t="shared" si="0"/>
        <v>9.7252794962681133E-2</v>
      </c>
      <c r="I43" s="18" t="s">
        <v>812</v>
      </c>
      <c r="J43" s="85">
        <f t="shared" si="1"/>
        <v>14645071351.68</v>
      </c>
      <c r="K43" s="85" t="s">
        <v>1114</v>
      </c>
    </row>
    <row r="44" spans="2:14" x14ac:dyDescent="0.25">
      <c r="B44" s="21" t="s">
        <v>525</v>
      </c>
      <c r="C44" s="24">
        <v>7.4246155752969223E-2</v>
      </c>
      <c r="E44" s="5">
        <v>2007</v>
      </c>
      <c r="F44" s="9" t="s">
        <v>525</v>
      </c>
      <c r="G44" s="18">
        <f>+GETPIVOTDATA("Suma de Agosto",$A$16,"Año",2007)</f>
        <v>2320482736.9699998</v>
      </c>
      <c r="H44" s="23">
        <f t="shared" si="0"/>
        <v>-1.2647884337562365E-2</v>
      </c>
      <c r="I44" s="18" t="s">
        <v>812</v>
      </c>
      <c r="J44" s="85">
        <f t="shared" si="1"/>
        <v>16965554088.65</v>
      </c>
      <c r="K44" s="85" t="s">
        <v>1114</v>
      </c>
    </row>
    <row r="45" spans="2:14" x14ac:dyDescent="0.25">
      <c r="B45" s="21" t="s">
        <v>524</v>
      </c>
      <c r="C45" s="24">
        <v>6.9127816063806913E-2</v>
      </c>
      <c r="E45" s="5">
        <v>2007</v>
      </c>
      <c r="F45" s="9" t="s">
        <v>524</v>
      </c>
      <c r="G45" s="18">
        <f>+GETPIVOTDATA("Suma de Setiembre",$A$16,"Año",2007)</f>
        <v>2278065641.1999998</v>
      </c>
      <c r="H45" s="23">
        <f t="shared" si="0"/>
        <v>-1.8279427420083594E-2</v>
      </c>
      <c r="I45" s="18" t="s">
        <v>812</v>
      </c>
      <c r="J45" s="85">
        <f t="shared" si="1"/>
        <v>19243619729.849998</v>
      </c>
      <c r="K45" s="85" t="s">
        <v>1114</v>
      </c>
    </row>
    <row r="46" spans="2:14" x14ac:dyDescent="0.25">
      <c r="B46" s="21" t="s">
        <v>523</v>
      </c>
      <c r="C46" s="24">
        <v>0.13225596756988045</v>
      </c>
      <c r="E46" s="5">
        <v>2007</v>
      </c>
      <c r="F46" s="9" t="s">
        <v>523</v>
      </c>
      <c r="G46" s="18">
        <f>+GETPIVOTDATA("Suma de Octubre",$A$16,"Año",2007)</f>
        <v>2573172587.8200002</v>
      </c>
      <c r="H46" s="23">
        <f t="shared" si="0"/>
        <v>0.12954277580190765</v>
      </c>
      <c r="I46" s="18" t="s">
        <v>812</v>
      </c>
      <c r="J46" s="85">
        <f t="shared" si="1"/>
        <v>21816792317.669998</v>
      </c>
      <c r="K46" s="85" t="s">
        <v>1114</v>
      </c>
    </row>
    <row r="47" spans="2:14" x14ac:dyDescent="0.25">
      <c r="B47" s="21" t="s">
        <v>522</v>
      </c>
      <c r="C47" s="24">
        <v>3.2556547078203435E-2</v>
      </c>
      <c r="E47" s="5">
        <v>2007</v>
      </c>
      <c r="F47" s="9" t="s">
        <v>522</v>
      </c>
      <c r="G47" s="18">
        <f>+GETPIVOTDATA("Suma de Noviembre",$A$16,"Año",2007)</f>
        <v>2887751029.1799998</v>
      </c>
      <c r="H47" s="23">
        <f t="shared" si="0"/>
        <v>0.12225314494995132</v>
      </c>
      <c r="I47" s="18" t="s">
        <v>812</v>
      </c>
      <c r="J47" s="85">
        <f t="shared" si="1"/>
        <v>24704543346.849998</v>
      </c>
      <c r="K47" s="85" t="s">
        <v>1114</v>
      </c>
    </row>
    <row r="48" spans="2:14" x14ac:dyDescent="0.25">
      <c r="B48" s="21" t="s">
        <v>521</v>
      </c>
      <c r="C48" s="24">
        <v>0.11611561979108354</v>
      </c>
      <c r="E48" s="5">
        <v>2007</v>
      </c>
      <c r="F48" s="9" t="s">
        <v>521</v>
      </c>
      <c r="G48" s="18">
        <f>+GETPIVOTDATA("Suma de Diciembre",$A$16,"Año",2007)</f>
        <v>2306120734.3800001</v>
      </c>
      <c r="H48" s="23">
        <f t="shared" si="0"/>
        <v>-0.20141289499086712</v>
      </c>
      <c r="I48" s="18" t="s">
        <v>812</v>
      </c>
      <c r="J48" s="85">
        <f t="shared" si="1"/>
        <v>27010664081.23</v>
      </c>
      <c r="K48" s="85" t="s">
        <v>1114</v>
      </c>
    </row>
    <row r="49" spans="2:22" x14ac:dyDescent="0.25">
      <c r="B49" s="16">
        <v>2014</v>
      </c>
      <c r="C49" s="24">
        <v>0.8496737796268834</v>
      </c>
      <c r="E49" s="5">
        <v>2008</v>
      </c>
      <c r="F49" s="9" t="s">
        <v>532</v>
      </c>
      <c r="G49" s="18">
        <f>+GETPIVOTDATA("Suma de Enero",$A$16,"Año",2008)</f>
        <v>2617346960.0599999</v>
      </c>
      <c r="H49" s="23">
        <f t="shared" si="0"/>
        <v>0.13495660528097764</v>
      </c>
      <c r="I49" s="23">
        <f>+G49/G37-1</f>
        <v>0.37332119568527777</v>
      </c>
      <c r="J49" s="85">
        <f>+G49</f>
        <v>2617346960.0599999</v>
      </c>
      <c r="K49" s="23">
        <f>+J49/J37-1</f>
        <v>0.37332119568527777</v>
      </c>
    </row>
    <row r="50" spans="2:22" x14ac:dyDescent="0.25">
      <c r="B50" s="21" t="s">
        <v>532</v>
      </c>
      <c r="C50" s="24">
        <v>9.5043021118405679E-2</v>
      </c>
      <c r="E50" s="5">
        <v>2008</v>
      </c>
      <c r="F50" s="9" t="s">
        <v>531</v>
      </c>
      <c r="G50" s="18">
        <f>+GETPIVOTDATA("Suma de Febrero",$A$16,"Año",2008)</f>
        <v>2438429604.8299999</v>
      </c>
      <c r="H50" s="23">
        <f t="shared" si="0"/>
        <v>-6.8358287212291646E-2</v>
      </c>
      <c r="I50" s="23">
        <f>+G50/G38-1</f>
        <v>0.21965776527187297</v>
      </c>
      <c r="J50" s="85">
        <f t="shared" ref="J50:J60" si="2">+J49+G50</f>
        <v>5055776564.8899994</v>
      </c>
      <c r="K50" s="23">
        <f>+J50/J38-1</f>
        <v>0.29465144917077168</v>
      </c>
    </row>
    <row r="51" spans="2:22" x14ac:dyDescent="0.25">
      <c r="B51" s="21" t="s">
        <v>531</v>
      </c>
      <c r="C51" s="24">
        <v>-6.6740491879986319E-3</v>
      </c>
      <c r="E51" s="5">
        <v>2008</v>
      </c>
      <c r="F51" s="9" t="s">
        <v>530</v>
      </c>
      <c r="G51" s="18">
        <f>+GETPIVOTDATA("Suma de Marzo",$A$16,"Año",2008)</f>
        <v>2111669726.9200001</v>
      </c>
      <c r="H51" s="23">
        <f t="shared" si="0"/>
        <v>-0.13400422848490656</v>
      </c>
      <c r="I51" s="23">
        <f>+G51/G39-1</f>
        <v>-7.0159582407693266E-2</v>
      </c>
      <c r="J51" s="85">
        <f t="shared" si="2"/>
        <v>7167446291.8099995</v>
      </c>
      <c r="K51" s="23">
        <f>+J51/J39-1</f>
        <v>0.16050806674080276</v>
      </c>
    </row>
    <row r="52" spans="2:22" x14ac:dyDescent="0.25">
      <c r="B52" s="21" t="s">
        <v>530</v>
      </c>
      <c r="C52" s="24">
        <v>8.9699756057150193E-2</v>
      </c>
      <c r="E52" s="5">
        <v>2008</v>
      </c>
      <c r="F52" s="9" t="s">
        <v>529</v>
      </c>
      <c r="G52" s="18">
        <f>+GETPIVOTDATA("Suma de Abril",$A$16,"Año",2008)</f>
        <v>2776122133.4499998</v>
      </c>
      <c r="H52" s="23">
        <f t="shared" si="0"/>
        <v>0.31465735292760222</v>
      </c>
      <c r="I52" s="23">
        <f t="shared" ref="I52:I85" si="3">+G52/G40-1</f>
        <v>0.55279252144198421</v>
      </c>
      <c r="J52" s="85">
        <f t="shared" si="2"/>
        <v>9943568425.2599983</v>
      </c>
      <c r="K52" s="23">
        <f t="shared" ref="K52:K114" si="4">+J52/J40-1</f>
        <v>0.24857188707143396</v>
      </c>
    </row>
    <row r="53" spans="2:22" x14ac:dyDescent="0.25">
      <c r="B53" s="21" t="s">
        <v>529</v>
      </c>
      <c r="C53" s="24">
        <v>0.13815676239849073</v>
      </c>
      <c r="E53" s="5">
        <v>2008</v>
      </c>
      <c r="F53" s="9" t="s">
        <v>528</v>
      </c>
      <c r="G53" s="18">
        <f>+GETPIVOTDATA("Suma de Mayo",$A$16,"Año",2008)</f>
        <v>2741874649.8699999</v>
      </c>
      <c r="H53" s="23">
        <f t="shared" si="0"/>
        <v>-1.2336447005463436E-2</v>
      </c>
      <c r="I53" s="23">
        <f t="shared" si="3"/>
        <v>0.25256491004624548</v>
      </c>
      <c r="J53" s="85">
        <f t="shared" si="2"/>
        <v>12685443075.129997</v>
      </c>
      <c r="K53" s="23">
        <f t="shared" si="4"/>
        <v>0.24943279443883659</v>
      </c>
    </row>
    <row r="54" spans="2:22" x14ac:dyDescent="0.25">
      <c r="B54" s="21" t="s">
        <v>528</v>
      </c>
      <c r="C54" s="24">
        <v>9.850888580204531E-2</v>
      </c>
      <c r="E54" s="5">
        <v>2008</v>
      </c>
      <c r="F54" s="9" t="s">
        <v>527</v>
      </c>
      <c r="G54" s="18">
        <f>+GETPIVOTDATA("Suma de Junio",$A$16,"Año",2008)</f>
        <v>2374857999.27</v>
      </c>
      <c r="H54" s="23">
        <f t="shared" si="0"/>
        <v>-0.1338561011960927</v>
      </c>
      <c r="I54" s="23">
        <f t="shared" si="3"/>
        <v>0.10876130717494692</v>
      </c>
      <c r="J54" s="85">
        <f t="shared" si="2"/>
        <v>15060301074.399998</v>
      </c>
      <c r="K54" s="23">
        <f t="shared" si="4"/>
        <v>0.22492625696589341</v>
      </c>
    </row>
    <row r="55" spans="2:22" x14ac:dyDescent="0.25">
      <c r="B55" s="21" t="s">
        <v>527</v>
      </c>
      <c r="C55" s="24">
        <v>6.8102464219026881E-2</v>
      </c>
      <c r="E55" s="5">
        <v>2008</v>
      </c>
      <c r="F55" s="9" t="s">
        <v>526</v>
      </c>
      <c r="G55" s="18">
        <f>+GETPIVOTDATA("Suma de Julio",$A$16,"Año",2008)</f>
        <v>3032856190.25</v>
      </c>
      <c r="H55" s="23">
        <f t="shared" si="0"/>
        <v>0.27706843574742579</v>
      </c>
      <c r="I55" s="23">
        <f t="shared" si="3"/>
        <v>0.29046294041961329</v>
      </c>
      <c r="J55" s="85">
        <f t="shared" si="2"/>
        <v>18093157264.649998</v>
      </c>
      <c r="K55" s="23">
        <f t="shared" si="4"/>
        <v>0.23544343555379488</v>
      </c>
    </row>
    <row r="56" spans="2:22" x14ac:dyDescent="0.25">
      <c r="B56" s="21" t="s">
        <v>526</v>
      </c>
      <c r="C56" s="24">
        <v>1.8490136724176098E-2</v>
      </c>
      <c r="E56" s="5">
        <v>2008</v>
      </c>
      <c r="F56" s="9" t="s">
        <v>525</v>
      </c>
      <c r="G56" s="18">
        <f>+GETPIVOTDATA("Suma de Agosto",$A$16,"Año",2008)</f>
        <v>3117024056.8299999</v>
      </c>
      <c r="H56" s="23">
        <f t="shared" si="0"/>
        <v>2.7752013712546653E-2</v>
      </c>
      <c r="I56" s="23">
        <f t="shared" si="3"/>
        <v>0.3432653504244958</v>
      </c>
      <c r="J56" s="85">
        <f t="shared" si="2"/>
        <v>21210181321.479996</v>
      </c>
      <c r="K56" s="23">
        <f t="shared" si="4"/>
        <v>0.25019089919790249</v>
      </c>
    </row>
    <row r="57" spans="2:22" x14ac:dyDescent="0.25">
      <c r="B57" s="21" t="s">
        <v>525</v>
      </c>
      <c r="C57" s="24">
        <v>6.4562465836797367E-2</v>
      </c>
      <c r="E57" s="5">
        <v>2008</v>
      </c>
      <c r="F57" s="9" t="s">
        <v>524</v>
      </c>
      <c r="G57" s="18">
        <f>+GETPIVOTDATA("Suma de Setiembre",$A$16,"Año",2008)</f>
        <v>2962025032.5799999</v>
      </c>
      <c r="H57" s="23">
        <f t="shared" si="0"/>
        <v>-4.9726605064329688E-2</v>
      </c>
      <c r="I57" s="23">
        <f t="shared" si="3"/>
        <v>0.30023691109256889</v>
      </c>
      <c r="J57" s="85">
        <f t="shared" si="2"/>
        <v>24172206354.059998</v>
      </c>
      <c r="K57" s="23">
        <f t="shared" si="4"/>
        <v>0.25611536152759018</v>
      </c>
    </row>
    <row r="58" spans="2:22" x14ac:dyDescent="0.25">
      <c r="B58" s="21" t="s">
        <v>524</v>
      </c>
      <c r="C58" s="24">
        <v>9.8092650717036767E-2</v>
      </c>
      <c r="E58" s="5">
        <v>2008</v>
      </c>
      <c r="F58" s="9" t="s">
        <v>523</v>
      </c>
      <c r="G58" s="18">
        <f>+GETPIVOTDATA("Suma de Octubre",$A$16,"Año",2008)</f>
        <v>3199357214.52</v>
      </c>
      <c r="H58" s="23">
        <f t="shared" si="0"/>
        <v>8.012497508614147E-2</v>
      </c>
      <c r="I58" s="23">
        <f t="shared" si="3"/>
        <v>0.24335119597652222</v>
      </c>
      <c r="J58" s="85">
        <f t="shared" si="2"/>
        <v>27371563568.579998</v>
      </c>
      <c r="K58" s="23">
        <f t="shared" si="4"/>
        <v>0.25460989727674321</v>
      </c>
    </row>
    <row r="59" spans="2:22" x14ac:dyDescent="0.25">
      <c r="B59" s="21" t="s">
        <v>523</v>
      </c>
      <c r="C59" s="24">
        <v>5.3078436485294755E-2</v>
      </c>
      <c r="E59" s="5">
        <v>2008</v>
      </c>
      <c r="F59" s="9" t="s">
        <v>522</v>
      </c>
      <c r="G59" s="18">
        <f>+GETPIVOTDATA("Suma de Noviembre",$A$16,"Año",2008)</f>
        <v>2519150630.52</v>
      </c>
      <c r="H59" s="23">
        <f t="shared" si="0"/>
        <v>-0.2126072640194544</v>
      </c>
      <c r="I59" s="23">
        <f t="shared" si="3"/>
        <v>-0.12764272090474049</v>
      </c>
      <c r="J59" s="85">
        <f t="shared" si="2"/>
        <v>29890714199.099998</v>
      </c>
      <c r="K59" s="23">
        <f t="shared" si="4"/>
        <v>0.20992781689734308</v>
      </c>
    </row>
    <row r="60" spans="2:22" x14ac:dyDescent="0.25">
      <c r="B60" s="21" t="s">
        <v>522</v>
      </c>
      <c r="C60" s="24">
        <v>8.4917320002917185E-2</v>
      </c>
      <c r="E60" s="5">
        <v>2008</v>
      </c>
      <c r="F60" s="9" t="s">
        <v>521</v>
      </c>
      <c r="G60" s="18">
        <f>+GETPIVOTDATA("Suma de Diciembre",$A$16,"Año",2008)</f>
        <v>2374988340.1999998</v>
      </c>
      <c r="H60" s="23">
        <f t="shared" si="0"/>
        <v>-5.7226546349966489E-2</v>
      </c>
      <c r="I60" s="23">
        <f t="shared" si="3"/>
        <v>2.9862966319720741E-2</v>
      </c>
      <c r="J60" s="85">
        <f t="shared" si="2"/>
        <v>32265702539.299999</v>
      </c>
      <c r="K60" s="23">
        <f t="shared" si="4"/>
        <v>0.19455421170935905</v>
      </c>
      <c r="P60" s="97" t="s">
        <v>1133</v>
      </c>
      <c r="Q60" s="97"/>
      <c r="R60" s="97" t="s">
        <v>1134</v>
      </c>
      <c r="S60" s="97"/>
      <c r="T60" s="97" t="s">
        <v>1133</v>
      </c>
      <c r="U60" s="97" t="s">
        <v>1132</v>
      </c>
      <c r="V60" s="97" t="s">
        <v>1131</v>
      </c>
    </row>
    <row r="61" spans="2:22" x14ac:dyDescent="0.25">
      <c r="B61" s="21" t="s">
        <v>521</v>
      </c>
      <c r="C61" s="24">
        <v>4.7695929453541064E-2</v>
      </c>
      <c r="E61" s="5">
        <v>2009</v>
      </c>
      <c r="F61" s="9" t="s">
        <v>532</v>
      </c>
      <c r="G61" s="18">
        <f>+GETPIVOTDATA("Suma de Enero",$A$16,"Año",2009)</f>
        <v>1697216785.22</v>
      </c>
      <c r="H61" s="23">
        <f t="shared" si="0"/>
        <v>-0.28537889786984139</v>
      </c>
      <c r="I61" s="23">
        <f t="shared" si="3"/>
        <v>-0.35155070721648107</v>
      </c>
      <c r="J61" s="85">
        <f>+G61</f>
        <v>1697216785.22</v>
      </c>
      <c r="K61" s="23">
        <f t="shared" si="4"/>
        <v>-0.35155070721648107</v>
      </c>
    </row>
    <row r="62" spans="2:22" x14ac:dyDescent="0.25">
      <c r="B62" s="16">
        <v>2015</v>
      </c>
      <c r="C62" s="24">
        <v>1.1242442906005681</v>
      </c>
      <c r="E62" s="5">
        <v>2009</v>
      </c>
      <c r="F62" s="9" t="s">
        <v>531</v>
      </c>
      <c r="G62" s="18">
        <f>+GETPIVOTDATA("Suma de Febrero",$A$16,"Año",2009)</f>
        <v>1504662853</v>
      </c>
      <c r="H62" s="23">
        <f t="shared" si="0"/>
        <v>-0.11345276213199862</v>
      </c>
      <c r="I62" s="23">
        <f t="shared" si="3"/>
        <v>-0.38293775222397675</v>
      </c>
      <c r="J62" s="85">
        <f t="shared" ref="J62:J72" si="5">+J61+G62</f>
        <v>3201879638.2200003</v>
      </c>
      <c r="K62" s="23">
        <f t="shared" si="4"/>
        <v>-0.36668885637558535</v>
      </c>
    </row>
    <row r="63" spans="2:22" x14ac:dyDescent="0.25">
      <c r="B63" s="21" t="s">
        <v>532</v>
      </c>
      <c r="C63" s="24">
        <v>7.6706296278340025E-2</v>
      </c>
      <c r="E63" s="5">
        <v>2009</v>
      </c>
      <c r="F63" s="9" t="s">
        <v>530</v>
      </c>
      <c r="G63" s="18">
        <f>+GETPIVOTDATA("Suma de Marzo",$A$16,"Año",2009)</f>
        <v>1577516849.5899999</v>
      </c>
      <c r="H63" s="23">
        <f t="shared" si="0"/>
        <v>4.8418817839985584E-2</v>
      </c>
      <c r="I63" s="23">
        <f t="shared" si="3"/>
        <v>-0.25295285077988727</v>
      </c>
      <c r="J63" s="85">
        <f t="shared" si="5"/>
        <v>4779396487.8100004</v>
      </c>
      <c r="K63" s="23">
        <f t="shared" si="4"/>
        <v>-0.33318000676597237</v>
      </c>
    </row>
    <row r="64" spans="2:22" x14ac:dyDescent="0.25">
      <c r="B64" s="21" t="s">
        <v>531</v>
      </c>
      <c r="C64" s="24">
        <v>0.10795159052124625</v>
      </c>
      <c r="E64" s="5">
        <v>2009</v>
      </c>
      <c r="F64" s="9" t="s">
        <v>529</v>
      </c>
      <c r="G64" s="18">
        <f>+GETPIVOTDATA("Suma de Abril",$A$16,"Año",2009)</f>
        <v>1403287237.6900001</v>
      </c>
      <c r="H64" s="23">
        <f t="shared" si="0"/>
        <v>-0.11044548395491471</v>
      </c>
      <c r="I64" s="23">
        <f t="shared" si="3"/>
        <v>-0.49451530940172361</v>
      </c>
      <c r="J64" s="85">
        <f t="shared" si="5"/>
        <v>6182683725.5</v>
      </c>
      <c r="K64" s="23">
        <f t="shared" si="4"/>
        <v>-0.3782228410281856</v>
      </c>
    </row>
    <row r="65" spans="2:11" x14ac:dyDescent="0.25">
      <c r="B65" s="21" t="s">
        <v>530</v>
      </c>
      <c r="C65" s="24">
        <v>0.14466353606215598</v>
      </c>
      <c r="E65" s="5">
        <v>2009</v>
      </c>
      <c r="F65" s="9" t="s">
        <v>528</v>
      </c>
      <c r="G65" s="18">
        <f>+GETPIVOTDATA("Suma de Mayo",$A$16,"Año",2009)</f>
        <v>1338359127.24</v>
      </c>
      <c r="H65" s="23">
        <f t="shared" si="0"/>
        <v>-4.6268581874143178E-2</v>
      </c>
      <c r="I65" s="23">
        <f t="shared" si="3"/>
        <v>-0.51188172394990583</v>
      </c>
      <c r="J65" s="85">
        <f t="shared" si="5"/>
        <v>7521042852.7399998</v>
      </c>
      <c r="K65" s="23">
        <f t="shared" si="4"/>
        <v>-0.40711232487534332</v>
      </c>
    </row>
    <row r="66" spans="2:11" x14ac:dyDescent="0.25">
      <c r="B66" s="21" t="s">
        <v>529</v>
      </c>
      <c r="C66" s="24">
        <v>-1.9531409845268577E-2</v>
      </c>
      <c r="E66" s="5">
        <v>2009</v>
      </c>
      <c r="F66" s="9" t="s">
        <v>527</v>
      </c>
      <c r="G66" s="18">
        <f>+GETPIVOTDATA("Suma de Junio",$A$16,"Año",2009)</f>
        <v>1685181601.0699999</v>
      </c>
      <c r="H66" s="23">
        <f t="shared" si="0"/>
        <v>0.25914006694542935</v>
      </c>
      <c r="I66" s="23">
        <f t="shared" si="3"/>
        <v>-0.29040742579640444</v>
      </c>
      <c r="J66" s="85">
        <f t="shared" si="5"/>
        <v>9206224453.8099995</v>
      </c>
      <c r="K66" s="23">
        <f t="shared" si="4"/>
        <v>-0.38870913613679037</v>
      </c>
    </row>
    <row r="67" spans="2:11" x14ac:dyDescent="0.25">
      <c r="B67" s="21" t="s">
        <v>528</v>
      </c>
      <c r="C67" s="24">
        <v>3.4999479285237278E-2</v>
      </c>
      <c r="E67" s="5">
        <v>2009</v>
      </c>
      <c r="F67" s="9" t="s">
        <v>526</v>
      </c>
      <c r="G67" s="18">
        <f>+GETPIVOTDATA("Suma de Julio",$A$16,"Año",2009)</f>
        <v>1814419839.0599999</v>
      </c>
      <c r="H67" s="23">
        <f t="shared" si="0"/>
        <v>7.6690985652787091E-2</v>
      </c>
      <c r="I67" s="23">
        <f t="shared" si="3"/>
        <v>-0.40174550811443643</v>
      </c>
      <c r="J67" s="85">
        <f t="shared" si="5"/>
        <v>11020644292.869999</v>
      </c>
      <c r="K67" s="23">
        <f t="shared" si="4"/>
        <v>-0.39089435129147498</v>
      </c>
    </row>
    <row r="68" spans="2:11" x14ac:dyDescent="0.25">
      <c r="B68" s="21" t="s">
        <v>527</v>
      </c>
      <c r="C68" s="24">
        <v>0.11336628092237166</v>
      </c>
      <c r="E68" s="5">
        <v>2009</v>
      </c>
      <c r="F68" s="9" t="s">
        <v>525</v>
      </c>
      <c r="G68" s="18">
        <f>+GETPIVOTDATA("Suma de Agosto",$A$16,"Año",2009)</f>
        <v>1752511579.1099999</v>
      </c>
      <c r="H68" s="23">
        <f t="shared" si="0"/>
        <v>-3.4120140563538515E-2</v>
      </c>
      <c r="I68" s="23">
        <f t="shared" si="3"/>
        <v>-0.4377612918097602</v>
      </c>
      <c r="J68" s="85">
        <f t="shared" si="5"/>
        <v>12773155871.98</v>
      </c>
      <c r="K68" s="23">
        <f t="shared" si="4"/>
        <v>-0.3977818634183784</v>
      </c>
    </row>
    <row r="69" spans="2:11" x14ac:dyDescent="0.25">
      <c r="B69" s="21" t="s">
        <v>526</v>
      </c>
      <c r="C69" s="24">
        <v>7.8302131177301337E-2</v>
      </c>
      <c r="E69" s="5">
        <v>2009</v>
      </c>
      <c r="F69" s="9" t="s">
        <v>524</v>
      </c>
      <c r="G69" s="18">
        <f>+GETPIVOTDATA("Suma de Setiembre",$A$16,"Año",2009)</f>
        <v>1704762809.1800001</v>
      </c>
      <c r="H69" s="23">
        <f t="shared" si="0"/>
        <v>-2.7245908386093864E-2</v>
      </c>
      <c r="I69" s="23">
        <f t="shared" si="3"/>
        <v>-0.42446036396420739</v>
      </c>
      <c r="J69" s="85">
        <f t="shared" si="5"/>
        <v>14477918681.16</v>
      </c>
      <c r="K69" s="23">
        <f t="shared" si="4"/>
        <v>-0.40105100589097575</v>
      </c>
    </row>
    <row r="70" spans="2:11" x14ac:dyDescent="0.25">
      <c r="B70" s="21" t="s">
        <v>525</v>
      </c>
      <c r="C70" s="24">
        <v>0.14940657893678844</v>
      </c>
      <c r="E70" s="5">
        <v>2009</v>
      </c>
      <c r="F70" s="9" t="s">
        <v>523</v>
      </c>
      <c r="G70" s="18">
        <f>+GETPIVOTDATA("Suma de Octubre",$A$16,"Año",2009)</f>
        <v>1927542602.6600001</v>
      </c>
      <c r="H70" s="23">
        <f t="shared" si="0"/>
        <v>0.13068081511419072</v>
      </c>
      <c r="I70" s="23">
        <f t="shared" si="3"/>
        <v>-0.39752191661749481</v>
      </c>
      <c r="J70" s="85">
        <f t="shared" si="5"/>
        <v>16405461283.82</v>
      </c>
      <c r="K70" s="23">
        <f t="shared" si="4"/>
        <v>-0.40063850416452129</v>
      </c>
    </row>
    <row r="71" spans="2:11" x14ac:dyDescent="0.25">
      <c r="B71" s="21" t="s">
        <v>524</v>
      </c>
      <c r="C71" s="24">
        <v>6.1501124146614794E-2</v>
      </c>
      <c r="E71" s="5">
        <v>2009</v>
      </c>
      <c r="F71" s="9" t="s">
        <v>522</v>
      </c>
      <c r="G71" s="18">
        <f>+GETPIVOTDATA("Suma de Noviembre",$A$16,"Año",2009)</f>
        <v>1899733756.6900001</v>
      </c>
      <c r="H71" s="23">
        <f t="shared" si="0"/>
        <v>-1.442709797003916E-2</v>
      </c>
      <c r="I71" s="23">
        <f t="shared" si="3"/>
        <v>-0.24588322203747726</v>
      </c>
      <c r="J71" s="85">
        <f t="shared" si="5"/>
        <v>18305195040.509998</v>
      </c>
      <c r="K71" s="23">
        <f t="shared" si="4"/>
        <v>-0.3875959296729965</v>
      </c>
    </row>
    <row r="72" spans="2:11" x14ac:dyDescent="0.25">
      <c r="B72" s="21" t="s">
        <v>523</v>
      </c>
      <c r="C72" s="24">
        <v>7.872306036786636E-2</v>
      </c>
      <c r="E72" s="5">
        <v>2009</v>
      </c>
      <c r="F72" s="9" t="s">
        <v>521</v>
      </c>
      <c r="G72" s="18">
        <f>+GETPIVOTDATA("Suma de Diciembre",$A$16,"Año",2009)</f>
        <v>1949838849.4400001</v>
      </c>
      <c r="H72" s="23">
        <f t="shared" si="0"/>
        <v>2.6374797296490948E-2</v>
      </c>
      <c r="I72" s="23">
        <f t="shared" si="3"/>
        <v>-0.1790111907346027</v>
      </c>
      <c r="J72" s="85">
        <f t="shared" si="5"/>
        <v>20255033889.949997</v>
      </c>
      <c r="K72" s="23">
        <f t="shared" si="4"/>
        <v>-0.37224258900672835</v>
      </c>
    </row>
    <row r="73" spans="2:11" x14ac:dyDescent="0.25">
      <c r="B73" s="21" t="s">
        <v>522</v>
      </c>
      <c r="C73" s="24">
        <v>0.16488643148603566</v>
      </c>
      <c r="E73" s="5">
        <f>+'[1]Graficos montos'!$A$8</f>
        <v>2010</v>
      </c>
      <c r="F73" s="9" t="s">
        <v>532</v>
      </c>
      <c r="G73" s="18">
        <f>+GETPIVOTDATA("Suma de Enero",$A$15,"Año",2010)</f>
        <v>1611924215.28</v>
      </c>
      <c r="H73" s="23">
        <f t="shared" si="0"/>
        <v>-0.17330387803948533</v>
      </c>
      <c r="I73" s="23">
        <f t="shared" si="3"/>
        <v>-5.0254375683035701E-2</v>
      </c>
      <c r="J73" s="85">
        <f>+G73</f>
        <v>1611924215.28</v>
      </c>
      <c r="K73" s="23">
        <f t="shared" si="4"/>
        <v>-5.0254375683035701E-2</v>
      </c>
    </row>
    <row r="74" spans="2:11" x14ac:dyDescent="0.25">
      <c r="B74" s="21" t="s">
        <v>521</v>
      </c>
      <c r="C74" s="24">
        <v>0.13326919126187886</v>
      </c>
      <c r="E74" s="5">
        <f>+'[1]Graficos montos'!$A$8</f>
        <v>2010</v>
      </c>
      <c r="F74" s="9" t="s">
        <v>531</v>
      </c>
      <c r="G74" s="18">
        <f>+GETPIVOTDATA("Suma de Febrero",$A$15,"Año",2010)</f>
        <v>1804714951.29</v>
      </c>
      <c r="H74" s="23">
        <f t="shared" si="0"/>
        <v>0.11960285364688272</v>
      </c>
      <c r="I74" s="23">
        <f t="shared" si="3"/>
        <v>0.19941483747788125</v>
      </c>
      <c r="J74" s="85">
        <f t="shared" ref="J74:J84" si="6">+J73+G74</f>
        <v>3416639166.5699997</v>
      </c>
      <c r="K74" s="23">
        <f t="shared" si="4"/>
        <v>6.7072954831428167E-2</v>
      </c>
    </row>
    <row r="75" spans="2:11" x14ac:dyDescent="0.25">
      <c r="B75" s="16">
        <v>2016</v>
      </c>
      <c r="C75" s="24">
        <v>0.97771974302643772</v>
      </c>
      <c r="E75" s="5">
        <f>+'[1]Graficos montos'!$A$8</f>
        <v>2010</v>
      </c>
      <c r="F75" s="9" t="s">
        <v>530</v>
      </c>
      <c r="G75" s="18">
        <f>+GETPIVOTDATA("Suma de Marzo",$A$15,"Año",2010)</f>
        <v>2046002842.04</v>
      </c>
      <c r="H75" s="23">
        <f t="shared" ref="H75:H138" si="7">+G75/G74-1</f>
        <v>0.13369861571630959</v>
      </c>
      <c r="I75" s="23">
        <f t="shared" si="3"/>
        <v>0.29697685484105008</v>
      </c>
      <c r="J75" s="85">
        <f t="shared" si="6"/>
        <v>5462642008.6099997</v>
      </c>
      <c r="K75" s="23">
        <f t="shared" si="4"/>
        <v>0.14295644283596021</v>
      </c>
    </row>
    <row r="76" spans="2:11" x14ac:dyDescent="0.25">
      <c r="B76" s="21" t="s">
        <v>532</v>
      </c>
      <c r="C76" s="24">
        <v>7.468086694045728E-2</v>
      </c>
      <c r="E76" s="5">
        <f>+'[1]Graficos montos'!$A$8</f>
        <v>2010</v>
      </c>
      <c r="F76" s="9" t="s">
        <v>529</v>
      </c>
      <c r="G76" s="18">
        <f>+GETPIVOTDATA("Suma de Abril",$A$15,"Año",2010)</f>
        <v>1766538356.8099999</v>
      </c>
      <c r="H76" s="23">
        <f t="shared" si="7"/>
        <v>-0.13659046775876205</v>
      </c>
      <c r="I76" s="23">
        <f t="shared" si="3"/>
        <v>0.25885728122060048</v>
      </c>
      <c r="J76" s="85">
        <f t="shared" si="6"/>
        <v>7229180365.4200001</v>
      </c>
      <c r="K76" s="23">
        <f t="shared" si="4"/>
        <v>0.16926252196983738</v>
      </c>
    </row>
    <row r="77" spans="2:11" x14ac:dyDescent="0.25">
      <c r="B77" s="21" t="s">
        <v>531</v>
      </c>
      <c r="C77" s="24">
        <v>8.0369502256502745E-2</v>
      </c>
      <c r="E77" s="5">
        <f>+'[1]Graficos montos'!$A$8</f>
        <v>2010</v>
      </c>
      <c r="F77" s="9" t="s">
        <v>528</v>
      </c>
      <c r="G77" s="18">
        <f>+GETPIVOTDATA("Suma de Mayo",$A$15,"Año",2010)</f>
        <v>1841519810.8199999</v>
      </c>
      <c r="H77" s="23">
        <f t="shared" si="7"/>
        <v>4.2445415193475222E-2</v>
      </c>
      <c r="I77" s="23">
        <f t="shared" si="3"/>
        <v>0.37595341440053631</v>
      </c>
      <c r="J77" s="85">
        <f t="shared" si="6"/>
        <v>9070700176.2399998</v>
      </c>
      <c r="K77" s="23">
        <f t="shared" si="4"/>
        <v>0.20604287913815611</v>
      </c>
    </row>
    <row r="78" spans="2:11" x14ac:dyDescent="0.25">
      <c r="B78" s="21" t="s">
        <v>530</v>
      </c>
      <c r="C78" s="24">
        <v>5.9600612432510802E-2</v>
      </c>
      <c r="E78" s="5">
        <f>+'[1]Graficos montos'!$A$8</f>
        <v>2010</v>
      </c>
      <c r="F78" s="9" t="s">
        <v>527</v>
      </c>
      <c r="G78" s="18">
        <f>+GETPIVOTDATA("Suma de Junio",$A$15,"Año",2010)</f>
        <v>1880228749.3599999</v>
      </c>
      <c r="H78" s="23">
        <f t="shared" si="7"/>
        <v>2.1020104325005118E-2</v>
      </c>
      <c r="I78" s="23">
        <f t="shared" si="3"/>
        <v>0.1157425099859597</v>
      </c>
      <c r="J78" s="85">
        <f t="shared" si="6"/>
        <v>10950928925.6</v>
      </c>
      <c r="K78" s="23">
        <f t="shared" si="4"/>
        <v>0.18951357101313704</v>
      </c>
    </row>
    <row r="79" spans="2:11" x14ac:dyDescent="0.25">
      <c r="B79" s="21" t="s">
        <v>529</v>
      </c>
      <c r="C79" s="24">
        <v>0.14150172616821832</v>
      </c>
      <c r="E79" s="5">
        <f>+'[1]Graficos montos'!$A$8</f>
        <v>2010</v>
      </c>
      <c r="F79" s="9" t="s">
        <v>526</v>
      </c>
      <c r="G79" s="18">
        <f>+GETPIVOTDATA("Suma de Julio",$A$15,"Año",2010)</f>
        <v>1891302243.1700001</v>
      </c>
      <c r="H79" s="23">
        <f t="shared" si="7"/>
        <v>5.8894396832138707E-3</v>
      </c>
      <c r="I79" s="23">
        <f t="shared" si="3"/>
        <v>4.2372995739415442E-2</v>
      </c>
      <c r="J79" s="85">
        <f t="shared" si="6"/>
        <v>12842231168.77</v>
      </c>
      <c r="K79" s="23">
        <f t="shared" si="4"/>
        <v>0.16528860087413477</v>
      </c>
    </row>
    <row r="80" spans="2:11" x14ac:dyDescent="0.25">
      <c r="B80" s="21" t="s">
        <v>528</v>
      </c>
      <c r="C80" s="24">
        <v>0.12025970813200182</v>
      </c>
      <c r="E80" s="5">
        <f>+'[1]Graficos montos'!$A$8</f>
        <v>2010</v>
      </c>
      <c r="F80" s="9" t="s">
        <v>525</v>
      </c>
      <c r="G80" s="18">
        <f>+GETPIVOTDATA("Suma de Agosto",$A$15,"Año",2010)</f>
        <v>2036626619.3599999</v>
      </c>
      <c r="H80" s="23">
        <f t="shared" si="7"/>
        <v>7.6838261422681242E-2</v>
      </c>
      <c r="I80" s="23">
        <f t="shared" si="3"/>
        <v>0.16211878063269958</v>
      </c>
      <c r="J80" s="85">
        <f t="shared" si="6"/>
        <v>14878857788.130001</v>
      </c>
      <c r="K80" s="23">
        <f t="shared" si="4"/>
        <v>0.16485369295220154</v>
      </c>
    </row>
    <row r="81" spans="2:11" x14ac:dyDescent="0.25">
      <c r="B81" s="21" t="s">
        <v>527</v>
      </c>
      <c r="C81" s="24">
        <v>0.15170563359114175</v>
      </c>
      <c r="E81" s="5">
        <f>+'[1]Graficos montos'!$A$8</f>
        <v>2010</v>
      </c>
      <c r="F81" s="9" t="s">
        <v>524</v>
      </c>
      <c r="G81" s="18">
        <f>+GETPIVOTDATA("Suma de Setiembre",$A$15,"Año",2010)</f>
        <v>1667559763.6500001</v>
      </c>
      <c r="H81" s="23">
        <f t="shared" si="7"/>
        <v>-0.18121478537188973</v>
      </c>
      <c r="I81" s="23">
        <f t="shared" si="3"/>
        <v>-2.1823003956717546E-2</v>
      </c>
      <c r="J81" s="85">
        <f t="shared" si="6"/>
        <v>16546417551.780001</v>
      </c>
      <c r="K81" s="23">
        <f t="shared" si="4"/>
        <v>0.14287266810744859</v>
      </c>
    </row>
    <row r="82" spans="2:11" x14ac:dyDescent="0.25">
      <c r="B82" s="21" t="s">
        <v>526</v>
      </c>
      <c r="C82" s="24">
        <v>6.1341594756474827E-2</v>
      </c>
      <c r="E82" s="5">
        <f>+'[1]Graficos montos'!$A$8</f>
        <v>2010</v>
      </c>
      <c r="F82" s="9" t="s">
        <v>523</v>
      </c>
      <c r="G82" s="18">
        <f>+GETPIVOTDATA("Suma de Octubre",$A$15,"Año",2010)</f>
        <v>1898849957.0699999</v>
      </c>
      <c r="H82" s="23">
        <f t="shared" si="7"/>
        <v>0.1386997926321667</v>
      </c>
      <c r="I82" s="23">
        <f t="shared" si="3"/>
        <v>-1.4885609039408276E-2</v>
      </c>
      <c r="J82" s="85">
        <f t="shared" si="6"/>
        <v>18445267508.850002</v>
      </c>
      <c r="K82" s="23">
        <f t="shared" si="4"/>
        <v>0.12433702349118181</v>
      </c>
    </row>
    <row r="83" spans="2:11" x14ac:dyDescent="0.25">
      <c r="B83" s="21" t="s">
        <v>525</v>
      </c>
      <c r="C83" s="24">
        <v>-4.1540776997688322E-3</v>
      </c>
      <c r="E83" s="5">
        <f>+'[1]Graficos montos'!$A$8</f>
        <v>2010</v>
      </c>
      <c r="F83" s="9" t="s">
        <v>522</v>
      </c>
      <c r="G83" s="18">
        <f>+GETPIVOTDATA("Suma de Noviembre",$A$15,"Año",2010)</f>
        <v>1951531085.73</v>
      </c>
      <c r="H83" s="23">
        <f t="shared" si="7"/>
        <v>2.7743702689015493E-2</v>
      </c>
      <c r="I83" s="23">
        <f t="shared" si="3"/>
        <v>2.7265572798079285E-2</v>
      </c>
      <c r="J83" s="85">
        <f t="shared" si="6"/>
        <v>20396798594.580002</v>
      </c>
      <c r="K83" s="23">
        <f t="shared" si="4"/>
        <v>0.11426283901598522</v>
      </c>
    </row>
    <row r="84" spans="2:11" x14ac:dyDescent="0.25">
      <c r="B84" s="21" t="s">
        <v>524</v>
      </c>
      <c r="C84" s="24">
        <v>0.10218496065385563</v>
      </c>
      <c r="E84" s="5">
        <f>+'[1]Graficos montos'!$A$8</f>
        <v>2010</v>
      </c>
      <c r="F84" s="9" t="s">
        <v>521</v>
      </c>
      <c r="G84" s="18">
        <f>+GETPIVOTDATA("Suma de Diciembre",$A$15,"Año",2010)</f>
        <v>1887113992.45</v>
      </c>
      <c r="H84" s="23">
        <f t="shared" si="7"/>
        <v>-3.3008489462981738E-2</v>
      </c>
      <c r="I84" s="23">
        <f t="shared" si="3"/>
        <v>-3.2169251837409374E-2</v>
      </c>
      <c r="J84" s="85">
        <f t="shared" si="6"/>
        <v>22283912587.030003</v>
      </c>
      <c r="K84" s="23">
        <f t="shared" si="4"/>
        <v>0.10016664045606372</v>
      </c>
    </row>
    <row r="85" spans="2:11" x14ac:dyDescent="0.25">
      <c r="B85" s="21" t="s">
        <v>523</v>
      </c>
      <c r="C85" s="24">
        <v>9.078163535824757E-2</v>
      </c>
      <c r="E85" s="5">
        <f>+'[1]Graficos montos'!$A$9</f>
        <v>2011</v>
      </c>
      <c r="F85" s="9" t="s">
        <v>532</v>
      </c>
      <c r="G85" s="18">
        <f>+GETPIVOTDATA("Suma de Enero",$A$15,"Año",2011)</f>
        <v>1724480591.1500001</v>
      </c>
      <c r="H85" s="23">
        <f t="shared" si="7"/>
        <v>-8.6181016065095539E-2</v>
      </c>
      <c r="I85" s="23">
        <f t="shared" si="3"/>
        <v>6.9827337292310832E-2</v>
      </c>
      <c r="J85" s="85">
        <f>+G85</f>
        <v>1724480591.1500001</v>
      </c>
      <c r="K85" s="23">
        <f t="shared" si="4"/>
        <v>6.9827337292310832E-2</v>
      </c>
    </row>
    <row r="86" spans="2:11" x14ac:dyDescent="0.25">
      <c r="B86" s="21" t="s">
        <v>522</v>
      </c>
      <c r="C86" s="24">
        <v>5.5163897401260042E-2</v>
      </c>
      <c r="E86" s="5">
        <f>+'[1]Graficos montos'!$A$9</f>
        <v>2011</v>
      </c>
      <c r="F86" s="9" t="s">
        <v>531</v>
      </c>
      <c r="G86" s="18">
        <f>+GETPIVOTDATA("Suma de Febrero",$A$15,"Año",2011)</f>
        <v>1697780329.45</v>
      </c>
      <c r="H86" s="23">
        <f t="shared" si="7"/>
        <v>-1.548307463535703E-2</v>
      </c>
      <c r="I86" s="23">
        <f>+G86/G74-1</f>
        <v>-5.9252915128543471E-2</v>
      </c>
      <c r="J86" s="85">
        <f t="shared" ref="J86:J96" si="8">+J85+G86</f>
        <v>3422260920.6000004</v>
      </c>
      <c r="K86" s="23">
        <f t="shared" si="4"/>
        <v>1.6454046669622802E-3</v>
      </c>
    </row>
    <row r="87" spans="2:11" x14ac:dyDescent="0.25">
      <c r="B87" s="21" t="s">
        <v>521</v>
      </c>
      <c r="C87" s="24">
        <v>4.4283683035535759E-2</v>
      </c>
      <c r="E87" s="5">
        <f>+'[1]Graficos montos'!$A$9</f>
        <v>2011</v>
      </c>
      <c r="F87" s="9" t="s">
        <v>530</v>
      </c>
      <c r="G87" s="18">
        <f>+GETPIVOTDATA("Suma de Marzo",$A$15,"Año",2011)</f>
        <v>2193095497.9899998</v>
      </c>
      <c r="H87" s="23">
        <f t="shared" si="7"/>
        <v>0.29174278906886508</v>
      </c>
      <c r="I87" s="23">
        <f>+G87/G75-1</f>
        <v>7.189269385537056E-2</v>
      </c>
      <c r="J87" s="85">
        <f t="shared" si="8"/>
        <v>5615356418.5900002</v>
      </c>
      <c r="K87" s="23">
        <f t="shared" si="4"/>
        <v>2.7956144616340994E-2</v>
      </c>
    </row>
    <row r="88" spans="2:11" x14ac:dyDescent="0.25">
      <c r="B88" s="16">
        <v>2017</v>
      </c>
      <c r="C88" s="24">
        <v>0.60922290105348798</v>
      </c>
      <c r="E88" s="5">
        <f>+'[1]Graficos montos'!$A$9</f>
        <v>2011</v>
      </c>
      <c r="F88" s="9" t="s">
        <v>529</v>
      </c>
      <c r="G88" s="18">
        <f>+GETPIVOTDATA("Suma de Abril",$A$15,"Año",2011)</f>
        <v>1651086470.75</v>
      </c>
      <c r="H88" s="23">
        <f t="shared" si="7"/>
        <v>-0.24714337690116917</v>
      </c>
      <c r="I88" s="23">
        <f t="shared" ref="I88:I93" si="9">+G88/G76-1</f>
        <v>-6.5354870792888931E-2</v>
      </c>
      <c r="J88" s="85">
        <f t="shared" si="8"/>
        <v>7266442889.3400002</v>
      </c>
      <c r="K88" s="23">
        <f t="shared" si="4"/>
        <v>5.1544604002746741E-3</v>
      </c>
    </row>
    <row r="89" spans="2:11" x14ac:dyDescent="0.25">
      <c r="B89" s="21" t="s">
        <v>532</v>
      </c>
      <c r="C89" s="24">
        <v>8.3872529431435749E-2</v>
      </c>
      <c r="E89" s="5">
        <f>+'[1]Graficos montos'!$A$9</f>
        <v>2011</v>
      </c>
      <c r="F89" s="9" t="s">
        <v>528</v>
      </c>
      <c r="G89" s="18">
        <f>+GETPIVOTDATA("Suma de Mayo",$A$15,"Año",2011)</f>
        <v>2124684859.99</v>
      </c>
      <c r="H89" s="23">
        <f t="shared" si="7"/>
        <v>0.2868404518055736</v>
      </c>
      <c r="I89" s="23">
        <f t="shared" si="9"/>
        <v>0.15376703932601798</v>
      </c>
      <c r="J89" s="85">
        <f t="shared" si="8"/>
        <v>9391127749.3299999</v>
      </c>
      <c r="K89" s="23">
        <f t="shared" si="4"/>
        <v>3.5325561077339529E-2</v>
      </c>
    </row>
    <row r="90" spans="2:11" x14ac:dyDescent="0.25">
      <c r="B90" s="21" t="s">
        <v>531</v>
      </c>
      <c r="C90" s="24">
        <v>1.5548339769311026E-2</v>
      </c>
      <c r="E90" s="5">
        <f>+'[1]Graficos montos'!$A$9</f>
        <v>2011</v>
      </c>
      <c r="F90" s="9" t="s">
        <v>527</v>
      </c>
      <c r="G90" s="18">
        <f>+GETPIVOTDATA("Suma de Junio",$A$15,"Año",2011)</f>
        <v>2047840155.23</v>
      </c>
      <c r="H90" s="23">
        <f t="shared" si="7"/>
        <v>-3.6167577699198983E-2</v>
      </c>
      <c r="I90" s="23">
        <f t="shared" si="9"/>
        <v>8.9144156490029491E-2</v>
      </c>
      <c r="J90" s="85">
        <f t="shared" si="8"/>
        <v>11438967904.559999</v>
      </c>
      <c r="K90" s="23">
        <f t="shared" si="4"/>
        <v>4.4565989084187185E-2</v>
      </c>
    </row>
    <row r="91" spans="2:11" x14ac:dyDescent="0.25">
      <c r="B91" s="21" t="s">
        <v>530</v>
      </c>
      <c r="C91" s="24">
        <v>0.1307104128951595</v>
      </c>
      <c r="E91" s="5">
        <f>+'[1]Graficos montos'!$A$9</f>
        <v>2011</v>
      </c>
      <c r="F91" s="9" t="s">
        <v>526</v>
      </c>
      <c r="G91" s="18">
        <f>+GETPIVOTDATA("Suma de Julio",$A$15,"Año",2011)</f>
        <v>1898945116.5599999</v>
      </c>
      <c r="H91" s="23">
        <f t="shared" si="7"/>
        <v>-7.2708330427907475E-2</v>
      </c>
      <c r="I91" s="23">
        <f>+G91/G79-1</f>
        <v>4.0410639904862045E-3</v>
      </c>
      <c r="J91" s="85">
        <f t="shared" si="8"/>
        <v>13337913021.119999</v>
      </c>
      <c r="K91" s="23">
        <f t="shared" si="4"/>
        <v>3.8597798609591116E-2</v>
      </c>
    </row>
    <row r="92" spans="2:11" x14ac:dyDescent="0.25">
      <c r="B92" s="21" t="s">
        <v>529</v>
      </c>
      <c r="C92" s="24">
        <v>-2.8071380888318065E-2</v>
      </c>
      <c r="E92" s="5">
        <f>+'[1]Graficos montos'!$A$9</f>
        <v>2011</v>
      </c>
      <c r="F92" s="9" t="s">
        <v>525</v>
      </c>
      <c r="G92" s="18">
        <f>+GETPIVOTDATA("Suma de Agosto",$A$15,"Año",2011)</f>
        <v>2360117525.6700001</v>
      </c>
      <c r="H92" s="23">
        <f t="shared" si="7"/>
        <v>0.24285715531654173</v>
      </c>
      <c r="I92" s="23">
        <f>+G92/G80-1</f>
        <v>0.15883662878355964</v>
      </c>
      <c r="J92" s="85">
        <f t="shared" si="8"/>
        <v>15698030546.789999</v>
      </c>
      <c r="K92" s="23">
        <f t="shared" si="4"/>
        <v>5.505615890176152E-2</v>
      </c>
    </row>
    <row r="93" spans="2:11" x14ac:dyDescent="0.25">
      <c r="B93" s="21" t="s">
        <v>528</v>
      </c>
      <c r="C93" s="24">
        <v>0.10861645955165966</v>
      </c>
      <c r="E93" s="5">
        <f>+'[1]Graficos montos'!$A$9</f>
        <v>2011</v>
      </c>
      <c r="F93" s="9" t="s">
        <v>524</v>
      </c>
      <c r="G93" s="18">
        <f>+GETPIVOTDATA("Suma de Setiembre",$A$15,"Año",2011)</f>
        <v>2169727551.6199999</v>
      </c>
      <c r="H93" s="23">
        <f t="shared" si="7"/>
        <v>-8.0669700546353695E-2</v>
      </c>
      <c r="I93" s="23">
        <f t="shared" si="9"/>
        <v>0.3011393048191815</v>
      </c>
      <c r="J93" s="85">
        <f t="shared" si="8"/>
        <v>17867758098.41</v>
      </c>
      <c r="K93" s="23">
        <f t="shared" si="4"/>
        <v>7.9856593881728388E-2</v>
      </c>
    </row>
    <row r="94" spans="2:11" x14ac:dyDescent="0.25">
      <c r="B94" s="21" t="s">
        <v>527</v>
      </c>
      <c r="C94" s="24">
        <v>7.4098541073240654E-2</v>
      </c>
      <c r="E94" s="5">
        <f>+'[1]Graficos montos'!$A$9</f>
        <v>2011</v>
      </c>
      <c r="F94" s="9" t="s">
        <v>523</v>
      </c>
      <c r="G94" s="18">
        <f>+GETPIVOTDATA("Suma de Octubre",$A$15,"Año",2011)</f>
        <v>1956543760.01</v>
      </c>
      <c r="H94" s="23">
        <f t="shared" si="7"/>
        <v>-9.8253714596945096E-2</v>
      </c>
      <c r="I94" s="23">
        <f>+G94/G82-1</f>
        <v>3.0383550172138785E-2</v>
      </c>
      <c r="J94" s="85">
        <f t="shared" si="8"/>
        <v>19824301858.419998</v>
      </c>
      <c r="K94" s="23">
        <f t="shared" si="4"/>
        <v>7.4763586318731257E-2</v>
      </c>
    </row>
    <row r="95" spans="2:11" x14ac:dyDescent="0.25">
      <c r="B95" s="21" t="s">
        <v>526</v>
      </c>
      <c r="C95" s="24">
        <v>-2.1670791343128437E-2</v>
      </c>
      <c r="E95" s="5">
        <f>+'[1]Graficos montos'!$A$9</f>
        <v>2011</v>
      </c>
      <c r="F95" s="9" t="s">
        <v>522</v>
      </c>
      <c r="G95" s="18">
        <f>+GETPIVOTDATA("Suma de Noviembre",$A$15,"Año",2011)</f>
        <v>2362131599.8099999</v>
      </c>
      <c r="H95" s="23">
        <f t="shared" si="7"/>
        <v>0.20729811828891931</v>
      </c>
      <c r="I95" s="23">
        <f>+G95/G83-1</f>
        <v>0.21039916662480862</v>
      </c>
      <c r="J95" s="85">
        <f t="shared" si="8"/>
        <v>22186433458.23</v>
      </c>
      <c r="K95" s="23">
        <f t="shared" si="4"/>
        <v>8.7740968532461494E-2</v>
      </c>
    </row>
    <row r="96" spans="2:11" x14ac:dyDescent="0.25">
      <c r="B96" s="21" t="s">
        <v>525</v>
      </c>
      <c r="C96" s="24">
        <v>6.7205369225785683E-2</v>
      </c>
      <c r="E96" s="5">
        <f>+'[1]Graficos montos'!$A$9</f>
        <v>2011</v>
      </c>
      <c r="F96" s="9" t="s">
        <v>521</v>
      </c>
      <c r="G96" s="18">
        <f>+GETPIVOTDATA("Suma de Diciembre",$A$15,"Año",2011)</f>
        <v>1969216084.54</v>
      </c>
      <c r="H96" s="23">
        <f t="shared" si="7"/>
        <v>-0.16633938401298409</v>
      </c>
      <c r="I96" s="23">
        <f>+G96/G84-1</f>
        <v>4.3506694570903282E-2</v>
      </c>
      <c r="J96" s="85">
        <f t="shared" si="8"/>
        <v>24155649542.77</v>
      </c>
      <c r="K96" s="23">
        <f t="shared" si="4"/>
        <v>8.3994987344790273E-2</v>
      </c>
    </row>
    <row r="97" spans="2:11" x14ac:dyDescent="0.25">
      <c r="B97" s="21" t="s">
        <v>524</v>
      </c>
      <c r="C97" s="24">
        <v>8.3935351132774949E-2</v>
      </c>
      <c r="E97" s="5">
        <f>+'[1]Graficos montos'!$A$10</f>
        <v>2012</v>
      </c>
      <c r="F97" s="9" t="s">
        <v>532</v>
      </c>
      <c r="G97" s="18">
        <f>+GETPIVOTDATA("Suma de Enero",$A$15,"Año",2012)</f>
        <v>1983611026.0599999</v>
      </c>
      <c r="H97" s="23">
        <f t="shared" si="7"/>
        <v>7.3099857516969458E-3</v>
      </c>
      <c r="I97" s="23">
        <f t="shared" ref="I97:I102" si="10">+G97/G85-1</f>
        <v>0.15026578799428192</v>
      </c>
      <c r="J97" s="85">
        <f>+G97</f>
        <v>1983611026.0599999</v>
      </c>
      <c r="K97" s="23">
        <f t="shared" si="4"/>
        <v>0.15026578799428192</v>
      </c>
    </row>
    <row r="98" spans="2:11" x14ac:dyDescent="0.25">
      <c r="B98" s="21" t="s">
        <v>523</v>
      </c>
      <c r="C98" s="24">
        <v>-7.1425459811843561E-3</v>
      </c>
      <c r="E98" s="5">
        <f>+'[1]Graficos montos'!$A$10</f>
        <v>2012</v>
      </c>
      <c r="F98" s="9" t="s">
        <v>531</v>
      </c>
      <c r="G98" s="18">
        <f>+GETPIVOTDATA("Suma de Febrero",$A$15,"Año",2012)</f>
        <v>1866959008.8499999</v>
      </c>
      <c r="H98" s="23">
        <f t="shared" si="7"/>
        <v>-5.8807909251091028E-2</v>
      </c>
      <c r="I98" s="23">
        <f t="shared" si="10"/>
        <v>9.9646978154591892E-2</v>
      </c>
      <c r="J98" s="85">
        <f t="shared" ref="J98:J108" si="11">+J97+G98</f>
        <v>3850570034.9099998</v>
      </c>
      <c r="K98" s="23">
        <f t="shared" si="4"/>
        <v>0.12515384543937902</v>
      </c>
    </row>
    <row r="99" spans="2:11" x14ac:dyDescent="0.25">
      <c r="B99" s="21" t="s">
        <v>522</v>
      </c>
      <c r="C99" s="24">
        <v>5.3148879513688518E-2</v>
      </c>
      <c r="E99" s="5">
        <f>+'[1]Graficos montos'!$A$10</f>
        <v>2012</v>
      </c>
      <c r="F99" s="9" t="s">
        <v>530</v>
      </c>
      <c r="G99" s="18">
        <f>+GETPIVOTDATA("Suma de Marzo",$A$15,"Año",2012)</f>
        <v>2170465358.2800002</v>
      </c>
      <c r="H99" s="23">
        <f t="shared" si="7"/>
        <v>0.16256722723492079</v>
      </c>
      <c r="I99" s="23">
        <f t="shared" si="10"/>
        <v>-1.0318811803106787E-2</v>
      </c>
      <c r="J99" s="85">
        <f t="shared" si="11"/>
        <v>6021035393.1900005</v>
      </c>
      <c r="K99" s="23">
        <f t="shared" si="4"/>
        <v>7.2244563721186816E-2</v>
      </c>
    </row>
    <row r="100" spans="2:11" x14ac:dyDescent="0.25">
      <c r="B100" s="21" t="s">
        <v>521</v>
      </c>
      <c r="C100" s="24">
        <v>4.8971736673063093E-2</v>
      </c>
      <c r="E100" s="5">
        <f>+'[1]Graficos montos'!$A$10</f>
        <v>2012</v>
      </c>
      <c r="F100" s="9" t="s">
        <v>529</v>
      </c>
      <c r="G100" s="18">
        <f>+GETPIVOTDATA("Suma de Abril",$A$15,"Año",2012)</f>
        <v>1609512641.73</v>
      </c>
      <c r="H100" s="23">
        <f t="shared" si="7"/>
        <v>-0.25844813160000435</v>
      </c>
      <c r="I100" s="23">
        <f t="shared" si="10"/>
        <v>-2.517968002070492E-2</v>
      </c>
      <c r="J100" s="85">
        <f t="shared" si="11"/>
        <v>7630548034.9200001</v>
      </c>
      <c r="K100" s="23">
        <f t="shared" si="4"/>
        <v>5.0107755765086637E-2</v>
      </c>
    </row>
    <row r="101" spans="2:11" x14ac:dyDescent="0.25">
      <c r="B101" s="16">
        <v>2018</v>
      </c>
      <c r="C101" s="24">
        <v>0.23705990149513134</v>
      </c>
      <c r="E101" s="5">
        <f>+'[1]Graficos montos'!$A$10</f>
        <v>2012</v>
      </c>
      <c r="F101" s="9" t="s">
        <v>528</v>
      </c>
      <c r="G101" s="18">
        <f>+GETPIVOTDATA("Suma de Mayo",$A$15,"Año",2012)</f>
        <v>2066835476.4300001</v>
      </c>
      <c r="H101" s="23">
        <f t="shared" si="7"/>
        <v>0.28413746052248601</v>
      </c>
      <c r="I101" s="23">
        <f t="shared" si="10"/>
        <v>-2.7227277159715957E-2</v>
      </c>
      <c r="J101" s="85">
        <f t="shared" si="11"/>
        <v>9697383511.3500004</v>
      </c>
      <c r="K101" s="23">
        <f t="shared" si="4"/>
        <v>3.2611180488078206E-2</v>
      </c>
    </row>
    <row r="102" spans="2:11" x14ac:dyDescent="0.25">
      <c r="B102" s="21" t="s">
        <v>532</v>
      </c>
      <c r="C102" s="24">
        <v>8.8225787566748703E-2</v>
      </c>
      <c r="E102" s="5">
        <f>+'[1]Graficos montos'!$A$10</f>
        <v>2012</v>
      </c>
      <c r="F102" s="9" t="s">
        <v>527</v>
      </c>
      <c r="G102" s="18">
        <f>+GETPIVOTDATA("Suma de Junio",$A$15,"Año",2012)</f>
        <v>1866744841.54</v>
      </c>
      <c r="H102" s="23">
        <f t="shared" si="7"/>
        <v>-9.6810141480449308E-2</v>
      </c>
      <c r="I102" s="23">
        <f t="shared" si="10"/>
        <v>-8.8432348212090117E-2</v>
      </c>
      <c r="J102" s="85">
        <f t="shared" si="11"/>
        <v>11564128352.889999</v>
      </c>
      <c r="K102" s="23">
        <f t="shared" si="4"/>
        <v>1.0941585759682626E-2</v>
      </c>
    </row>
    <row r="103" spans="2:11" x14ac:dyDescent="0.25">
      <c r="B103" s="21" t="s">
        <v>531</v>
      </c>
      <c r="C103" s="24">
        <v>-7.4862590043398569E-3</v>
      </c>
      <c r="E103" s="5">
        <f>+'[1]Graficos montos'!$A$10</f>
        <v>2012</v>
      </c>
      <c r="F103" s="9" t="s">
        <v>526</v>
      </c>
      <c r="G103" s="18">
        <f>+GETPIVOTDATA("Suma de Julio",$A$15,"Año",2012)</f>
        <v>2025190957.8699999</v>
      </c>
      <c r="H103" s="23">
        <f t="shared" si="7"/>
        <v>8.4878293382231851E-2</v>
      </c>
      <c r="I103" s="23">
        <f>+G103/G91-1</f>
        <v>6.6482090613918521E-2</v>
      </c>
      <c r="J103" s="85">
        <f t="shared" si="11"/>
        <v>13589319310.759998</v>
      </c>
      <c r="K103" s="23">
        <f t="shared" si="4"/>
        <v>1.8848997533715162E-2</v>
      </c>
    </row>
    <row r="104" spans="2:11" x14ac:dyDescent="0.25">
      <c r="B104" s="21" t="s">
        <v>530</v>
      </c>
      <c r="C104" s="24">
        <v>-2.6983766760686478E-2</v>
      </c>
      <c r="E104" s="5">
        <f>+'[1]Graficos montos'!$A$10</f>
        <v>2012</v>
      </c>
      <c r="F104" s="9" t="s">
        <v>525</v>
      </c>
      <c r="G104" s="18">
        <f>+GETPIVOTDATA("Suma de Agosto",$A$15,"Año",2012)</f>
        <v>2085801198.21</v>
      </c>
      <c r="H104" s="23">
        <f t="shared" si="7"/>
        <v>2.9928160652932689E-2</v>
      </c>
      <c r="I104" s="23">
        <f>+G104/G92-1</f>
        <v>-0.11622994383812557</v>
      </c>
      <c r="J104" s="85">
        <f t="shared" si="11"/>
        <v>15675120508.969997</v>
      </c>
      <c r="K104" s="23">
        <f t="shared" si="4"/>
        <v>-1.4594211516989475E-3</v>
      </c>
    </row>
    <row r="105" spans="2:11" x14ac:dyDescent="0.25">
      <c r="B105" s="21" t="s">
        <v>529</v>
      </c>
      <c r="C105" s="24">
        <v>0.14505237331917176</v>
      </c>
      <c r="E105" s="5">
        <f>+'[1]Graficos montos'!$A$10</f>
        <v>2012</v>
      </c>
      <c r="F105" s="9" t="s">
        <v>524</v>
      </c>
      <c r="G105" s="18">
        <f>+GETPIVOTDATA("Suma de Setiembre",$A$15,"Año",2012)</f>
        <v>1758425215.9000001</v>
      </c>
      <c r="H105" s="23">
        <f t="shared" si="7"/>
        <v>-0.15695454705412415</v>
      </c>
      <c r="I105" s="23">
        <f>+G105/G93-1</f>
        <v>-0.18956404706798602</v>
      </c>
      <c r="J105" s="85">
        <f t="shared" si="11"/>
        <v>17433545724.869999</v>
      </c>
      <c r="K105" s="23">
        <f t="shared" si="4"/>
        <v>-2.4301446837845853E-2</v>
      </c>
    </row>
    <row r="106" spans="2:11" x14ac:dyDescent="0.25">
      <c r="B106" s="21" t="s">
        <v>528</v>
      </c>
      <c r="C106" s="24">
        <v>-0.10741551147146244</v>
      </c>
      <c r="E106" s="5">
        <f>+'[1]Graficos montos'!$A$10</f>
        <v>2012</v>
      </c>
      <c r="F106" s="9" t="s">
        <v>523</v>
      </c>
      <c r="G106" s="18">
        <f>+GETPIVOTDATA("Suma de Octubre",$A$15,"Año",2012)</f>
        <v>2105455542.3099999</v>
      </c>
      <c r="H106" s="23">
        <f t="shared" si="7"/>
        <v>0.19735290603893119</v>
      </c>
      <c r="I106" s="23">
        <f t="shared" ref="I106:I111" si="12">+G106/G94-1</f>
        <v>7.6109609886384044E-2</v>
      </c>
      <c r="J106" s="85">
        <f t="shared" si="11"/>
        <v>19539001267.18</v>
      </c>
      <c r="K106" s="23">
        <f t="shared" si="4"/>
        <v>-1.4391457176022637E-2</v>
      </c>
    </row>
    <row r="107" spans="2:11" x14ac:dyDescent="0.25">
      <c r="B107" s="21" t="s">
        <v>527</v>
      </c>
      <c r="C107" s="24">
        <v>-1.2961327581331283E-2</v>
      </c>
      <c r="E107" s="5">
        <f>+'[1]Graficos montos'!$A$10</f>
        <v>2012</v>
      </c>
      <c r="F107" s="9" t="s">
        <v>522</v>
      </c>
      <c r="G107" s="18">
        <f>+GETPIVOTDATA("Suma de Noviembre",$A$15,"Año",2012)</f>
        <v>2222458933.1999998</v>
      </c>
      <c r="H107" s="23">
        <f t="shared" si="7"/>
        <v>5.5571532401785806E-2</v>
      </c>
      <c r="I107" s="23">
        <f t="shared" si="12"/>
        <v>-5.9129925962310814E-2</v>
      </c>
      <c r="J107" s="85">
        <f t="shared" si="11"/>
        <v>21761460200.380001</v>
      </c>
      <c r="K107" s="23">
        <f t="shared" si="4"/>
        <v>-1.9154645051449481E-2</v>
      </c>
    </row>
    <row r="108" spans="2:11" x14ac:dyDescent="0.25">
      <c r="B108" s="21" t="s">
        <v>526</v>
      </c>
      <c r="C108" s="24">
        <v>0.12123679651590935</v>
      </c>
      <c r="E108" s="5">
        <f>+'[1]Graficos montos'!$A$10</f>
        <v>2012</v>
      </c>
      <c r="F108" s="9" t="s">
        <v>521</v>
      </c>
      <c r="G108" s="18">
        <f>+GETPIVOTDATA("Suma de Diciembre",$A$15,"Año",2012)</f>
        <v>2155243057.4400001</v>
      </c>
      <c r="H108" s="23">
        <f t="shared" si="7"/>
        <v>-3.0243922511188681E-2</v>
      </c>
      <c r="I108" s="23">
        <f t="shared" si="12"/>
        <v>9.4467526626695886E-2</v>
      </c>
      <c r="J108" s="85">
        <f t="shared" si="11"/>
        <v>23916703257.82</v>
      </c>
      <c r="K108" s="23">
        <f t="shared" si="4"/>
        <v>-9.8919420290033422E-3</v>
      </c>
    </row>
    <row r="109" spans="2:11" x14ac:dyDescent="0.25">
      <c r="B109" s="21" t="s">
        <v>525</v>
      </c>
      <c r="C109" s="24">
        <v>-1.573040140003179E-2</v>
      </c>
      <c r="E109" s="5">
        <f>+'[1]Graficos montos'!$A$11</f>
        <v>2013</v>
      </c>
      <c r="F109" s="9" t="s">
        <v>532</v>
      </c>
      <c r="G109" s="18">
        <f>+GETPIVOTDATA("Suma de Enero",$A$15,"Año",2013)</f>
        <v>2153575697.5999999</v>
      </c>
      <c r="H109" s="23">
        <f t="shared" si="7"/>
        <v>-7.7362960722426877E-4</v>
      </c>
      <c r="I109" s="23">
        <f t="shared" si="12"/>
        <v>8.5684476092874329E-2</v>
      </c>
      <c r="J109" s="85">
        <f>+G109</f>
        <v>2153575697.5999999</v>
      </c>
      <c r="K109" s="23">
        <f t="shared" si="4"/>
        <v>8.5684476092874329E-2</v>
      </c>
    </row>
    <row r="110" spans="2:11" x14ac:dyDescent="0.25">
      <c r="B110" s="21" t="s">
        <v>524</v>
      </c>
      <c r="C110" s="24">
        <v>-4.1614316261849749E-2</v>
      </c>
      <c r="E110" s="5">
        <f>+'[1]Graficos montos'!$A$11</f>
        <v>2013</v>
      </c>
      <c r="F110" s="9" t="s">
        <v>531</v>
      </c>
      <c r="G110" s="18">
        <f>+GETPIVOTDATA("Suma de Febrero",$A$15,"Año",2013)</f>
        <v>1906924330.54</v>
      </c>
      <c r="H110" s="23">
        <f t="shared" si="7"/>
        <v>-0.11453108768587728</v>
      </c>
      <c r="I110" s="23">
        <f t="shared" si="12"/>
        <v>2.1406641228088663E-2</v>
      </c>
      <c r="J110" s="85">
        <f t="shared" ref="J110:J120" si="13">+J109+G110</f>
        <v>4060500028.1399999</v>
      </c>
      <c r="K110" s="23">
        <f t="shared" si="4"/>
        <v>5.4519198800887958E-2</v>
      </c>
    </row>
    <row r="111" spans="2:11" x14ac:dyDescent="0.25">
      <c r="B111" s="21" t="s">
        <v>523</v>
      </c>
      <c r="C111" s="24">
        <v>9.4736526573003133E-2</v>
      </c>
      <c r="E111" s="5">
        <f>+'[1]Graficos montos'!$A$11</f>
        <v>2013</v>
      </c>
      <c r="F111" s="9" t="s">
        <v>530</v>
      </c>
      <c r="G111" s="18">
        <f>+GETPIVOTDATA("Suma de Marzo",$A$15,"Año",2013)</f>
        <v>1766943780.1500001</v>
      </c>
      <c r="H111" s="23">
        <f t="shared" si="7"/>
        <v>-7.3406452551979529E-2</v>
      </c>
      <c r="I111" s="23">
        <f t="shared" si="12"/>
        <v>-0.18591477472359819</v>
      </c>
      <c r="J111" s="85">
        <f t="shared" si="13"/>
        <v>5827443808.29</v>
      </c>
      <c r="K111" s="23">
        <f t="shared" si="4"/>
        <v>-3.2152540594423185E-2</v>
      </c>
    </row>
    <row r="112" spans="2:11" x14ac:dyDescent="0.25">
      <c r="B112" s="16" t="s">
        <v>795</v>
      </c>
      <c r="C112" s="24">
        <v>4.9835721219192122</v>
      </c>
      <c r="E112" s="5">
        <f>+'[1]Graficos montos'!$A$11</f>
        <v>2013</v>
      </c>
      <c r="F112" s="9" t="s">
        <v>529</v>
      </c>
      <c r="G112" s="18">
        <f>+GETPIVOTDATA("Suma de Abril",$A$15,"Año",2013)</f>
        <v>2029707415.02</v>
      </c>
      <c r="H112" s="23">
        <f t="shared" si="7"/>
        <v>0.14871080666057934</v>
      </c>
      <c r="I112" s="23">
        <f t="shared" ref="I112:I118" si="14">+G112/G100-1</f>
        <v>0.26106957000247588</v>
      </c>
      <c r="J112" s="85">
        <f t="shared" si="13"/>
        <v>7857151223.3099995</v>
      </c>
      <c r="K112" s="23">
        <f t="shared" si="4"/>
        <v>2.9696843182558608E-2</v>
      </c>
    </row>
    <row r="113" spans="5:11" x14ac:dyDescent="0.25">
      <c r="E113" s="5">
        <f>+'[1]Graficos montos'!$A$11</f>
        <v>2013</v>
      </c>
      <c r="F113" s="9" t="s">
        <v>528</v>
      </c>
      <c r="G113" s="18">
        <f>+GETPIVOTDATA("Suma de Mayo",$A$15,"Año",2013)</f>
        <v>1981629071.8699999</v>
      </c>
      <c r="H113" s="23">
        <f t="shared" si="7"/>
        <v>-2.3687326948808707E-2</v>
      </c>
      <c r="I113" s="23">
        <f t="shared" si="14"/>
        <v>-4.1225538041941956E-2</v>
      </c>
      <c r="J113" s="85">
        <f t="shared" si="13"/>
        <v>9838780295.1800003</v>
      </c>
      <c r="K113" s="23">
        <f t="shared" si="4"/>
        <v>1.4580921097377075E-2</v>
      </c>
    </row>
    <row r="114" spans="5:11" x14ac:dyDescent="0.25">
      <c r="E114" s="5">
        <f>+'[1]Graficos montos'!$A$11</f>
        <v>2013</v>
      </c>
      <c r="F114" s="9" t="s">
        <v>527</v>
      </c>
      <c r="G114" s="18">
        <f>+GETPIVOTDATA("Suma de Junio",$A$15,"Año",2013)</f>
        <v>1769818469.49</v>
      </c>
      <c r="H114" s="23">
        <f t="shared" si="7"/>
        <v>-0.1068871088876997</v>
      </c>
      <c r="I114" s="23">
        <f t="shared" si="14"/>
        <v>-5.1922667679659473E-2</v>
      </c>
      <c r="J114" s="85">
        <f t="shared" si="13"/>
        <v>11608598764.67</v>
      </c>
      <c r="K114" s="23">
        <f t="shared" si="4"/>
        <v>3.8455480969206146E-3</v>
      </c>
    </row>
    <row r="115" spans="5:11" x14ac:dyDescent="0.25">
      <c r="E115" s="5">
        <f>+'[1]Graficos montos'!$A$11</f>
        <v>2013</v>
      </c>
      <c r="F115" s="9" t="s">
        <v>526</v>
      </c>
      <c r="G115" s="18">
        <f>+GETPIVOTDATA("Suma de Julio",$A$15,"Año",2013)</f>
        <v>1844909578.05</v>
      </c>
      <c r="H115" s="23">
        <f t="shared" si="7"/>
        <v>4.2428706590251997E-2</v>
      </c>
      <c r="I115" s="23">
        <f t="shared" si="14"/>
        <v>-8.9019447336270652E-2</v>
      </c>
      <c r="J115" s="85">
        <f t="shared" si="13"/>
        <v>13453508342.719999</v>
      </c>
      <c r="K115" s="23">
        <f t="shared" ref="K115:K170" si="15">+J115/J103-1</f>
        <v>-9.9939492872511693E-3</v>
      </c>
    </row>
    <row r="116" spans="5:11" x14ac:dyDescent="0.25">
      <c r="E116" s="5">
        <f>+'[1]Graficos montos'!$A$11</f>
        <v>2013</v>
      </c>
      <c r="F116" s="9" t="s">
        <v>525</v>
      </c>
      <c r="G116" s="18">
        <f>+GETPIVOTDATA("Suma de Agosto",$A$15,"Año",2013)</f>
        <v>1930961108.8</v>
      </c>
      <c r="H116" s="23">
        <f t="shared" si="7"/>
        <v>4.6642681990384238E-2</v>
      </c>
      <c r="I116" s="23">
        <f t="shared" si="14"/>
        <v>-7.4235305619193892E-2</v>
      </c>
      <c r="J116" s="85">
        <f t="shared" si="13"/>
        <v>15384469451.519999</v>
      </c>
      <c r="K116" s="23">
        <f t="shared" si="15"/>
        <v>-1.8542189661870601E-2</v>
      </c>
    </row>
    <row r="117" spans="5:11" x14ac:dyDescent="0.25">
      <c r="E117" s="5">
        <f>+'[1]Graficos montos'!$A$11</f>
        <v>2013</v>
      </c>
      <c r="F117" s="9" t="s">
        <v>524</v>
      </c>
      <c r="G117" s="18">
        <f>+GETPIVOTDATA("Suma de Setiembre",$A$15,"Año",2013)</f>
        <v>2192193289.8200002</v>
      </c>
      <c r="H117" s="23">
        <f t="shared" si="7"/>
        <v>0.13528609138189407</v>
      </c>
      <c r="I117" s="23">
        <f t="shared" si="14"/>
        <v>0.24667985308547125</v>
      </c>
      <c r="J117" s="85">
        <f t="shared" si="13"/>
        <v>17576662741.34</v>
      </c>
      <c r="K117" s="23">
        <f t="shared" si="15"/>
        <v>8.2092890757061721E-3</v>
      </c>
    </row>
    <row r="118" spans="5:11" x14ac:dyDescent="0.25">
      <c r="E118" s="5">
        <f>+'[1]Graficos montos'!$A$11</f>
        <v>2013</v>
      </c>
      <c r="F118" s="9" t="s">
        <v>523</v>
      </c>
      <c r="G118" s="18">
        <f>+GETPIVOTDATA("Suma de Octubre",$A$15,"Año",2013)</f>
        <v>2218665779.4499998</v>
      </c>
      <c r="H118" s="23">
        <f t="shared" si="7"/>
        <v>1.2075800867072939E-2</v>
      </c>
      <c r="I118" s="23">
        <f t="shared" si="14"/>
        <v>5.3769949003905859E-2</v>
      </c>
      <c r="J118" s="85">
        <f t="shared" si="13"/>
        <v>19795328520.790001</v>
      </c>
      <c r="K118" s="23">
        <f t="shared" si="15"/>
        <v>1.311874901408383E-2</v>
      </c>
    </row>
    <row r="119" spans="5:11" x14ac:dyDescent="0.25">
      <c r="E119" s="5">
        <f>+'[1]Graficos montos'!$A$11</f>
        <v>2013</v>
      </c>
      <c r="F119" s="9" t="s">
        <v>522</v>
      </c>
      <c r="G119" s="18">
        <f>+GETPIVOTDATA("Suma de Noviembre",$A$15,"Año",2013)</f>
        <v>1882478014.21</v>
      </c>
      <c r="H119" s="23">
        <f t="shared" si="7"/>
        <v>-0.1515269980516577</v>
      </c>
      <c r="I119" s="23">
        <f t="shared" ref="I119:I124" si="16">+G119/G107-1</f>
        <v>-0.15297511864504032</v>
      </c>
      <c r="J119" s="85">
        <f t="shared" si="13"/>
        <v>21677806535</v>
      </c>
      <c r="K119" s="23">
        <f t="shared" si="15"/>
        <v>-3.8441200457007829E-3</v>
      </c>
    </row>
    <row r="120" spans="5:11" x14ac:dyDescent="0.25">
      <c r="E120" s="5">
        <f>+'[1]Graficos montos'!$A$11</f>
        <v>2013</v>
      </c>
      <c r="F120" s="9" t="s">
        <v>521</v>
      </c>
      <c r="G120" s="18">
        <f>+GETPIVOTDATA("Suma de Diciembre",$A$15,"Año",2013)</f>
        <v>2264377414.5100002</v>
      </c>
      <c r="H120" s="23">
        <f t="shared" si="7"/>
        <v>0.20287057666395536</v>
      </c>
      <c r="I120" s="23">
        <f t="shared" si="16"/>
        <v>5.0636681878298173E-2</v>
      </c>
      <c r="J120" s="85">
        <f t="shared" si="13"/>
        <v>23942183949.510002</v>
      </c>
      <c r="K120" s="23">
        <f t="shared" si="15"/>
        <v>1.0653931445032683E-3</v>
      </c>
    </row>
    <row r="121" spans="5:11" x14ac:dyDescent="0.25">
      <c r="E121" s="5">
        <f>+'[1]Graficos montos'!$A$12</f>
        <v>2014</v>
      </c>
      <c r="F121" s="9" t="s">
        <v>532</v>
      </c>
      <c r="G121" s="18">
        <f>+GETPIVOTDATA("Suma de Enero",$A$15,"Año",2014)</f>
        <v>2224915986.1300001</v>
      </c>
      <c r="H121" s="23">
        <f t="shared" si="7"/>
        <v>-1.7427054397881503E-2</v>
      </c>
      <c r="I121" s="23">
        <f t="shared" si="16"/>
        <v>3.3126436470054754E-2</v>
      </c>
      <c r="J121" s="85">
        <f>+G121</f>
        <v>2224915986.1300001</v>
      </c>
      <c r="K121" s="23">
        <f t="shared" si="15"/>
        <v>3.3126436470054754E-2</v>
      </c>
    </row>
    <row r="122" spans="5:11" x14ac:dyDescent="0.25">
      <c r="E122" s="5">
        <f>+'[1]Graficos montos'!$A$12</f>
        <v>2014</v>
      </c>
      <c r="F122" s="9" t="s">
        <v>531</v>
      </c>
      <c r="G122" s="18">
        <f>+GETPIVOTDATA("Suma de Febrero",$A$15,"Año",2014)</f>
        <v>1936431282.45</v>
      </c>
      <c r="H122" s="23">
        <f t="shared" si="7"/>
        <v>-0.12966094247081572</v>
      </c>
      <c r="I122" s="23">
        <f t="shared" si="16"/>
        <v>1.5473583003497771E-2</v>
      </c>
      <c r="J122" s="85">
        <f t="shared" ref="J122:J132" si="17">+J121+G122</f>
        <v>4161347268.5799999</v>
      </c>
      <c r="K122" s="23">
        <f t="shared" si="15"/>
        <v>2.4836162970351072E-2</v>
      </c>
    </row>
    <row r="123" spans="5:11" x14ac:dyDescent="0.25">
      <c r="E123" s="5">
        <f>+'[1]Graficos montos'!$A$12</f>
        <v>2014</v>
      </c>
      <c r="F123" s="9" t="s">
        <v>530</v>
      </c>
      <c r="G123" s="18">
        <f>+GETPIVOTDATA("Suma de Marzo",$A$15,"Año",2014)</f>
        <v>2462377176.3299999</v>
      </c>
      <c r="H123" s="23">
        <f t="shared" si="7"/>
        <v>0.27160576192229535</v>
      </c>
      <c r="I123" s="23">
        <f t="shared" si="16"/>
        <v>0.3935798093819165</v>
      </c>
      <c r="J123" s="85">
        <f t="shared" si="17"/>
        <v>6623724444.9099998</v>
      </c>
      <c r="K123" s="23">
        <f t="shared" si="15"/>
        <v>0.1366432114690197</v>
      </c>
    </row>
    <row r="124" spans="5:11" x14ac:dyDescent="0.25">
      <c r="E124" s="5">
        <f>+'[1]Graficos montos'!$A$12</f>
        <v>2014</v>
      </c>
      <c r="F124" s="9" t="s">
        <v>529</v>
      </c>
      <c r="G124" s="18">
        <f>+GETPIVOTDATA("Suma de Abril",$A$15,"Año",2014)</f>
        <v>2133416719.8900001</v>
      </c>
      <c r="H124" s="23">
        <f t="shared" si="7"/>
        <v>-0.13359466600088143</v>
      </c>
      <c r="I124" s="23">
        <f t="shared" si="16"/>
        <v>5.1095691971435375E-2</v>
      </c>
      <c r="J124" s="85">
        <f t="shared" si="17"/>
        <v>8757141164.7999992</v>
      </c>
      <c r="K124" s="23">
        <f t="shared" si="15"/>
        <v>0.11454405240667609</v>
      </c>
    </row>
    <row r="125" spans="5:11" x14ac:dyDescent="0.25">
      <c r="E125" s="5">
        <f>+'[1]Graficos montos'!$A$12</f>
        <v>2014</v>
      </c>
      <c r="F125" s="9" t="s">
        <v>528</v>
      </c>
      <c r="G125" s="18">
        <f>+GETPIVOTDATA("Suma de Mayo",$A$15,"Año",2014)</f>
        <v>2411779207.5</v>
      </c>
      <c r="H125" s="23">
        <f t="shared" si="7"/>
        <v>0.13047731604182444</v>
      </c>
      <c r="I125" s="23">
        <f>+G125/G113-1</f>
        <v>0.21706894682569478</v>
      </c>
      <c r="J125" s="85">
        <f t="shared" si="17"/>
        <v>11168920372.299999</v>
      </c>
      <c r="K125" s="23">
        <f t="shared" si="15"/>
        <v>0.13519359485765037</v>
      </c>
    </row>
    <row r="126" spans="5:11" x14ac:dyDescent="0.25">
      <c r="E126" s="5">
        <f>+'[1]Graficos montos'!$A$12</f>
        <v>2014</v>
      </c>
      <c r="F126" s="9" t="s">
        <v>527</v>
      </c>
      <c r="G126" s="18">
        <f>+GETPIVOTDATA("Suma de Junio",$A$15,"Año",2014)</f>
        <v>1982507081.9000001</v>
      </c>
      <c r="H126" s="23">
        <f t="shared" si="7"/>
        <v>-0.17798981111748391</v>
      </c>
      <c r="I126" s="23">
        <f>+G126/G114-1</f>
        <v>0.1201753829991894</v>
      </c>
      <c r="J126" s="85">
        <f t="shared" si="17"/>
        <v>13151427454.199999</v>
      </c>
      <c r="K126" s="23">
        <f t="shared" si="15"/>
        <v>0.13290395514620545</v>
      </c>
    </row>
    <row r="127" spans="5:11" x14ac:dyDescent="0.25">
      <c r="E127" s="5">
        <f>+'[1]Graficos montos'!$A$12</f>
        <v>2014</v>
      </c>
      <c r="F127" s="9" t="s">
        <v>526</v>
      </c>
      <c r="G127" s="18">
        <f>+GETPIVOTDATA("Suma de Julio",$A$15,"Año",2014)</f>
        <v>2408260648.3200002</v>
      </c>
      <c r="H127" s="23">
        <f t="shared" si="7"/>
        <v>0.21475513016173697</v>
      </c>
      <c r="I127" s="23">
        <f>+G127/G115-1</f>
        <v>0.30535429864559593</v>
      </c>
      <c r="J127" s="85">
        <f t="shared" si="17"/>
        <v>15559688102.519999</v>
      </c>
      <c r="K127" s="23">
        <f t="shared" si="15"/>
        <v>0.15655245502855775</v>
      </c>
    </row>
    <row r="128" spans="5:11" x14ac:dyDescent="0.25">
      <c r="E128" s="5">
        <f>+'[1]Graficos montos'!$A$12</f>
        <v>2014</v>
      </c>
      <c r="F128" s="9" t="s">
        <v>525</v>
      </c>
      <c r="G128" s="18">
        <f>+GETPIVOTDATA("Suma de Agosto",$A$15,"Año",2014)</f>
        <v>2337657191.9200001</v>
      </c>
      <c r="H128" s="23">
        <f t="shared" si="7"/>
        <v>-2.9317198887609197E-2</v>
      </c>
      <c r="I128" s="23">
        <f>+G128/G116-1</f>
        <v>0.21061847453403248</v>
      </c>
      <c r="J128" s="85">
        <f t="shared" si="17"/>
        <v>17897345294.439999</v>
      </c>
      <c r="K128" s="23">
        <f t="shared" si="15"/>
        <v>0.16333847916164079</v>
      </c>
    </row>
    <row r="129" spans="5:11" x14ac:dyDescent="0.25">
      <c r="E129" s="5">
        <f>+'[1]Graficos montos'!$A$12</f>
        <v>2014</v>
      </c>
      <c r="F129" s="9" t="s">
        <v>524</v>
      </c>
      <c r="G129" s="18">
        <f>+GETPIVOTDATA("Suma de Setiembre",$A$15,"Año",2014)</f>
        <v>2105816271.54</v>
      </c>
      <c r="H129" s="23">
        <f t="shared" si="7"/>
        <v>-9.9176612029063582E-2</v>
      </c>
      <c r="I129" s="23">
        <f t="shared" ref="I129:I134" si="18">+G129/G117-1</f>
        <v>-3.9402099569008642E-2</v>
      </c>
      <c r="J129" s="85">
        <f t="shared" si="17"/>
        <v>20003161565.98</v>
      </c>
      <c r="K129" s="23">
        <f t="shared" si="15"/>
        <v>0.13805230608043217</v>
      </c>
    </row>
    <row r="130" spans="5:11" x14ac:dyDescent="0.25">
      <c r="E130" s="5">
        <f>+'[1]Graficos montos'!$A$12</f>
        <v>2014</v>
      </c>
      <c r="F130" s="9" t="s">
        <v>523</v>
      </c>
      <c r="G130" s="18">
        <f>+GETPIVOTDATA("Suma de Octubre",$A$15,"Año",2014)</f>
        <v>2369665403.8099999</v>
      </c>
      <c r="H130" s="23">
        <f t="shared" si="7"/>
        <v>0.12529541909040565</v>
      </c>
      <c r="I130" s="23">
        <f t="shared" si="18"/>
        <v>6.8058752137706957E-2</v>
      </c>
      <c r="J130" s="85">
        <f t="shared" si="17"/>
        <v>22372826969.790001</v>
      </c>
      <c r="K130" s="23">
        <f t="shared" si="15"/>
        <v>0.13020740960641231</v>
      </c>
    </row>
    <row r="131" spans="5:11" x14ac:dyDescent="0.25">
      <c r="E131" s="5">
        <f>+'[1]Graficos montos'!$A$12</f>
        <v>2014</v>
      </c>
      <c r="F131" s="9" t="s">
        <v>522</v>
      </c>
      <c r="G131" s="18">
        <f>+GETPIVOTDATA("Suma de Noviembre",$A$15,"Año",2014)</f>
        <v>2264258325.3699999</v>
      </c>
      <c r="H131" s="23">
        <f t="shared" si="7"/>
        <v>-4.4481840461747968E-2</v>
      </c>
      <c r="I131" s="23">
        <f t="shared" si="18"/>
        <v>0.20280731476177039</v>
      </c>
      <c r="J131" s="85">
        <f t="shared" si="17"/>
        <v>24637085295.16</v>
      </c>
      <c r="K131" s="23">
        <f t="shared" si="15"/>
        <v>0.13651190932911428</v>
      </c>
    </row>
    <row r="132" spans="5:11" x14ac:dyDescent="0.25">
      <c r="E132" s="5">
        <f>+'[1]Graficos montos'!$A$12</f>
        <v>2014</v>
      </c>
      <c r="F132" s="9" t="s">
        <v>521</v>
      </c>
      <c r="G132" s="18">
        <f>+GETPIVOTDATA("Suma de Diciembre",$A$15,"Año",2014)</f>
        <v>2257248771.4200001</v>
      </c>
      <c r="H132" s="23">
        <f t="shared" si="7"/>
        <v>-3.0957395061600446E-3</v>
      </c>
      <c r="I132" s="23">
        <f t="shared" si="18"/>
        <v>-3.1481691366113118E-3</v>
      </c>
      <c r="J132" s="85">
        <f t="shared" si="17"/>
        <v>26894334066.580002</v>
      </c>
      <c r="K132" s="23">
        <f t="shared" si="15"/>
        <v>0.12330329276959784</v>
      </c>
    </row>
    <row r="133" spans="5:11" x14ac:dyDescent="0.25">
      <c r="E133" s="5">
        <f>+'[1]Graficos montos'!$A$13</f>
        <v>2015</v>
      </c>
      <c r="F133" s="9" t="s">
        <v>532</v>
      </c>
      <c r="G133" s="18">
        <f>+GETPIVOTDATA("Suma de Enero",$A$15,"Año",2015)</f>
        <v>2039404017.5599999</v>
      </c>
      <c r="H133" s="23">
        <f t="shared" si="7"/>
        <v>-9.6508969954143486E-2</v>
      </c>
      <c r="I133" s="23">
        <f t="shared" si="18"/>
        <v>-8.3379313972514524E-2</v>
      </c>
      <c r="J133" s="85">
        <f>+G133</f>
        <v>2039404017.5599999</v>
      </c>
      <c r="K133" s="23">
        <f t="shared" si="15"/>
        <v>-8.3379313972514524E-2</v>
      </c>
    </row>
    <row r="134" spans="5:11" x14ac:dyDescent="0.25">
      <c r="E134" s="5">
        <f>+'[1]Graficos montos'!$A$13</f>
        <v>2015</v>
      </c>
      <c r="F134" s="9" t="s">
        <v>531</v>
      </c>
      <c r="G134" s="18">
        <f>+GETPIVOTDATA("Suma de Febrero",$A$15,"Año",2015)</f>
        <v>1843163560.5599999</v>
      </c>
      <c r="H134" s="23">
        <f t="shared" si="7"/>
        <v>-9.6224414245681289E-2</v>
      </c>
      <c r="I134" s="23">
        <f t="shared" si="18"/>
        <v>-4.816474652898417E-2</v>
      </c>
      <c r="J134" s="85">
        <f t="shared" ref="J134:J144" si="19">+J133+G134</f>
        <v>3882567578.1199999</v>
      </c>
      <c r="K134" s="23">
        <f t="shared" si="15"/>
        <v>-6.6992652251089302E-2</v>
      </c>
    </row>
    <row r="135" spans="5:11" x14ac:dyDescent="0.25">
      <c r="E135" s="5">
        <f>+'[1]Graficos montos'!$A$13</f>
        <v>2015</v>
      </c>
      <c r="F135" s="9" t="s">
        <v>530</v>
      </c>
      <c r="G135" s="18">
        <f>+GETPIVOTDATA("Suma de Marzo",$A$15,"Año",2015)</f>
        <v>2205200390.1300001</v>
      </c>
      <c r="H135" s="23">
        <f t="shared" si="7"/>
        <v>0.19642143395022638</v>
      </c>
      <c r="I135" s="23">
        <f t="shared" ref="I135:I142" si="20">+G135/G123-1</f>
        <v>-0.10444248292753577</v>
      </c>
      <c r="J135" s="85">
        <f t="shared" si="19"/>
        <v>6087767968.25</v>
      </c>
      <c r="K135" s="23">
        <f t="shared" si="15"/>
        <v>-8.0914669853431986E-2</v>
      </c>
    </row>
    <row r="136" spans="5:11" x14ac:dyDescent="0.25">
      <c r="E136" s="5">
        <f>+'[1]Graficos montos'!$A$13</f>
        <v>2015</v>
      </c>
      <c r="F136" s="9" t="s">
        <v>529</v>
      </c>
      <c r="G136" s="18">
        <f>+GETPIVOTDATA("Suma de Abril",$A$15,"Año",2015)</f>
        <v>2066259377.97</v>
      </c>
      <c r="H136" s="23">
        <f t="shared" si="7"/>
        <v>-6.3006070913949608E-2</v>
      </c>
      <c r="I136" s="23">
        <f t="shared" si="20"/>
        <v>-3.1478773600060017E-2</v>
      </c>
      <c r="J136" s="85">
        <f t="shared" si="19"/>
        <v>8154027346.2200003</v>
      </c>
      <c r="K136" s="23">
        <f t="shared" si="15"/>
        <v>-6.8871085578049329E-2</v>
      </c>
    </row>
    <row r="137" spans="5:11" x14ac:dyDescent="0.25">
      <c r="E137" s="5">
        <f>+'[1]Graficos montos'!$A$13</f>
        <v>2015</v>
      </c>
      <c r="F137" s="9" t="s">
        <v>528</v>
      </c>
      <c r="G137" s="18">
        <f>+GETPIVOTDATA("Suma de Mayo",$A$15,"Año",2015)</f>
        <v>1988434502.77</v>
      </c>
      <c r="H137" s="23">
        <f t="shared" si="7"/>
        <v>-3.7664620439114116E-2</v>
      </c>
      <c r="I137" s="23">
        <f t="shared" si="20"/>
        <v>-0.17553211480284314</v>
      </c>
      <c r="J137" s="85">
        <f t="shared" si="19"/>
        <v>10142461848.99</v>
      </c>
      <c r="K137" s="23">
        <f t="shared" si="15"/>
        <v>-9.190311051511435E-2</v>
      </c>
    </row>
    <row r="138" spans="5:11" x14ac:dyDescent="0.25">
      <c r="E138" s="5">
        <f>+'[1]Graficos montos'!$A$13</f>
        <v>2015</v>
      </c>
      <c r="F138" s="9" t="s">
        <v>527</v>
      </c>
      <c r="G138" s="18">
        <f>+GETPIVOTDATA("Suma de Junio",$A$15,"Año",2015)</f>
        <v>2064625359.79</v>
      </c>
      <c r="H138" s="23">
        <f t="shared" si="7"/>
        <v>3.8317006124094943E-2</v>
      </c>
      <c r="I138" s="23">
        <f t="shared" si="20"/>
        <v>4.1421429784401553E-2</v>
      </c>
      <c r="J138" s="85">
        <f t="shared" si="19"/>
        <v>12207087208.779999</v>
      </c>
      <c r="K138" s="23">
        <f t="shared" si="15"/>
        <v>-7.1805151852046167E-2</v>
      </c>
    </row>
    <row r="139" spans="5:11" x14ac:dyDescent="0.25">
      <c r="E139" s="5">
        <f>+'[1]Graficos montos'!$A$13</f>
        <v>2015</v>
      </c>
      <c r="F139" s="9" t="s">
        <v>526</v>
      </c>
      <c r="G139" s="18">
        <f>+GETPIVOTDATA("Suma de Julio",$A$15,"Año",2015)</f>
        <v>2391230739.3099999</v>
      </c>
      <c r="H139" s="23">
        <f t="shared" ref="H139:H169" si="21">+G139/G138-1</f>
        <v>0.15819111102714545</v>
      </c>
      <c r="I139" s="23">
        <f t="shared" si="20"/>
        <v>-7.0714559164849478E-3</v>
      </c>
      <c r="J139" s="85">
        <f t="shared" si="19"/>
        <v>14598317948.089998</v>
      </c>
      <c r="K139" s="23">
        <f t="shared" si="15"/>
        <v>-6.1785952783610099E-2</v>
      </c>
    </row>
    <row r="140" spans="5:11" x14ac:dyDescent="0.25">
      <c r="E140" s="5">
        <f>+'[1]Graficos montos'!$A$13</f>
        <v>2015</v>
      </c>
      <c r="F140" s="9" t="s">
        <v>525</v>
      </c>
      <c r="G140" s="18">
        <f>+GETPIVOTDATA("Suma de Agosto",$A$15,"Año",2015)</f>
        <v>2000611605.01</v>
      </c>
      <c r="H140" s="23">
        <f t="shared" si="21"/>
        <v>-0.16335484814515011</v>
      </c>
      <c r="I140" s="23">
        <f t="shared" si="20"/>
        <v>-0.14418092955416306</v>
      </c>
      <c r="J140" s="85">
        <f t="shared" si="19"/>
        <v>16598929553.099998</v>
      </c>
      <c r="K140" s="23">
        <f t="shared" si="15"/>
        <v>-7.2547951664282073E-2</v>
      </c>
    </row>
    <row r="141" spans="5:11" x14ac:dyDescent="0.25">
      <c r="E141" s="5">
        <f>+'[1]Graficos montos'!$A$13</f>
        <v>2015</v>
      </c>
      <c r="F141" s="9" t="s">
        <v>524</v>
      </c>
      <c r="G141" s="18">
        <f>+GETPIVOTDATA("Suma de Setiembre",$A$15,"Año",2015)</f>
        <v>2168940115.9899998</v>
      </c>
      <c r="H141" s="23">
        <f t="shared" si="21"/>
        <v>8.4138525718068236E-2</v>
      </c>
      <c r="I141" s="23">
        <f t="shared" si="20"/>
        <v>2.9975950562789011E-2</v>
      </c>
      <c r="J141" s="85">
        <f t="shared" si="19"/>
        <v>18767869669.089996</v>
      </c>
      <c r="K141" s="23">
        <f t="shared" si="15"/>
        <v>-6.1754832745584687E-2</v>
      </c>
    </row>
    <row r="142" spans="5:11" x14ac:dyDescent="0.25">
      <c r="E142" s="5">
        <f>+'[1]Graficos montos'!$A$13</f>
        <v>2015</v>
      </c>
      <c r="F142" s="9" t="s">
        <v>523</v>
      </c>
      <c r="G142" s="18">
        <f>+GETPIVOTDATA("Suma de Octubre",$A$15,"Año",2015)</f>
        <v>2291260980.0799999</v>
      </c>
      <c r="H142" s="23">
        <f t="shared" si="21"/>
        <v>5.6396607351313355E-2</v>
      </c>
      <c r="I142" s="23">
        <f t="shared" si="20"/>
        <v>-3.3086706504614427E-2</v>
      </c>
      <c r="J142" s="85">
        <f t="shared" si="19"/>
        <v>21059130649.169998</v>
      </c>
      <c r="K142" s="23">
        <f t="shared" si="15"/>
        <v>-5.8718387372051151E-2</v>
      </c>
    </row>
    <row r="143" spans="5:11" x14ac:dyDescent="0.25">
      <c r="E143" s="5">
        <f>+'[1]Graficos montos'!$A$13</f>
        <v>2015</v>
      </c>
      <c r="F143" s="9" t="s">
        <v>522</v>
      </c>
      <c r="G143" s="18">
        <f>+GETPIVOTDATA("Suma de Noviembre",$A$15,"Año",2015)</f>
        <v>2578191522.6399999</v>
      </c>
      <c r="H143" s="23">
        <f t="shared" si="21"/>
        <v>0.12522822369627296</v>
      </c>
      <c r="I143" s="23">
        <f t="shared" ref="I143:I148" si="22">+G143/G131-1</f>
        <v>0.13864725316564774</v>
      </c>
      <c r="J143" s="85">
        <f t="shared" si="19"/>
        <v>23637322171.809998</v>
      </c>
      <c r="K143" s="23">
        <f t="shared" si="15"/>
        <v>-4.0579602309791407E-2</v>
      </c>
    </row>
    <row r="144" spans="5:11" x14ac:dyDescent="0.25">
      <c r="E144" s="5">
        <f>+'[1]Graficos montos'!$A$13</f>
        <v>2015</v>
      </c>
      <c r="F144" s="9" t="s">
        <v>521</v>
      </c>
      <c r="G144" s="18">
        <f>+GETPIVOTDATA("Suma de Diciembre",$A$15,"Año",2015)</f>
        <v>2264750336.8200002</v>
      </c>
      <c r="H144" s="23">
        <f t="shared" si="21"/>
        <v>-0.12157405028585477</v>
      </c>
      <c r="I144" s="23">
        <f t="shared" si="22"/>
        <v>3.3233223980362325E-3</v>
      </c>
      <c r="J144" s="85">
        <f t="shared" si="19"/>
        <v>25902072508.629997</v>
      </c>
      <c r="K144" s="23">
        <f t="shared" si="15"/>
        <v>-3.6894817900809396E-2</v>
      </c>
    </row>
    <row r="145" spans="5:11" x14ac:dyDescent="0.25">
      <c r="E145" s="5">
        <f>+'[1]Graficos montos'!$A$14</f>
        <v>2016</v>
      </c>
      <c r="F145" s="9" t="s">
        <v>532</v>
      </c>
      <c r="G145" s="18">
        <f>+GETPIVOTDATA("Suma de Enero",$A$15,"Año",2016)</f>
        <v>2024687482.5599999</v>
      </c>
      <c r="H145" s="23">
        <f t="shared" si="21"/>
        <v>-0.10599969910903262</v>
      </c>
      <c r="I145" s="23">
        <f t="shared" si="22"/>
        <v>-7.2160959149267789E-3</v>
      </c>
      <c r="J145" s="85">
        <f>+G145</f>
        <v>2024687482.5599999</v>
      </c>
      <c r="K145" s="23">
        <f t="shared" si="15"/>
        <v>-7.2160959149267789E-3</v>
      </c>
    </row>
    <row r="146" spans="5:11" x14ac:dyDescent="0.25">
      <c r="E146" s="5">
        <f>+'[1]Graficos montos'!$A$14</f>
        <v>2016</v>
      </c>
      <c r="F146" s="9" t="s">
        <v>531</v>
      </c>
      <c r="G146" s="18">
        <f>+GETPIVOTDATA("Suma de Febrero",$A$15,"Año",2016)</f>
        <v>1982937393.2</v>
      </c>
      <c r="H146" s="23">
        <f t="shared" si="21"/>
        <v>-2.0620510434139372E-2</v>
      </c>
      <c r="I146" s="23">
        <f t="shared" si="22"/>
        <v>7.5833656670997396E-2</v>
      </c>
      <c r="J146" s="85">
        <f t="shared" ref="J146:J156" si="23">+J145+G146</f>
        <v>4007624875.7600002</v>
      </c>
      <c r="K146" s="23">
        <f t="shared" si="15"/>
        <v>3.2209947444251652E-2</v>
      </c>
    </row>
    <row r="147" spans="5:11" x14ac:dyDescent="0.25">
      <c r="E147" s="5">
        <f>+'[1]Graficos montos'!$A$14</f>
        <v>2016</v>
      </c>
      <c r="F147" s="9" t="s">
        <v>530</v>
      </c>
      <c r="G147" s="18">
        <f>+GETPIVOTDATA("Suma de Marzo",$A$15,"Año",2016)</f>
        <v>2108770296.96</v>
      </c>
      <c r="H147" s="23">
        <f t="shared" si="21"/>
        <v>6.3457829879810301E-2</v>
      </c>
      <c r="I147" s="23">
        <f t="shared" si="22"/>
        <v>-4.3728494517595862E-2</v>
      </c>
      <c r="J147" s="85">
        <f t="shared" si="23"/>
        <v>6116395172.7200003</v>
      </c>
      <c r="K147" s="23">
        <f t="shared" si="15"/>
        <v>4.7024138599405241E-3</v>
      </c>
    </row>
    <row r="148" spans="5:11" x14ac:dyDescent="0.25">
      <c r="E148" s="5">
        <f>+'[1]Graficos montos'!$A$14</f>
        <v>2016</v>
      </c>
      <c r="F148" s="9" t="s">
        <v>529</v>
      </c>
      <c r="G148" s="18">
        <f>+GETPIVOTDATA("Suma de Abril",$A$15,"Año",2016)</f>
        <v>2185012061.25</v>
      </c>
      <c r="H148" s="23">
        <f t="shared" si="21"/>
        <v>3.6154608398984989E-2</v>
      </c>
      <c r="I148" s="23">
        <f t="shared" si="22"/>
        <v>5.7472302144694343E-2</v>
      </c>
      <c r="J148" s="85">
        <f t="shared" si="23"/>
        <v>8301407233.9700003</v>
      </c>
      <c r="K148" s="23">
        <f t="shared" si="15"/>
        <v>1.8074490247855346E-2</v>
      </c>
    </row>
    <row r="149" spans="5:11" x14ac:dyDescent="0.25">
      <c r="E149" s="5">
        <f>+'[1]Graficos montos'!$A$14</f>
        <v>2016</v>
      </c>
      <c r="F149" s="9" t="s">
        <v>528</v>
      </c>
      <c r="G149" s="18">
        <f>+GETPIVOTDATA("Suma de Mayo",$A$15,"Año",2016)</f>
        <v>2186937225.52</v>
      </c>
      <c r="H149" s="23">
        <f t="shared" si="21"/>
        <v>8.8107718220031828E-4</v>
      </c>
      <c r="I149" s="23">
        <f>+G149/G137-1</f>
        <v>9.9828645335551469E-2</v>
      </c>
      <c r="J149" s="85">
        <f t="shared" si="23"/>
        <v>10488344459.49</v>
      </c>
      <c r="K149" s="23">
        <f t="shared" si="15"/>
        <v>3.4102431505270481E-2</v>
      </c>
    </row>
    <row r="150" spans="5:11" x14ac:dyDescent="0.25">
      <c r="E150" s="5">
        <f>+'[1]Graficos montos'!$A$14</f>
        <v>2016</v>
      </c>
      <c r="F150" s="9" t="s">
        <v>527</v>
      </c>
      <c r="G150" s="18">
        <f>+GETPIVOTDATA("Suma de Junio",$A$15,"Año",2016)</f>
        <v>2366007811.7199998</v>
      </c>
      <c r="H150" s="23">
        <f t="shared" si="21"/>
        <v>8.1881905026981894E-2</v>
      </c>
      <c r="I150" s="23">
        <f>+G150/G138-1</f>
        <v>0.14597440184530841</v>
      </c>
      <c r="J150" s="85">
        <f t="shared" si="23"/>
        <v>12854352271.209999</v>
      </c>
      <c r="K150" s="23">
        <f t="shared" si="15"/>
        <v>5.3023710845979011E-2</v>
      </c>
    </row>
    <row r="151" spans="5:11" x14ac:dyDescent="0.25">
      <c r="E151" s="5">
        <f>+'[1]Graficos montos'!$A$14</f>
        <v>2016</v>
      </c>
      <c r="F151" s="9" t="s">
        <v>526</v>
      </c>
      <c r="G151" s="18">
        <f>+GETPIVOTDATA("Suma de Julio",$A$15,"Año",2016)</f>
        <v>2282727859.0700002</v>
      </c>
      <c r="H151" s="23">
        <f t="shared" si="21"/>
        <v>-3.5198511280255751E-2</v>
      </c>
      <c r="I151" s="23">
        <f>+G151/G139-1</f>
        <v>-4.5375328468430731E-2</v>
      </c>
      <c r="J151" s="85">
        <f t="shared" si="23"/>
        <v>15137080130.279999</v>
      </c>
      <c r="K151" s="23">
        <f t="shared" si="15"/>
        <v>3.6905771206366289E-2</v>
      </c>
    </row>
    <row r="152" spans="5:11" x14ac:dyDescent="0.25">
      <c r="E152" s="5">
        <f>+'[1]Graficos montos'!$A$14</f>
        <v>2016</v>
      </c>
      <c r="F152" s="9" t="s">
        <v>525</v>
      </c>
      <c r="G152" s="18">
        <f>+GETPIVOTDATA("Suma de Agosto",$A$15,"Año",2016)</f>
        <v>2346338614.8200002</v>
      </c>
      <c r="H152" s="23">
        <f t="shared" si="21"/>
        <v>2.7866114437274936E-2</v>
      </c>
      <c r="I152" s="23">
        <f>+G152/G140-1</f>
        <v>0.17281065897259551</v>
      </c>
      <c r="J152" s="85">
        <f t="shared" si="23"/>
        <v>17483418745.099998</v>
      </c>
      <c r="K152" s="23">
        <f t="shared" si="15"/>
        <v>5.3285917575016883E-2</v>
      </c>
    </row>
    <row r="153" spans="5:11" x14ac:dyDescent="0.25">
      <c r="E153" s="5">
        <f>+'[1]Graficos montos'!$A$14</f>
        <v>2016</v>
      </c>
      <c r="F153" s="9" t="s">
        <v>524</v>
      </c>
      <c r="G153" s="18">
        <f>+GETPIVOTDATA("Suma de Setiembre",$A$15,"Año",2016)</f>
        <v>2216651295.1799998</v>
      </c>
      <c r="H153" s="23">
        <f t="shared" si="21"/>
        <v>-5.527220956978085E-2</v>
      </c>
      <c r="I153" s="23">
        <f t="shared" ref="I153:I158" si="24">+G153/G141-1</f>
        <v>2.1997462649273158E-2</v>
      </c>
      <c r="J153" s="85">
        <f t="shared" si="23"/>
        <v>19700070040.279999</v>
      </c>
      <c r="K153" s="23">
        <f t="shared" si="15"/>
        <v>4.967001517094416E-2</v>
      </c>
    </row>
    <row r="154" spans="5:11" x14ac:dyDescent="0.25">
      <c r="E154" s="5">
        <f>+'[1]Graficos montos'!$A$14</f>
        <v>2016</v>
      </c>
      <c r="F154" s="9" t="s">
        <v>523</v>
      </c>
      <c r="G154" s="18">
        <f>+GETPIVOTDATA("Suma de Octubre",$A$15,"Año",2016)</f>
        <v>2261229390.6199999</v>
      </c>
      <c r="H154" s="23">
        <f t="shared" si="21"/>
        <v>2.0110558452262284E-2</v>
      </c>
      <c r="I154" s="23">
        <f t="shared" si="24"/>
        <v>-1.3107013876241802E-2</v>
      </c>
      <c r="J154" s="85">
        <f t="shared" si="23"/>
        <v>21961299430.899998</v>
      </c>
      <c r="K154" s="23">
        <f t="shared" si="15"/>
        <v>4.2839792238316132E-2</v>
      </c>
    </row>
    <row r="155" spans="5:11" x14ac:dyDescent="0.25">
      <c r="E155" s="5">
        <f>+'[1]Graficos montos'!$A$14</f>
        <v>2016</v>
      </c>
      <c r="F155" s="9" t="s">
        <v>522</v>
      </c>
      <c r="G155" s="18">
        <f>+GETPIVOTDATA("Suma de Noviembre",$A$15,"Año",2016)</f>
        <v>2644455933.1599998</v>
      </c>
      <c r="H155" s="23">
        <f t="shared" si="21"/>
        <v>0.16947707478493546</v>
      </c>
      <c r="I155" s="23">
        <f t="shared" si="24"/>
        <v>2.5701896053147655E-2</v>
      </c>
      <c r="J155" s="85">
        <f t="shared" si="23"/>
        <v>24605755364.059998</v>
      </c>
      <c r="K155" s="23">
        <f t="shared" si="15"/>
        <v>4.0970512023775552E-2</v>
      </c>
    </row>
    <row r="156" spans="5:11" x14ac:dyDescent="0.25">
      <c r="E156" s="5">
        <f>+'[1]Graficos montos'!$A$14</f>
        <v>2016</v>
      </c>
      <c r="F156" s="9" t="s">
        <v>521</v>
      </c>
      <c r="G156" s="20">
        <f>+GETPIVOTDATA("Suma de Diciembre",$A$15,"Año",2016)</f>
        <v>2379705024.52</v>
      </c>
      <c r="H156" s="23">
        <f t="shared" si="21"/>
        <v>-0.10011545487303131</v>
      </c>
      <c r="I156" s="23">
        <f t="shared" si="24"/>
        <v>5.0758216405173862E-2</v>
      </c>
      <c r="J156" s="86">
        <f t="shared" si="23"/>
        <v>26985460388.579998</v>
      </c>
      <c r="K156" s="23">
        <f t="shared" si="15"/>
        <v>4.1826300949047157E-2</v>
      </c>
    </row>
    <row r="157" spans="5:11" x14ac:dyDescent="0.25">
      <c r="E157" s="5">
        <f>+'[1]Graficos montos'!$A$15</f>
        <v>2017</v>
      </c>
      <c r="F157" s="9" t="s">
        <v>532</v>
      </c>
      <c r="G157" s="20">
        <f>+GETPIVOTDATA("Suma de Enero",$A$15,"Año",2017)</f>
        <v>2056564528.3800001</v>
      </c>
      <c r="H157" s="23">
        <f t="shared" si="21"/>
        <v>-0.13579014743862183</v>
      </c>
      <c r="I157" s="23">
        <f t="shared" si="24"/>
        <v>1.5744180815349784E-2</v>
      </c>
      <c r="J157" s="86">
        <f>+G157</f>
        <v>2056564528.3800001</v>
      </c>
      <c r="K157" s="23">
        <f t="shared" si="15"/>
        <v>1.5744180815349784E-2</v>
      </c>
    </row>
    <row r="158" spans="5:11" x14ac:dyDescent="0.25">
      <c r="E158" s="5">
        <f>+'[1]Graficos montos'!$A$15</f>
        <v>2017</v>
      </c>
      <c r="F158" s="9" t="s">
        <v>531</v>
      </c>
      <c r="G158" s="20">
        <f>+GETPIVOTDATA("Suma de Febrero",$A$15,"Año",2017)</f>
        <v>1924847099.53</v>
      </c>
      <c r="H158" s="23">
        <f t="shared" si="21"/>
        <v>-6.404731144213438E-2</v>
      </c>
      <c r="I158" s="23">
        <f t="shared" si="24"/>
        <v>-2.9295071982205045E-2</v>
      </c>
      <c r="J158" s="86">
        <f t="shared" ref="J158:J168" si="25">+J157+G158</f>
        <v>3981411627.9099998</v>
      </c>
      <c r="K158" s="23">
        <f t="shared" si="15"/>
        <v>-6.5408436823891636E-3</v>
      </c>
    </row>
    <row r="159" spans="5:11" x14ac:dyDescent="0.25">
      <c r="E159" s="5">
        <f>+'[1]Graficos montos'!$A$15</f>
        <v>2017</v>
      </c>
      <c r="F159" s="9" t="s">
        <v>530</v>
      </c>
      <c r="G159" s="20">
        <f>+GETPIVOTDATA("Suma de Marzo",$A$15,"Año",2017)</f>
        <v>2388352899.02</v>
      </c>
      <c r="H159" s="23">
        <f t="shared" si="21"/>
        <v>0.24080136006812003</v>
      </c>
      <c r="I159" s="23">
        <f t="shared" ref="I159:I204" si="26">+G159/G147-1</f>
        <v>0.13258087069181768</v>
      </c>
      <c r="J159" s="86">
        <f t="shared" si="25"/>
        <v>6369764526.9300003</v>
      </c>
      <c r="K159" s="23">
        <f t="shared" si="15"/>
        <v>4.1424621375032E-2</v>
      </c>
    </row>
    <row r="160" spans="5:11" x14ac:dyDescent="0.25">
      <c r="E160" s="5">
        <f>+'[1]Graficos montos'!$A$15</f>
        <v>2017</v>
      </c>
      <c r="F160" s="9" t="s">
        <v>529</v>
      </c>
      <c r="G160" s="20">
        <f>+GETPIVOTDATA("Suma de Abril",$A$15,"Año",2017)</f>
        <v>1941970453.9100001</v>
      </c>
      <c r="H160" s="23">
        <f t="shared" si="21"/>
        <v>-0.18689970200516082</v>
      </c>
      <c r="I160" s="23">
        <f t="shared" si="26"/>
        <v>-0.11123124290717223</v>
      </c>
      <c r="J160" s="86">
        <f t="shared" si="25"/>
        <v>8311734980.8400002</v>
      </c>
      <c r="K160" s="23">
        <f t="shared" si="15"/>
        <v>1.2440959199950807E-3</v>
      </c>
    </row>
    <row r="161" spans="5:11" x14ac:dyDescent="0.25">
      <c r="E161" s="5">
        <f>+'[1]Graficos montos'!$A$15</f>
        <v>2017</v>
      </c>
      <c r="F161" s="9" t="s">
        <v>528</v>
      </c>
      <c r="G161" s="20">
        <f>+GETPIVOTDATA("Suma de Mayo",$A$15,"Año",2017)</f>
        <v>2362566847.2399998</v>
      </c>
      <c r="H161" s="23">
        <f t="shared" si="21"/>
        <v>0.21658228243543198</v>
      </c>
      <c r="I161" s="23">
        <f t="shared" si="26"/>
        <v>8.0308487902865711E-2</v>
      </c>
      <c r="J161" s="86">
        <f t="shared" si="25"/>
        <v>10674301828.08</v>
      </c>
      <c r="K161" s="23">
        <f t="shared" si="15"/>
        <v>1.7729906689109898E-2</v>
      </c>
    </row>
    <row r="162" spans="5:11" x14ac:dyDescent="0.25">
      <c r="E162" s="5">
        <f>+'[1]Graficos montos'!$A$15</f>
        <v>2017</v>
      </c>
      <c r="F162" s="9" t="s">
        <v>527</v>
      </c>
      <c r="G162" s="20">
        <f>+GETPIVOTDATA("Suma de Junio",$A$15,"Año",2017)</f>
        <v>2333690828.9099998</v>
      </c>
      <c r="H162" s="23">
        <f t="shared" si="21"/>
        <v>-1.2222307429621937E-2</v>
      </c>
      <c r="I162" s="23">
        <f t="shared" si="26"/>
        <v>-1.36588656427582E-2</v>
      </c>
      <c r="J162" s="86">
        <f t="shared" si="25"/>
        <v>13007992656.99</v>
      </c>
      <c r="K162" s="23">
        <f t="shared" si="15"/>
        <v>1.1952401998824191E-2</v>
      </c>
    </row>
    <row r="163" spans="5:11" x14ac:dyDescent="0.25">
      <c r="E163" s="5">
        <f>+'[1]Graficos montos'!$A$15</f>
        <v>2017</v>
      </c>
      <c r="F163" s="9" t="s">
        <v>526</v>
      </c>
      <c r="G163" s="20">
        <f>+GETPIVOTDATA("Suma de Julio",$A$15,"Año",2017)</f>
        <v>2095552514.0599999</v>
      </c>
      <c r="H163" s="23">
        <f t="shared" si="21"/>
        <v>-0.10204364344236094</v>
      </c>
      <c r="I163" s="23">
        <f t="shared" si="26"/>
        <v>-8.1996346724509173E-2</v>
      </c>
      <c r="J163" s="86">
        <f t="shared" si="25"/>
        <v>15103545171.049999</v>
      </c>
      <c r="K163" s="23">
        <f t="shared" si="15"/>
        <v>-2.2154179631326265E-3</v>
      </c>
    </row>
    <row r="164" spans="5:11" x14ac:dyDescent="0.25">
      <c r="E164" s="5">
        <f>+'[1]Graficos montos'!$A$15</f>
        <v>2017</v>
      </c>
      <c r="F164" s="9" t="s">
        <v>525</v>
      </c>
      <c r="G164" s="20">
        <f>+GETPIVOTDATA("Suma de Agosto",$A$15,"Año",2017)</f>
        <v>2213869132.4000001</v>
      </c>
      <c r="H164" s="23">
        <f t="shared" si="21"/>
        <v>5.6460822406578126E-2</v>
      </c>
      <c r="I164" s="23">
        <f t="shared" si="26"/>
        <v>-5.6457956061112924E-2</v>
      </c>
      <c r="J164" s="86">
        <f t="shared" si="25"/>
        <v>17317414303.450001</v>
      </c>
      <c r="K164" s="23">
        <f t="shared" si="15"/>
        <v>-9.4949645758798384E-3</v>
      </c>
    </row>
    <row r="165" spans="5:11" x14ac:dyDescent="0.25">
      <c r="E165" s="5">
        <f>+'[1]Graficos montos'!$A$15</f>
        <v>2017</v>
      </c>
      <c r="F165" s="9" t="s">
        <v>524</v>
      </c>
      <c r="G165" s="20">
        <f>+GETPIVOTDATA("Suma de Setiembre",$A$15,"Año",2017)</f>
        <v>2099455416.5999999</v>
      </c>
      <c r="H165" s="23">
        <f t="shared" si="21"/>
        <v>-5.1680433195239073E-2</v>
      </c>
      <c r="I165" s="23">
        <f t="shared" si="26"/>
        <v>-5.2870687795972482E-2</v>
      </c>
      <c r="J165" s="86">
        <f t="shared" si="25"/>
        <v>19416869720.049999</v>
      </c>
      <c r="K165" s="23">
        <f t="shared" si="15"/>
        <v>-1.4375599662892036E-2</v>
      </c>
    </row>
    <row r="166" spans="5:11" x14ac:dyDescent="0.25">
      <c r="E166" s="5">
        <f>+'[1]Graficos montos'!$A$15</f>
        <v>2017</v>
      </c>
      <c r="F166" s="9" t="s">
        <v>523</v>
      </c>
      <c r="G166" s="20">
        <f>+GETPIVOTDATA("Suma de Octubre",$A$15,"Año",2017)</f>
        <v>2356562187.5500002</v>
      </c>
      <c r="H166" s="23">
        <f t="shared" si="21"/>
        <v>0.12246355360399908</v>
      </c>
      <c r="I166" s="23">
        <f t="shared" si="26"/>
        <v>4.2159719542589791E-2</v>
      </c>
      <c r="J166" s="86">
        <f t="shared" si="25"/>
        <v>21773431907.599998</v>
      </c>
      <c r="K166" s="23">
        <f t="shared" si="15"/>
        <v>-8.5544812086877364E-3</v>
      </c>
    </row>
    <row r="167" spans="5:11" x14ac:dyDescent="0.25">
      <c r="E167" s="5">
        <f>+'[1]Graficos montos'!$A$15</f>
        <v>2017</v>
      </c>
      <c r="F167" s="9" t="s">
        <v>522</v>
      </c>
      <c r="G167" s="20">
        <f>+GETPIVOTDATA("Suma de Noviembre",$A$15,"Año",2017)</f>
        <v>2574642916.6399999</v>
      </c>
      <c r="H167" s="23">
        <f t="shared" si="21"/>
        <v>9.2541894392665025E-2</v>
      </c>
      <c r="I167" s="23">
        <f t="shared" si="26"/>
        <v>-2.6399765503589467E-2</v>
      </c>
      <c r="J167" s="86">
        <f t="shared" si="25"/>
        <v>24348074824.239998</v>
      </c>
      <c r="K167" s="23">
        <f t="shared" si="15"/>
        <v>-1.0472368598623771E-2</v>
      </c>
    </row>
    <row r="168" spans="5:11" x14ac:dyDescent="0.25">
      <c r="E168" s="5">
        <f>+'[1]Graficos montos'!$A$15</f>
        <v>2017</v>
      </c>
      <c r="F168" s="9" t="s">
        <v>521</v>
      </c>
      <c r="G168" s="20">
        <f>+GETPIVOTDATA("Suma de Diciembre",$A$15,"Año",2017)</f>
        <v>2084329957.28</v>
      </c>
      <c r="H168" s="23">
        <f t="shared" si="21"/>
        <v>-0.19043920855629781</v>
      </c>
      <c r="I168" s="23">
        <f t="shared" si="26"/>
        <v>-0.12412255476897971</v>
      </c>
      <c r="J168" s="86">
        <f t="shared" si="25"/>
        <v>26432404781.519997</v>
      </c>
      <c r="K168" s="23">
        <f t="shared" si="15"/>
        <v>-2.0494577416735438E-2</v>
      </c>
    </row>
    <row r="169" spans="5:11" x14ac:dyDescent="0.25">
      <c r="E169" s="5">
        <v>2018</v>
      </c>
      <c r="F169" s="9" t="s">
        <v>532</v>
      </c>
      <c r="G169" s="20">
        <f>+GETPIVOTDATA("Suma de Enero",$A$15,"Año",2018)</f>
        <v>2136414384.8499999</v>
      </c>
      <c r="H169" s="23">
        <f t="shared" si="21"/>
        <v>2.4988571213537147E-2</v>
      </c>
      <c r="I169" s="23">
        <f t="shared" si="26"/>
        <v>3.8826817913123923E-2</v>
      </c>
      <c r="J169" s="86">
        <f>+G169</f>
        <v>2136414384.8499999</v>
      </c>
      <c r="K169" s="23">
        <f>+J169/J157-1</f>
        <v>3.8826817913123923E-2</v>
      </c>
    </row>
    <row r="170" spans="5:11" x14ac:dyDescent="0.25">
      <c r="E170" s="5">
        <v>2018</v>
      </c>
      <c r="F170" s="9" t="s">
        <v>531</v>
      </c>
      <c r="G170" s="20">
        <f>+GETPIVOTDATA("Suma de Febrero",$A$15,"Año",2018)</f>
        <v>1965876959.3699999</v>
      </c>
      <c r="H170" s="23">
        <f t="shared" ref="H170:H175" si="27">+G170/G169-1</f>
        <v>-7.982413275689193E-2</v>
      </c>
      <c r="I170" s="23">
        <f t="shared" si="26"/>
        <v>2.1315906001062812E-2</v>
      </c>
      <c r="J170" s="86">
        <f t="shared" ref="J170:J179" si="28">+J169+G170</f>
        <v>4102291344.2199998</v>
      </c>
      <c r="K170" s="23">
        <f t="shared" si="15"/>
        <v>3.0361019559651536E-2</v>
      </c>
    </row>
    <row r="171" spans="5:11" x14ac:dyDescent="0.25">
      <c r="E171" s="5">
        <v>2018</v>
      </c>
      <c r="F171" s="9" t="s">
        <v>530</v>
      </c>
      <c r="G171" s="20">
        <f>+GETPIVOTDATA("Suma de Marzo",$A$16,"Año",2018)</f>
        <v>2124106981.02</v>
      </c>
      <c r="H171" s="23">
        <f t="shared" si="27"/>
        <v>8.048826295858702E-2</v>
      </c>
      <c r="I171" s="23">
        <f t="shared" si="26"/>
        <v>-0.11063939424882585</v>
      </c>
      <c r="J171" s="86">
        <f t="shared" si="28"/>
        <v>6226398325.2399998</v>
      </c>
      <c r="K171" s="23">
        <f>+J171/J159-1</f>
        <v>-2.2507300086820892E-2</v>
      </c>
    </row>
    <row r="172" spans="5:11" x14ac:dyDescent="0.25">
      <c r="E172" s="5">
        <v>2018</v>
      </c>
      <c r="F172" s="9" t="s">
        <v>529</v>
      </c>
      <c r="G172" s="18">
        <f>+GETPIVOTDATA("Suma de Abril",$A$16,"Año",2018)</f>
        <v>2313670327.4400001</v>
      </c>
      <c r="H172" s="23">
        <f t="shared" si="27"/>
        <v>8.9243784853515917E-2</v>
      </c>
      <c r="I172" s="23">
        <f t="shared" si="26"/>
        <v>0.19140346485787796</v>
      </c>
      <c r="J172" s="86">
        <f t="shared" si="28"/>
        <v>8540068652.6800003</v>
      </c>
      <c r="K172" s="23">
        <f>+J172/J160-1</f>
        <v>2.747124064546691E-2</v>
      </c>
    </row>
    <row r="173" spans="5:11" x14ac:dyDescent="0.25">
      <c r="E173" s="5">
        <v>2018</v>
      </c>
      <c r="F173" s="9" t="s">
        <v>528</v>
      </c>
      <c r="G173" s="18">
        <f>+GETPIVOTDATA("Suma de Mayo",$A$16,"Año",2018)</f>
        <v>2244353356.6300001</v>
      </c>
      <c r="H173" s="23">
        <f t="shared" si="27"/>
        <v>-2.9959744043005831E-2</v>
      </c>
      <c r="I173" s="23">
        <f t="shared" si="26"/>
        <v>-5.0036040566682427E-2</v>
      </c>
      <c r="J173" s="86">
        <f t="shared" si="28"/>
        <v>10784422009.310001</v>
      </c>
      <c r="K173" s="23">
        <f>+J173/J161-1</f>
        <v>1.0316382560995097E-2</v>
      </c>
    </row>
    <row r="174" spans="5:11" x14ac:dyDescent="0.25">
      <c r="E174" s="5">
        <v>2018</v>
      </c>
      <c r="F174" s="9" t="s">
        <v>527</v>
      </c>
      <c r="G174" s="18">
        <f>+GETPIVOTDATA("Suma de Junio",$A$16,"Año",2018)</f>
        <v>1943429405.1400001</v>
      </c>
      <c r="H174" s="23">
        <f t="shared" si="27"/>
        <v>-0.13408046937040752</v>
      </c>
      <c r="I174" s="23">
        <f t="shared" si="26"/>
        <v>-0.1672292743046343</v>
      </c>
      <c r="J174" s="86">
        <f t="shared" si="28"/>
        <v>12727851414.450001</v>
      </c>
      <c r="K174" s="23">
        <f>+J174/J162-1</f>
        <v>-2.1536085538106597E-2</v>
      </c>
    </row>
    <row r="175" spans="5:11" x14ac:dyDescent="0.25">
      <c r="E175" s="5">
        <v>2018</v>
      </c>
      <c r="F175" s="9" t="s">
        <v>526</v>
      </c>
      <c r="G175" s="18">
        <f>+GETPIVOTDATA("Suma de Julio",$A$16,"Año",2018)</f>
        <v>2160101503.4499998</v>
      </c>
      <c r="H175" s="23">
        <f t="shared" si="27"/>
        <v>0.11148956465150905</v>
      </c>
      <c r="I175" s="23">
        <f t="shared" si="26"/>
        <v>3.0802849824526746E-2</v>
      </c>
      <c r="J175" s="86">
        <f t="shared" si="28"/>
        <v>14887952917.900002</v>
      </c>
      <c r="K175" s="23">
        <f>+J175/J163-1</f>
        <v>-1.4274281349734852E-2</v>
      </c>
    </row>
    <row r="176" spans="5:11" x14ac:dyDescent="0.25">
      <c r="E176" s="5">
        <v>2018</v>
      </c>
      <c r="F176" s="9" t="s">
        <v>525</v>
      </c>
      <c r="G176" s="18">
        <f>+GETPIVOTDATA("Suma de Agosto",$A$16,"Año",2018)</f>
        <v>2222130318.1799998</v>
      </c>
      <c r="H176" s="23">
        <f t="shared" ref="H176:H181" si="29">+G176/G175-1</f>
        <v>2.871569443886357E-2</v>
      </c>
      <c r="I176" s="23">
        <f t="shared" si="26"/>
        <v>3.7315601266114662E-3</v>
      </c>
      <c r="J176" s="86">
        <f t="shared" si="28"/>
        <v>17110083236.080002</v>
      </c>
      <c r="K176" s="23">
        <f t="shared" ref="K176:K181" si="30">+J176/J164-1</f>
        <v>-1.1972403254722264E-2</v>
      </c>
    </row>
    <row r="177" spans="5:11" x14ac:dyDescent="0.25">
      <c r="E177" s="5">
        <v>2018</v>
      </c>
      <c r="F177" s="9" t="s">
        <v>524</v>
      </c>
      <c r="G177" s="18">
        <f>+GETPIVOTDATA("Suma de Setiembre",$A$16,"Año",2018)</f>
        <v>1784881378.8699999</v>
      </c>
      <c r="H177" s="23">
        <f t="shared" si="29"/>
        <v>-0.19677016047741147</v>
      </c>
      <c r="I177" s="23">
        <f t="shared" si="26"/>
        <v>-0.14983601711316286</v>
      </c>
      <c r="J177" s="86">
        <f>+J176+G177</f>
        <v>18894964614.950001</v>
      </c>
      <c r="K177" s="23">
        <f t="shared" si="30"/>
        <v>-2.6878951789076289E-2</v>
      </c>
    </row>
    <row r="178" spans="5:11" x14ac:dyDescent="0.25">
      <c r="E178" s="5">
        <v>2018</v>
      </c>
      <c r="F178" s="9" t="s">
        <v>523</v>
      </c>
      <c r="G178" s="18">
        <f>+GETPIVOTDATA("Suma de Octubre",$A$16,"Año",2018)</f>
        <v>2454835128.1300001</v>
      </c>
      <c r="H178" s="23">
        <f t="shared" si="29"/>
        <v>0.37534917288685299</v>
      </c>
      <c r="I178" s="23">
        <f t="shared" si="26"/>
        <v>4.1701823571297147E-2</v>
      </c>
      <c r="J178" s="86">
        <f t="shared" si="28"/>
        <v>21349799743.080002</v>
      </c>
      <c r="K178" s="23">
        <f t="shared" si="30"/>
        <v>-1.9456379973435745E-2</v>
      </c>
    </row>
    <row r="179" spans="5:11" x14ac:dyDescent="0.25">
      <c r="E179" s="5">
        <v>2018</v>
      </c>
      <c r="F179" s="9" t="s">
        <v>522</v>
      </c>
      <c r="G179" s="18">
        <f>+GETPIVOTDATA("Suma de Noviembre",$A$16,"Año",2018)</f>
        <v>2869033508.96</v>
      </c>
      <c r="H179" s="23">
        <f t="shared" si="29"/>
        <v>0.16872757607372213</v>
      </c>
      <c r="I179" s="23">
        <f t="shared" si="26"/>
        <v>0.1143422998262571</v>
      </c>
      <c r="J179" s="86">
        <f t="shared" si="28"/>
        <v>24218833252.040001</v>
      </c>
      <c r="K179" s="23">
        <f t="shared" si="30"/>
        <v>-5.3080817737314323E-3</v>
      </c>
    </row>
    <row r="180" spans="5:11" x14ac:dyDescent="0.25">
      <c r="E180" s="5">
        <v>2018</v>
      </c>
      <c r="F180" s="9" t="s">
        <v>521</v>
      </c>
      <c r="G180" s="18">
        <f>+GETPIVOTDATA("Suma de Diciembre",$A$16,"Año",2018)</f>
        <v>2131779509.21</v>
      </c>
      <c r="H180" s="23">
        <f t="shared" si="29"/>
        <v>-0.25696946286878619</v>
      </c>
      <c r="I180" s="23">
        <f t="shared" si="26"/>
        <v>2.2764894667598901E-2</v>
      </c>
      <c r="J180" s="86">
        <f>+J179+G180</f>
        <v>26350612761.25</v>
      </c>
      <c r="K180" s="23">
        <f t="shared" si="30"/>
        <v>-3.094384371988057E-3</v>
      </c>
    </row>
    <row r="181" spans="5:11" x14ac:dyDescent="0.25">
      <c r="E181" s="5">
        <v>2019</v>
      </c>
      <c r="F181" s="9" t="s">
        <v>532</v>
      </c>
      <c r="G181" s="18">
        <f>+GETPIVOTDATA("Suma de Enero",$A$16,"Año",2019)</f>
        <v>2095596351.6400001</v>
      </c>
      <c r="H181" s="23">
        <f t="shared" si="29"/>
        <v>-1.6973217639852822E-2</v>
      </c>
      <c r="I181" s="23">
        <f t="shared" si="26"/>
        <v>-1.9105859565191841E-2</v>
      </c>
      <c r="J181" s="86">
        <f>+G181</f>
        <v>2095596351.6400001</v>
      </c>
      <c r="K181" s="23">
        <f t="shared" si="30"/>
        <v>-1.9105859565191841E-2</v>
      </c>
    </row>
    <row r="182" spans="5:11" x14ac:dyDescent="0.25">
      <c r="E182" s="5">
        <v>2019</v>
      </c>
      <c r="F182" s="9" t="s">
        <v>531</v>
      </c>
      <c r="G182" s="18">
        <f>+GETPIVOTDATA("Suma de Febrero",$A$16,"Año",2019)</f>
        <v>1863960738.95</v>
      </c>
      <c r="H182" s="23">
        <f>+G182/G181-1</f>
        <v>-0.11053446075563333</v>
      </c>
      <c r="I182" s="23">
        <f t="shared" si="26"/>
        <v>-5.1842624195901243E-2</v>
      </c>
      <c r="J182" s="86">
        <f t="shared" ref="J182:J192" si="31">+J181+G182</f>
        <v>3959557090.5900002</v>
      </c>
      <c r="K182" s="23">
        <f>+J182/J170-1</f>
        <v>-3.4793787581934632E-2</v>
      </c>
    </row>
    <row r="183" spans="5:11" x14ac:dyDescent="0.25">
      <c r="E183" s="5">
        <v>2019</v>
      </c>
      <c r="F183" s="9" t="s">
        <v>530</v>
      </c>
      <c r="G183" s="18">
        <f>+GETPIVOTDATA("Suma de Marzo",$A$16,"Año",2019)</f>
        <v>2076180742.0799999</v>
      </c>
      <c r="H183" s="23">
        <f t="shared" ref="H183:H204" si="32">+G183/G182-1</f>
        <v>0.11385433110009968</v>
      </c>
      <c r="I183" s="23">
        <f t="shared" si="26"/>
        <v>-2.2563006180124634E-2</v>
      </c>
      <c r="J183" s="86">
        <f t="shared" si="31"/>
        <v>6035737832.6700001</v>
      </c>
      <c r="K183" s="23">
        <f t="shared" ref="K183:K204" si="33">+J183/J171-1</f>
        <v>-3.0621313094781888E-2</v>
      </c>
    </row>
    <row r="184" spans="5:11" x14ac:dyDescent="0.25">
      <c r="E184" s="5">
        <v>2019</v>
      </c>
      <c r="F184" s="9" t="s">
        <v>529</v>
      </c>
      <c r="G184" s="18">
        <f>+GETPIVOTDATA("Suma de Abril",$A$16,"Año",2019)</f>
        <v>1909440282.26</v>
      </c>
      <c r="H184" s="23">
        <f t="shared" si="32"/>
        <v>-8.0311148466271187E-2</v>
      </c>
      <c r="I184" s="23">
        <f t="shared" si="26"/>
        <v>-0.17471376124154525</v>
      </c>
      <c r="J184" s="85">
        <f t="shared" si="31"/>
        <v>7945178114.9300003</v>
      </c>
      <c r="K184" s="23">
        <f t="shared" si="33"/>
        <v>-6.9658753570243759E-2</v>
      </c>
    </row>
    <row r="185" spans="5:11" x14ac:dyDescent="0.25">
      <c r="E185" s="5">
        <v>2019</v>
      </c>
      <c r="F185" s="9" t="s">
        <v>528</v>
      </c>
      <c r="G185" s="18">
        <f>+GETPIVOTDATA("Suma de Mayo",$A$16,"Año",2019)</f>
        <v>2085819669.2</v>
      </c>
      <c r="H185" s="23">
        <f t="shared" si="32"/>
        <v>9.2372298091060845E-2</v>
      </c>
      <c r="I185" s="23">
        <f t="shared" si="26"/>
        <v>-7.0636687828892319E-2</v>
      </c>
      <c r="J185" s="85">
        <f t="shared" si="31"/>
        <v>10030997784.130001</v>
      </c>
      <c r="K185" s="23">
        <f t="shared" si="33"/>
        <v>-6.9862272130076342E-2</v>
      </c>
    </row>
    <row r="186" spans="5:11" x14ac:dyDescent="0.25">
      <c r="E186" s="5">
        <v>2019</v>
      </c>
      <c r="F186" s="9" t="s">
        <v>527</v>
      </c>
      <c r="G186" s="18">
        <f>+GETPIVOTDATA("Suma de Junio",$A$16,"Año",2019)</f>
        <v>1877773037.8499999</v>
      </c>
      <c r="H186" s="23">
        <f t="shared" si="32"/>
        <v>-9.9743345228782365E-2</v>
      </c>
      <c r="I186" s="23">
        <f t="shared" si="26"/>
        <v>-3.3783767558704048E-2</v>
      </c>
      <c r="J186" s="85">
        <f t="shared" si="31"/>
        <v>11908770821.980001</v>
      </c>
      <c r="K186" s="23">
        <f t="shared" si="33"/>
        <v>-6.4353406226921539E-2</v>
      </c>
    </row>
    <row r="187" spans="5:11" x14ac:dyDescent="0.25">
      <c r="E187" s="5">
        <v>2019</v>
      </c>
      <c r="F187" s="9" t="s">
        <v>526</v>
      </c>
      <c r="G187" s="18">
        <f>+GETPIVOTDATA("Suma de Julio",$A$16,"Año",2019)</f>
        <v>1970123640.4400001</v>
      </c>
      <c r="H187" s="23">
        <f t="shared" si="32"/>
        <v>4.9180918422249364E-2</v>
      </c>
      <c r="I187" s="23">
        <f t="shared" si="26"/>
        <v>-8.794858144701867E-2</v>
      </c>
      <c r="J187" s="85">
        <f t="shared" si="31"/>
        <v>13878894462.420002</v>
      </c>
      <c r="K187" s="23">
        <f t="shared" si="33"/>
        <v>-6.7776843535473197E-2</v>
      </c>
    </row>
    <row r="188" spans="5:11" x14ac:dyDescent="0.25">
      <c r="E188" s="5">
        <v>2019</v>
      </c>
      <c r="F188" s="9" t="s">
        <v>525</v>
      </c>
      <c r="G188" s="18">
        <f>+GETPIVOTDATA("Suma de Agosto",$A$16,"Año",2019)</f>
        <v>1737621082.1400001</v>
      </c>
      <c r="H188" s="23">
        <f t="shared" si="32"/>
        <v>-0.118014196432907</v>
      </c>
      <c r="I188" s="23">
        <f t="shared" si="26"/>
        <v>-0.21803817358327982</v>
      </c>
      <c r="J188" s="85">
        <f t="shared" si="31"/>
        <v>15616515544.560001</v>
      </c>
      <c r="K188" s="23">
        <f t="shared" si="33"/>
        <v>-8.729166719484549E-2</v>
      </c>
    </row>
    <row r="189" spans="5:11" x14ac:dyDescent="0.25">
      <c r="E189" s="5">
        <v>2019</v>
      </c>
      <c r="F189" s="9" t="s">
        <v>524</v>
      </c>
      <c r="G189" s="18">
        <f>+GETPIVOTDATA("Suma de Setiembre",$A$16,"Año",2019)</f>
        <v>1804262017.1400001</v>
      </c>
      <c r="H189" s="23">
        <f t="shared" si="32"/>
        <v>3.8351822319010465E-2</v>
      </c>
      <c r="I189" s="23">
        <f t="shared" si="26"/>
        <v>1.0858222008159446E-2</v>
      </c>
      <c r="J189" s="85">
        <f t="shared" si="31"/>
        <v>17420777561.700001</v>
      </c>
      <c r="K189" s="23">
        <f t="shared" si="33"/>
        <v>-7.8020101296384481E-2</v>
      </c>
    </row>
    <row r="190" spans="5:11" x14ac:dyDescent="0.25">
      <c r="E190" s="5">
        <v>2019</v>
      </c>
      <c r="F190" s="9" t="s">
        <v>523</v>
      </c>
      <c r="G190" s="18">
        <f>+GETPIVOTDATA("Suma de Octubre",$A$16,"Año",2019)</f>
        <v>2126866154.48</v>
      </c>
      <c r="H190" s="23">
        <f t="shared" si="32"/>
        <v>0.17880115763417281</v>
      </c>
      <c r="I190" s="23">
        <f t="shared" si="26"/>
        <v>-0.13360122229464522</v>
      </c>
      <c r="J190" s="85">
        <f t="shared" si="31"/>
        <v>19547643716.18</v>
      </c>
      <c r="K190" s="23">
        <f t="shared" si="33"/>
        <v>-8.4410910106270443E-2</v>
      </c>
    </row>
    <row r="191" spans="5:11" x14ac:dyDescent="0.25">
      <c r="E191" s="5">
        <v>2019</v>
      </c>
      <c r="F191" s="9" t="s">
        <v>522</v>
      </c>
      <c r="G191" s="18">
        <f>+GETPIVOTDATA("Suma de Noviembre",$A$16,"Año",2019)</f>
        <v>2026160259.23</v>
      </c>
      <c r="H191" s="23">
        <f t="shared" si="32"/>
        <v>-4.734942771921713E-2</v>
      </c>
      <c r="I191" s="23">
        <f t="shared" si="26"/>
        <v>-0.29378299245990136</v>
      </c>
      <c r="J191" s="85">
        <f t="shared" si="31"/>
        <v>21573803975.41</v>
      </c>
      <c r="K191" s="23">
        <f t="shared" si="33"/>
        <v>-0.10921373664469181</v>
      </c>
    </row>
    <row r="192" spans="5:11" x14ac:dyDescent="0.25">
      <c r="E192" s="5">
        <v>2019</v>
      </c>
      <c r="F192" s="9" t="s">
        <v>521</v>
      </c>
      <c r="G192" s="18">
        <f>+GETPIVOTDATA("Suma de Diciembre",$A$16,"Año",2019)</f>
        <v>1731334487.2</v>
      </c>
      <c r="H192" s="23">
        <f t="shared" si="32"/>
        <v>-0.14550960156628601</v>
      </c>
      <c r="I192" s="23">
        <f t="shared" si="26"/>
        <v>-0.187845422230556</v>
      </c>
      <c r="J192" s="85">
        <f t="shared" si="31"/>
        <v>23305138462.610001</v>
      </c>
      <c r="K192" s="23">
        <f t="shared" si="33"/>
        <v>-0.11557508458089949</v>
      </c>
    </row>
    <row r="193" spans="5:11" x14ac:dyDescent="0.25">
      <c r="E193" s="5">
        <v>2020</v>
      </c>
      <c r="F193" s="9" t="s">
        <v>532</v>
      </c>
      <c r="G193" s="18">
        <f>+GETPIVOTDATA("Suma de Enero",$A$16,"Año",2020)</f>
        <v>1897646313.3399999</v>
      </c>
      <c r="H193" s="23">
        <f t="shared" si="32"/>
        <v>9.6059904870818835E-2</v>
      </c>
      <c r="I193" s="23">
        <f t="shared" si="26"/>
        <v>-9.4460003304112305E-2</v>
      </c>
      <c r="J193" s="85">
        <f>+G193</f>
        <v>1897646313.3399999</v>
      </c>
      <c r="K193" s="23">
        <f t="shared" si="33"/>
        <v>-9.4460003304112305E-2</v>
      </c>
    </row>
    <row r="194" spans="5:11" x14ac:dyDescent="0.25">
      <c r="E194" s="5">
        <v>2020</v>
      </c>
      <c r="F194" s="9" t="s">
        <v>531</v>
      </c>
      <c r="G194" s="18">
        <f>+GETPIVOTDATA("Suma de Febrero",$A$16,"Año",2020)</f>
        <v>1708655139.5</v>
      </c>
      <c r="H194" s="23">
        <f t="shared" si="32"/>
        <v>-9.9592412195801283E-2</v>
      </c>
      <c r="I194" s="23">
        <f t="shared" si="26"/>
        <v>-8.3320209597057437E-2</v>
      </c>
      <c r="J194" s="85">
        <f t="shared" ref="J194:J204" si="34">+J193+G194</f>
        <v>3606301452.8400002</v>
      </c>
      <c r="K194" s="23">
        <f t="shared" si="33"/>
        <v>-8.921594755876161E-2</v>
      </c>
    </row>
    <row r="195" spans="5:11" x14ac:dyDescent="0.25">
      <c r="E195" s="5">
        <v>2020</v>
      </c>
      <c r="F195" s="9" t="s">
        <v>530</v>
      </c>
      <c r="G195" s="18">
        <f>+GETPIVOTDATA("Suma de Marzo",$A$16,"Año",2020)</f>
        <v>1631351605.4200001</v>
      </c>
      <c r="H195" s="23">
        <f t="shared" si="32"/>
        <v>-4.5242326724058035E-2</v>
      </c>
      <c r="I195" s="23">
        <f t="shared" si="26"/>
        <v>-0.2142535703391375</v>
      </c>
      <c r="J195" s="85">
        <f t="shared" si="34"/>
        <v>5237653058.2600002</v>
      </c>
      <c r="K195" s="23">
        <f t="shared" si="33"/>
        <v>-0.13222654736429384</v>
      </c>
    </row>
    <row r="196" spans="5:11" x14ac:dyDescent="0.25">
      <c r="E196" s="5">
        <v>2020</v>
      </c>
      <c r="F196" s="9" t="s">
        <v>529</v>
      </c>
      <c r="G196" s="18">
        <f>+GETPIVOTDATA("Suma de Abril",$A$16,"Año",2020)</f>
        <v>884344519.69000006</v>
      </c>
      <c r="H196" s="23">
        <f t="shared" si="32"/>
        <v>-0.45790685665073361</v>
      </c>
      <c r="I196" s="23">
        <f t="shared" si="26"/>
        <v>-0.53685667579857688</v>
      </c>
      <c r="J196" s="85">
        <f t="shared" si="34"/>
        <v>6121997577.9500008</v>
      </c>
      <c r="K196" s="23">
        <f t="shared" si="33"/>
        <v>-0.22947006481251964</v>
      </c>
    </row>
    <row r="197" spans="5:11" x14ac:dyDescent="0.25">
      <c r="E197" s="5">
        <v>2020</v>
      </c>
      <c r="F197" s="9" t="s">
        <v>528</v>
      </c>
      <c r="G197" s="18">
        <f>+GETPIVOTDATA("Suma de Mayo",$A$16,"Año",2020)</f>
        <v>847580178.10000002</v>
      </c>
      <c r="H197" s="23">
        <f t="shared" si="32"/>
        <v>-4.157241976564463E-2</v>
      </c>
      <c r="I197" s="23">
        <f t="shared" si="26"/>
        <v>-0.59364647355872191</v>
      </c>
      <c r="J197" s="85">
        <f t="shared" si="34"/>
        <v>6969577756.0500011</v>
      </c>
      <c r="K197" s="23">
        <f t="shared" si="33"/>
        <v>-0.30519596295031182</v>
      </c>
    </row>
    <row r="198" spans="5:11" x14ac:dyDescent="0.25">
      <c r="E198" s="5">
        <v>2020</v>
      </c>
      <c r="F198" s="9" t="s">
        <v>527</v>
      </c>
      <c r="G198" s="18">
        <f>+GETPIVOTDATA("Suma de Junio",$A$16,"Año",2020)</f>
        <v>1074077603.5899999</v>
      </c>
      <c r="H198" s="23">
        <f t="shared" si="32"/>
        <v>0.26722831814889036</v>
      </c>
      <c r="I198" s="23">
        <f t="shared" si="26"/>
        <v>-0.42800456607908799</v>
      </c>
      <c r="J198" s="85">
        <f t="shared" si="34"/>
        <v>8043655359.6400013</v>
      </c>
      <c r="K198" s="23">
        <f t="shared" si="33"/>
        <v>-0.32456040343023163</v>
      </c>
    </row>
    <row r="199" spans="5:11" x14ac:dyDescent="0.25">
      <c r="E199" s="5">
        <v>2020</v>
      </c>
      <c r="F199" s="9" t="s">
        <v>526</v>
      </c>
      <c r="G199" s="18">
        <f>+GETPIVOTDATA("Suma de Julio",$A$16,"Año",2020)</f>
        <v>1475463168.5</v>
      </c>
      <c r="H199" s="23">
        <f t="shared" si="32"/>
        <v>0.37370257378834437</v>
      </c>
      <c r="I199" s="23">
        <f t="shared" si="26"/>
        <v>-0.25108092801197213</v>
      </c>
      <c r="J199" s="85">
        <f t="shared" si="34"/>
        <v>9519118528.1400013</v>
      </c>
      <c r="K199" s="23">
        <f t="shared" si="33"/>
        <v>-0.31412991474825336</v>
      </c>
    </row>
    <row r="200" spans="5:11" x14ac:dyDescent="0.25">
      <c r="E200" s="5">
        <v>2020</v>
      </c>
      <c r="F200" s="9" t="s">
        <v>525</v>
      </c>
      <c r="G200" s="18">
        <f>+GETPIVOTDATA("Suma de Agosto",$A$16,"Año",2020)</f>
        <v>1414646460.8800001</v>
      </c>
      <c r="H200" s="23">
        <f t="shared" si="32"/>
        <v>-4.1218722987052203E-2</v>
      </c>
      <c r="I200" s="23">
        <f t="shared" si="26"/>
        <v>-0.18587172115927286</v>
      </c>
      <c r="J200" s="85">
        <f t="shared" si="34"/>
        <v>10933764989.02</v>
      </c>
      <c r="K200" s="23">
        <f t="shared" si="33"/>
        <v>-0.29985886045951093</v>
      </c>
    </row>
    <row r="201" spans="5:11" x14ac:dyDescent="0.25">
      <c r="E201" s="5">
        <v>2020</v>
      </c>
      <c r="F201" s="9" t="s">
        <v>524</v>
      </c>
      <c r="G201" s="18">
        <f>+GETPIVOTDATA("Suma de Setiembre",$A$16,"Año",2020)</f>
        <v>1608075243.73</v>
      </c>
      <c r="H201" s="23">
        <f t="shared" si="32"/>
        <v>0.13673294932620461</v>
      </c>
      <c r="I201" s="23">
        <f t="shared" si="26"/>
        <v>-0.10873519009228094</v>
      </c>
      <c r="J201" s="85">
        <f t="shared" si="34"/>
        <v>12541840232.75</v>
      </c>
      <c r="K201" s="23">
        <f t="shared" si="33"/>
        <v>-0.2800642687543673</v>
      </c>
    </row>
    <row r="202" spans="5:11" x14ac:dyDescent="0.25">
      <c r="E202" s="5">
        <v>2020</v>
      </c>
      <c r="F202" s="9" t="s">
        <v>523</v>
      </c>
      <c r="G202" s="18">
        <f>+GETPIVOTDATA("Suma de Octubre",$A$16,"Año",2020)</f>
        <v>1861523354.3599999</v>
      </c>
      <c r="H202" s="23">
        <f t="shared" si="32"/>
        <v>0.15760960913875888</v>
      </c>
      <c r="I202" s="23">
        <f t="shared" si="26"/>
        <v>-0.12475763910252924</v>
      </c>
      <c r="J202" s="85">
        <f t="shared" si="34"/>
        <v>14403363587.110001</v>
      </c>
      <c r="K202" s="23">
        <f t="shared" si="33"/>
        <v>-0.26316625183893494</v>
      </c>
    </row>
    <row r="203" spans="5:11" x14ac:dyDescent="0.25">
      <c r="E203" s="5">
        <v>2020</v>
      </c>
      <c r="F203" s="9" t="s">
        <v>522</v>
      </c>
      <c r="G203" s="18">
        <f>+GETPIVOTDATA("Suma de Noviembre",$A$16,"Año",2020)</f>
        <v>1989089350.1400001</v>
      </c>
      <c r="H203" s="23">
        <f t="shared" si="32"/>
        <v>6.852774394756822E-2</v>
      </c>
      <c r="I203" s="23">
        <f t="shared" si="26"/>
        <v>-1.8296138679616547E-2</v>
      </c>
      <c r="J203" s="85">
        <f t="shared" si="34"/>
        <v>16392452937.25</v>
      </c>
      <c r="K203" s="23">
        <f t="shared" si="33"/>
        <v>-0.24016863433383129</v>
      </c>
    </row>
    <row r="204" spans="5:11" x14ac:dyDescent="0.25">
      <c r="E204" s="5">
        <v>2020</v>
      </c>
      <c r="F204" s="9" t="s">
        <v>521</v>
      </c>
      <c r="G204" s="18">
        <f>+GETPIVOTDATA("Suma de Diciembre",$A$16,"Año",2020)</f>
        <v>187750906.38999999</v>
      </c>
      <c r="H204" s="23">
        <f t="shared" si="32"/>
        <v>-0.9056096165932489</v>
      </c>
      <c r="I204" s="23">
        <f t="shared" si="26"/>
        <v>-0.89155711517441083</v>
      </c>
      <c r="J204" s="85">
        <f t="shared" si="34"/>
        <v>16580203843.639999</v>
      </c>
      <c r="K204" s="23">
        <f t="shared" si="33"/>
        <v>-0.2885601658088951</v>
      </c>
    </row>
  </sheetData>
  <mergeCells count="6">
    <mergeCell ref="E35:K35"/>
    <mergeCell ref="A1:D1"/>
    <mergeCell ref="A2:D2"/>
    <mergeCell ref="A3:D3"/>
    <mergeCell ref="A4:D4"/>
    <mergeCell ref="A5:D5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P356"/>
  <sheetViews>
    <sheetView topLeftCell="A16" zoomScaleNormal="100" workbookViewId="0">
      <selection activeCell="G202" sqref="G202"/>
    </sheetView>
  </sheetViews>
  <sheetFormatPr baseColWidth="10" defaultRowHeight="15" x14ac:dyDescent="0.25"/>
  <cols>
    <col min="1" max="1" width="17.5703125" customWidth="1"/>
    <col min="2" max="2" width="20.5703125" customWidth="1"/>
    <col min="3" max="9" width="17.85546875" customWidth="1"/>
    <col min="10" max="10" width="18.42578125" customWidth="1"/>
    <col min="11" max="11" width="17.85546875" customWidth="1"/>
    <col min="12" max="12" width="19.140625" customWidth="1"/>
    <col min="13" max="13" width="18.28515625" customWidth="1"/>
    <col min="14" max="14" width="17.85546875" bestFit="1" customWidth="1"/>
    <col min="15" max="16" width="14.5703125" bestFit="1" customWidth="1"/>
  </cols>
  <sheetData>
    <row r="1" spans="1:6" x14ac:dyDescent="0.25">
      <c r="A1" s="198" t="s">
        <v>1098</v>
      </c>
      <c r="B1" s="199"/>
      <c r="C1" s="199"/>
      <c r="D1" s="199"/>
      <c r="E1" s="32"/>
    </row>
    <row r="2" spans="1:6" x14ac:dyDescent="0.25">
      <c r="A2" s="201" t="s">
        <v>1099</v>
      </c>
      <c r="B2" s="202"/>
      <c r="C2" s="202"/>
      <c r="D2" s="202"/>
      <c r="E2" s="35"/>
    </row>
    <row r="3" spans="1:6" x14ac:dyDescent="0.25">
      <c r="A3" s="201" t="s">
        <v>1100</v>
      </c>
      <c r="B3" s="202"/>
      <c r="C3" s="202"/>
      <c r="D3" s="202"/>
      <c r="E3" s="35"/>
    </row>
    <row r="4" spans="1:6" x14ac:dyDescent="0.25">
      <c r="A4" s="201" t="s">
        <v>1269</v>
      </c>
      <c r="B4" s="202"/>
      <c r="C4" s="202"/>
      <c r="D4" s="202"/>
      <c r="E4" s="35"/>
    </row>
    <row r="5" spans="1:6" x14ac:dyDescent="0.25">
      <c r="A5" s="201" t="s">
        <v>1101</v>
      </c>
      <c r="B5" s="202"/>
      <c r="C5" s="202"/>
      <c r="D5" s="202"/>
      <c r="E5" s="35"/>
    </row>
    <row r="6" spans="1:6" x14ac:dyDescent="0.25">
      <c r="A6" s="36"/>
      <c r="B6" s="37"/>
      <c r="C6" s="37"/>
      <c r="D6" s="37"/>
      <c r="E6" s="38"/>
    </row>
    <row r="7" spans="1:6" x14ac:dyDescent="0.25">
      <c r="A7" s="34"/>
      <c r="B7" s="34"/>
      <c r="C7" s="34"/>
      <c r="D7" s="34"/>
      <c r="E7" s="34"/>
    </row>
    <row r="8" spans="1:6" x14ac:dyDescent="0.25">
      <c r="A8" s="15" t="s">
        <v>540</v>
      </c>
      <c r="B8" t="s">
        <v>55</v>
      </c>
    </row>
    <row r="9" spans="1:6" x14ac:dyDescent="0.25">
      <c r="A9" s="15" t="s">
        <v>539</v>
      </c>
      <c r="B9" t="s">
        <v>232</v>
      </c>
    </row>
    <row r="10" spans="1:6" x14ac:dyDescent="0.25">
      <c r="A10" s="15" t="s">
        <v>538</v>
      </c>
      <c r="B10" t="s">
        <v>793</v>
      </c>
    </row>
    <row r="11" spans="1:6" x14ac:dyDescent="0.25">
      <c r="A11" s="15" t="s">
        <v>537</v>
      </c>
      <c r="B11" t="s">
        <v>793</v>
      </c>
      <c r="F11" s="77"/>
    </row>
    <row r="12" spans="1:6" x14ac:dyDescent="0.25">
      <c r="A12" s="15" t="s">
        <v>536</v>
      </c>
      <c r="B12" t="s">
        <v>793</v>
      </c>
    </row>
    <row r="13" spans="1:6" x14ac:dyDescent="0.25">
      <c r="A13" s="15" t="s">
        <v>535</v>
      </c>
      <c r="B13" t="s">
        <v>793</v>
      </c>
    </row>
    <row r="14" spans="1:6" x14ac:dyDescent="0.25">
      <c r="A14" s="15" t="s">
        <v>534</v>
      </c>
      <c r="B14" t="s">
        <v>793</v>
      </c>
    </row>
    <row r="15" spans="1:6" x14ac:dyDescent="0.25">
      <c r="A15" s="15" t="s">
        <v>541</v>
      </c>
      <c r="B15" t="s">
        <v>793</v>
      </c>
    </row>
    <row r="17" spans="1:16" x14ac:dyDescent="0.25">
      <c r="A17" s="15" t="s">
        <v>794</v>
      </c>
      <c r="B17" t="s">
        <v>796</v>
      </c>
      <c r="C17" t="s">
        <v>797</v>
      </c>
      <c r="D17" t="s">
        <v>798</v>
      </c>
      <c r="E17" t="s">
        <v>807</v>
      </c>
      <c r="F17" t="s">
        <v>799</v>
      </c>
      <c r="G17" t="s">
        <v>800</v>
      </c>
      <c r="H17" t="s">
        <v>801</v>
      </c>
      <c r="I17" t="s">
        <v>802</v>
      </c>
      <c r="J17" t="s">
        <v>803</v>
      </c>
      <c r="K17" t="s">
        <v>804</v>
      </c>
      <c r="L17" t="s">
        <v>805</v>
      </c>
      <c r="M17" t="s">
        <v>806</v>
      </c>
    </row>
    <row r="18" spans="1:16" x14ac:dyDescent="0.25">
      <c r="A18" s="16">
        <v>2007</v>
      </c>
      <c r="B18" s="22">
        <v>166413106592.45999</v>
      </c>
      <c r="C18" s="22">
        <v>130637062419.18004</v>
      </c>
      <c r="D18" s="22">
        <v>185830187991.25998</v>
      </c>
      <c r="E18" s="22">
        <v>154728905374.43002</v>
      </c>
      <c r="F18" s="22">
        <v>141432413704.65002</v>
      </c>
      <c r="G18" s="22">
        <v>149769277342.32001</v>
      </c>
      <c r="H18" s="22">
        <v>173097204368.04001</v>
      </c>
      <c r="I18" s="22">
        <v>142732287856.02002</v>
      </c>
      <c r="J18" s="22">
        <v>149542574754.20999</v>
      </c>
      <c r="K18" s="22">
        <v>187977973128.60001</v>
      </c>
      <c r="L18" s="22">
        <v>162792407735.73996</v>
      </c>
      <c r="M18" s="22">
        <v>283988423604.59998</v>
      </c>
    </row>
    <row r="19" spans="1:16" x14ac:dyDescent="0.25">
      <c r="A19" s="16">
        <v>2008</v>
      </c>
      <c r="B19" s="22">
        <v>192888563839.37</v>
      </c>
      <c r="C19" s="22">
        <v>166421404345.97995</v>
      </c>
      <c r="D19" s="22">
        <v>247832237031.07999</v>
      </c>
      <c r="E19" s="22">
        <v>221351559061.85001</v>
      </c>
      <c r="F19" s="22">
        <v>164942380165.97006</v>
      </c>
      <c r="G19" s="22">
        <v>180473976670.19992</v>
      </c>
      <c r="H19" s="22">
        <v>225263637883.85001</v>
      </c>
      <c r="I19" s="22">
        <v>167709442153.84998</v>
      </c>
      <c r="J19" s="22">
        <v>184139161592.53003</v>
      </c>
      <c r="K19" s="22">
        <v>217131498349.14999</v>
      </c>
      <c r="L19" s="22">
        <v>157590845126.87009</v>
      </c>
      <c r="M19" s="22">
        <v>282833918897.5</v>
      </c>
      <c r="N19" s="22"/>
    </row>
    <row r="20" spans="1:16" x14ac:dyDescent="0.25">
      <c r="A20" s="16">
        <v>2009</v>
      </c>
      <c r="B20" s="22">
        <v>198030678159.13995</v>
      </c>
      <c r="C20" s="22">
        <v>152881211304.64001</v>
      </c>
      <c r="D20" s="22">
        <v>226933241074.79001</v>
      </c>
      <c r="E20" s="22">
        <v>173185144181.96997</v>
      </c>
      <c r="F20" s="22">
        <v>146450968349.03998</v>
      </c>
      <c r="G20" s="22">
        <v>168480050347.28006</v>
      </c>
      <c r="H20" s="22">
        <v>208257254793.47998</v>
      </c>
      <c r="I20" s="22">
        <v>150332889045.20004</v>
      </c>
      <c r="J20" s="22">
        <v>178549802802.47998</v>
      </c>
      <c r="K20" s="22">
        <v>203499867927.85995</v>
      </c>
      <c r="L20" s="22">
        <v>162175920353.94003</v>
      </c>
      <c r="M20" s="22">
        <v>293512914884.84009</v>
      </c>
      <c r="N20" s="22">
        <f>+SUM(B20:K20)</f>
        <v>1806601107985.8796</v>
      </c>
    </row>
    <row r="21" spans="1:16" x14ac:dyDescent="0.25">
      <c r="A21" s="16">
        <v>2010</v>
      </c>
      <c r="B21" s="22">
        <v>201182242362.67007</v>
      </c>
      <c r="C21" s="22">
        <v>156243480860.4201</v>
      </c>
      <c r="D21" s="22">
        <v>261319918859.0701</v>
      </c>
      <c r="E21" s="22">
        <v>176711330102.23001</v>
      </c>
      <c r="F21" s="22">
        <v>164717016384.63007</v>
      </c>
      <c r="G21" s="22">
        <v>205127044588.92007</v>
      </c>
      <c r="H21" s="22">
        <v>194379535613.12003</v>
      </c>
      <c r="I21" s="22">
        <v>172359437535.27997</v>
      </c>
      <c r="J21" s="22">
        <v>231262777457.60999</v>
      </c>
      <c r="K21" s="22">
        <v>197428490682.34003</v>
      </c>
      <c r="L21" s="22">
        <v>185419142398.91998</v>
      </c>
      <c r="M21" s="22">
        <v>345501648701.84003</v>
      </c>
    </row>
    <row r="22" spans="1:16" x14ac:dyDescent="0.25">
      <c r="A22" s="16">
        <v>2011</v>
      </c>
      <c r="B22" s="22">
        <v>204125487552.86996</v>
      </c>
      <c r="C22" s="22">
        <v>171540105737.41998</v>
      </c>
      <c r="D22" s="22">
        <v>260213881923.81003</v>
      </c>
      <c r="E22" s="22">
        <v>200717296520.76001</v>
      </c>
      <c r="F22" s="22">
        <v>181516340028.07993</v>
      </c>
      <c r="G22" s="22">
        <v>257330366051.33002</v>
      </c>
      <c r="H22" s="22">
        <v>199039718324.85004</v>
      </c>
      <c r="I22" s="22">
        <v>196483633656.75998</v>
      </c>
      <c r="J22" s="22">
        <v>256506666234.42999</v>
      </c>
      <c r="K22" s="22">
        <v>205328557758.55005</v>
      </c>
      <c r="L22" s="22">
        <v>212757127103.90988</v>
      </c>
      <c r="M22" s="22">
        <v>423773731425.15997</v>
      </c>
    </row>
    <row r="23" spans="1:16" x14ac:dyDescent="0.25">
      <c r="A23" s="16">
        <v>2012</v>
      </c>
      <c r="B23" s="22">
        <v>227157951183.03998</v>
      </c>
      <c r="C23" s="22">
        <v>185412398173.04996</v>
      </c>
      <c r="D23" s="22">
        <v>305618662721.17017</v>
      </c>
      <c r="E23" s="22">
        <v>210588816448.71002</v>
      </c>
      <c r="F23" s="22">
        <v>220598864201.06</v>
      </c>
      <c r="G23" s="22">
        <v>275872715727.67004</v>
      </c>
      <c r="H23" s="22">
        <v>215947154566.69992</v>
      </c>
      <c r="I23" s="22">
        <v>203664940370.93997</v>
      </c>
      <c r="J23" s="22">
        <v>279408024113.06995</v>
      </c>
      <c r="K23" s="22">
        <v>222141670845.63998</v>
      </c>
      <c r="L23" s="22">
        <v>229260026201.52002</v>
      </c>
      <c r="M23" s="22">
        <v>432250990161.73993</v>
      </c>
    </row>
    <row r="24" spans="1:16" x14ac:dyDescent="0.25">
      <c r="A24" s="16">
        <v>2013</v>
      </c>
      <c r="B24" s="22">
        <v>250360150464.03</v>
      </c>
      <c r="C24" s="22">
        <v>232209812950.87006</v>
      </c>
      <c r="D24" s="22">
        <v>317725881116.13</v>
      </c>
      <c r="E24" s="22">
        <v>247510351446.70996</v>
      </c>
      <c r="F24" s="22">
        <v>212876300248.79001</v>
      </c>
      <c r="G24" s="22">
        <v>287917144769.07001</v>
      </c>
      <c r="H24" s="22">
        <v>255512775129.06003</v>
      </c>
      <c r="I24" s="22">
        <v>218786279255.13998</v>
      </c>
      <c r="J24" s="22">
        <v>298722890610.70996</v>
      </c>
      <c r="K24" s="22">
        <v>251521232460.92001</v>
      </c>
      <c r="L24" s="22">
        <v>236723941037.69995</v>
      </c>
      <c r="M24" s="22">
        <v>482442081789.67993</v>
      </c>
      <c r="O24" s="22"/>
    </row>
    <row r="25" spans="1:16" x14ac:dyDescent="0.25">
      <c r="A25" s="16">
        <v>2014</v>
      </c>
      <c r="B25" s="22">
        <v>274155135531.79004</v>
      </c>
      <c r="C25" s="22">
        <v>230660033237.29999</v>
      </c>
      <c r="D25" s="22">
        <v>346225815145.28998</v>
      </c>
      <c r="E25" s="22">
        <v>281705580262.70001</v>
      </c>
      <c r="F25" s="22">
        <v>233846507399.95999</v>
      </c>
      <c r="G25" s="22">
        <v>307525011818.74994</v>
      </c>
      <c r="H25" s="22">
        <v>260237241275.96997</v>
      </c>
      <c r="I25" s="22">
        <v>232911660935.10999</v>
      </c>
      <c r="J25" s="22">
        <v>328025410780.56995</v>
      </c>
      <c r="K25" s="22">
        <v>264871586222.80002</v>
      </c>
      <c r="L25" s="22">
        <v>256825903691.15002</v>
      </c>
      <c r="M25" s="22">
        <v>505452605288.14001</v>
      </c>
      <c r="N25" s="22">
        <f>+SUM(B25:K25)</f>
        <v>2760163982610.2397</v>
      </c>
    </row>
    <row r="26" spans="1:16" x14ac:dyDescent="0.25">
      <c r="A26" s="16">
        <v>2015</v>
      </c>
      <c r="B26" s="22">
        <v>295184560584.12</v>
      </c>
      <c r="C26" s="22">
        <v>255560150694.95004</v>
      </c>
      <c r="D26" s="22">
        <v>396312065840.20996</v>
      </c>
      <c r="E26" s="22">
        <v>276203473118.89001</v>
      </c>
      <c r="F26" s="22">
        <v>242031013391.62997</v>
      </c>
      <c r="G26" s="22">
        <v>342387978699.25</v>
      </c>
      <c r="H26" s="22">
        <v>280614371879.58002</v>
      </c>
      <c r="I26" s="22">
        <v>267710195389.91</v>
      </c>
      <c r="J26" s="22">
        <v>348199342292.2301</v>
      </c>
      <c r="K26" s="22">
        <v>285723088094.75</v>
      </c>
      <c r="L26" s="22">
        <v>299173010463.96002</v>
      </c>
      <c r="M26" s="22">
        <v>572813865216.1001</v>
      </c>
    </row>
    <row r="27" spans="1:16" x14ac:dyDescent="0.25">
      <c r="A27" s="16">
        <v>2016</v>
      </c>
      <c r="B27" s="22">
        <v>317229199475.97998</v>
      </c>
      <c r="C27" s="22">
        <v>276099392802.90002</v>
      </c>
      <c r="D27" s="22">
        <v>419932507678.67999</v>
      </c>
      <c r="E27" s="22">
        <v>315286741338.87006</v>
      </c>
      <c r="F27" s="22">
        <v>271137592421.00003</v>
      </c>
      <c r="G27" s="22">
        <v>394330163941.81006</v>
      </c>
      <c r="H27" s="22">
        <v>297827704962.25995</v>
      </c>
      <c r="I27" s="22">
        <v>266598106437.24002</v>
      </c>
      <c r="J27" s="22">
        <v>383780078384.06006</v>
      </c>
      <c r="K27" s="22">
        <v>311661497291.60004</v>
      </c>
      <c r="L27" s="22">
        <v>315676559718.41998</v>
      </c>
      <c r="M27" s="22">
        <v>598180172861.68994</v>
      </c>
      <c r="N27" s="22"/>
    </row>
    <row r="28" spans="1:16" x14ac:dyDescent="0.25">
      <c r="A28" s="16">
        <v>2017</v>
      </c>
      <c r="B28" s="22">
        <v>343836014845.53992</v>
      </c>
      <c r="C28" s="22">
        <v>280392279972.29999</v>
      </c>
      <c r="D28" s="22">
        <v>474822059145.46002</v>
      </c>
      <c r="E28" s="22">
        <v>306436207133.71002</v>
      </c>
      <c r="F28" s="22">
        <v>300587597761.12994</v>
      </c>
      <c r="G28" s="22">
        <v>423549453791.07001</v>
      </c>
      <c r="H28" s="22">
        <v>291373542911.82001</v>
      </c>
      <c r="I28" s="22">
        <v>284514930615.25006</v>
      </c>
      <c r="J28" s="22">
        <v>415992794020.99005</v>
      </c>
      <c r="K28" s="22">
        <v>309435440716.63</v>
      </c>
      <c r="L28" s="22">
        <v>332454415156.19</v>
      </c>
      <c r="M28" s="22">
        <v>627474094770.12</v>
      </c>
      <c r="N28" s="77">
        <f>+GETPIVOTDATA("Suma de Diciembre",$A$17,"Año",2017)/GETPIVOTDATA("Suma de Diciembre",$A$17,"Año",2016)-1</f>
        <v>4.8971736673063093E-2</v>
      </c>
    </row>
    <row r="29" spans="1:16" x14ac:dyDescent="0.25">
      <c r="A29" s="16">
        <v>2018</v>
      </c>
      <c r="B29" s="22">
        <v>374171218049.09998</v>
      </c>
      <c r="C29" s="22">
        <v>278293190741.60999</v>
      </c>
      <c r="D29" s="22">
        <v>462009571448.65002</v>
      </c>
      <c r="E29" s="22">
        <v>350885506249.38</v>
      </c>
      <c r="F29" s="22">
        <v>268299827205.63995</v>
      </c>
      <c r="G29" s="22">
        <v>418059690573.59003</v>
      </c>
      <c r="H29" s="22">
        <v>326698737843.93994</v>
      </c>
      <c r="I29" s="22">
        <v>280039396552.37</v>
      </c>
      <c r="J29" s="22">
        <v>398681538327.95007</v>
      </c>
      <c r="K29" s="22">
        <v>338750292108.09998</v>
      </c>
      <c r="L29" s="22">
        <v>341343941462.31</v>
      </c>
      <c r="M29" s="22">
        <v>729898728556.64001</v>
      </c>
      <c r="N29" s="77"/>
      <c r="P29" s="54"/>
    </row>
    <row r="30" spans="1:16" x14ac:dyDescent="0.25">
      <c r="A30" s="16">
        <v>2019</v>
      </c>
      <c r="B30" s="22">
        <v>455189582051.52997</v>
      </c>
      <c r="C30" s="22">
        <v>303736847845.47003</v>
      </c>
      <c r="D30" s="22">
        <v>474555135172.23004</v>
      </c>
      <c r="E30" s="22">
        <v>348911494293.27002</v>
      </c>
      <c r="F30" s="22">
        <v>305368958623.01001</v>
      </c>
      <c r="G30" s="22">
        <v>422539111482.51996</v>
      </c>
      <c r="H30" s="22">
        <v>325187198775.26001</v>
      </c>
      <c r="I30" s="22">
        <v>337328098790.13</v>
      </c>
      <c r="J30" s="22">
        <v>449550378276.73993</v>
      </c>
      <c r="K30" s="22">
        <v>414811521293.09003</v>
      </c>
      <c r="L30" s="22">
        <v>367570250379.71997</v>
      </c>
      <c r="M30" s="22">
        <v>684821138863.90002</v>
      </c>
      <c r="N30" s="22">
        <f>+SUM(B30:K30)</f>
        <v>3837178326603.2495</v>
      </c>
      <c r="O30" s="54"/>
    </row>
    <row r="31" spans="1:16" x14ac:dyDescent="0.25">
      <c r="A31" s="16">
        <v>2020</v>
      </c>
      <c r="B31" s="22">
        <v>442684394646.52997</v>
      </c>
      <c r="C31" s="22">
        <v>352575219607.16998</v>
      </c>
      <c r="D31" s="22">
        <v>496420455583.21997</v>
      </c>
      <c r="E31" s="22">
        <v>267112783880.09998</v>
      </c>
      <c r="F31" s="22">
        <v>213855805763.61996</v>
      </c>
      <c r="G31" s="22">
        <v>268898415986.01004</v>
      </c>
      <c r="H31" s="22">
        <v>292719840713.69995</v>
      </c>
      <c r="I31" s="22">
        <v>295586958971.72998</v>
      </c>
      <c r="J31" s="22">
        <v>400288955889.50995</v>
      </c>
      <c r="K31" s="22">
        <v>346955942199.33997</v>
      </c>
      <c r="L31" s="22">
        <v>327012109592.53992</v>
      </c>
      <c r="M31" s="22">
        <v>18848548711.490002</v>
      </c>
    </row>
    <row r="32" spans="1:16" x14ac:dyDescent="0.25">
      <c r="A32" s="16" t="s">
        <v>795</v>
      </c>
      <c r="B32" s="22">
        <v>3942608285338.1699</v>
      </c>
      <c r="C32" s="22">
        <v>3172662590693.2598</v>
      </c>
      <c r="D32" s="22">
        <v>4875751620731.0498</v>
      </c>
      <c r="E32" s="22">
        <v>3531335189413.5801</v>
      </c>
      <c r="F32" s="22">
        <v>3067661585648.21</v>
      </c>
      <c r="G32" s="22">
        <v>4102260401789.7905</v>
      </c>
      <c r="H32" s="22">
        <v>3546155919041.6299</v>
      </c>
      <c r="I32" s="22">
        <v>3216758257564.9297</v>
      </c>
      <c r="J32" s="22">
        <v>4302650395537.0898</v>
      </c>
      <c r="K32" s="22">
        <v>3757238659079.3696</v>
      </c>
      <c r="L32" s="22">
        <v>3586775600422.8896</v>
      </c>
      <c r="M32" s="22">
        <v>6281792863733.4404</v>
      </c>
    </row>
    <row r="33" spans="1:10" x14ac:dyDescent="0.25">
      <c r="F33" s="28"/>
      <c r="I33" s="31"/>
    </row>
    <row r="34" spans="1:10" x14ac:dyDescent="0.25">
      <c r="A34" s="205" t="s">
        <v>810</v>
      </c>
      <c r="B34" s="205"/>
      <c r="C34" s="205"/>
      <c r="D34" s="205"/>
      <c r="E34" s="205"/>
      <c r="F34" s="205"/>
      <c r="G34" s="205"/>
      <c r="I34" s="15" t="s">
        <v>794</v>
      </c>
      <c r="J34" t="s">
        <v>828</v>
      </c>
    </row>
    <row r="35" spans="1:10" x14ac:dyDescent="0.25">
      <c r="A35" s="19" t="s">
        <v>1111</v>
      </c>
      <c r="B35" s="19" t="s">
        <v>542</v>
      </c>
      <c r="C35" s="19" t="s">
        <v>808</v>
      </c>
      <c r="D35" s="19" t="s">
        <v>809</v>
      </c>
      <c r="E35" s="19" t="s">
        <v>825</v>
      </c>
      <c r="F35" s="19" t="s">
        <v>1222</v>
      </c>
      <c r="G35" s="19" t="s">
        <v>826</v>
      </c>
      <c r="I35" s="16">
        <v>2007</v>
      </c>
      <c r="J35" s="24">
        <v>0</v>
      </c>
    </row>
    <row r="36" spans="1:10" x14ac:dyDescent="0.25">
      <c r="A36" s="78">
        <v>39083</v>
      </c>
      <c r="B36" s="5">
        <v>2007</v>
      </c>
      <c r="C36" s="9" t="s">
        <v>532</v>
      </c>
      <c r="D36" s="18">
        <f>+GETPIVOTDATA("Suma de Enero",$A$17,"Año",2007)</f>
        <v>166413106592.45999</v>
      </c>
      <c r="E36" s="18" t="s">
        <v>827</v>
      </c>
      <c r="F36" s="18">
        <f>+D36/1000000</f>
        <v>166413.10659245998</v>
      </c>
      <c r="G36" s="113" t="s">
        <v>827</v>
      </c>
      <c r="I36" s="21" t="s">
        <v>532</v>
      </c>
      <c r="J36" s="24">
        <v>0</v>
      </c>
    </row>
    <row r="37" spans="1:10" x14ac:dyDescent="0.25">
      <c r="A37" s="78">
        <v>39114</v>
      </c>
      <c r="B37" s="5">
        <v>2007</v>
      </c>
      <c r="C37" s="9" t="s">
        <v>531</v>
      </c>
      <c r="D37" s="18">
        <f>+GETPIVOTDATA("Suma de Febrero",$A$17,"Año",2007)</f>
        <v>130637062419.18004</v>
      </c>
      <c r="E37" s="18" t="s">
        <v>827</v>
      </c>
      <c r="F37" s="18">
        <f t="shared" ref="F37:F100" si="0">+D37/1000000</f>
        <v>130637.06241918005</v>
      </c>
      <c r="G37" s="113" t="s">
        <v>827</v>
      </c>
      <c r="I37" s="21" t="s">
        <v>531</v>
      </c>
      <c r="J37" s="24">
        <v>0</v>
      </c>
    </row>
    <row r="38" spans="1:10" x14ac:dyDescent="0.25">
      <c r="A38" s="78">
        <v>39142</v>
      </c>
      <c r="B38" s="5">
        <v>2007</v>
      </c>
      <c r="C38" s="9" t="s">
        <v>530</v>
      </c>
      <c r="D38" s="18">
        <f>+GETPIVOTDATA("Suma de Marzo",$A$17,"Año",2007)</f>
        <v>185830187991.25998</v>
      </c>
      <c r="E38" s="18" t="s">
        <v>827</v>
      </c>
      <c r="F38" s="18">
        <f t="shared" si="0"/>
        <v>185830.18799125997</v>
      </c>
      <c r="G38" s="113" t="s">
        <v>827</v>
      </c>
      <c r="I38" s="21" t="s">
        <v>530</v>
      </c>
      <c r="J38" s="24">
        <v>0</v>
      </c>
    </row>
    <row r="39" spans="1:10" x14ac:dyDescent="0.25">
      <c r="A39" s="78">
        <v>39173</v>
      </c>
      <c r="B39" s="5">
        <v>2007</v>
      </c>
      <c r="C39" s="9" t="s">
        <v>529</v>
      </c>
      <c r="D39" s="18">
        <f>+GETPIVOTDATA("Suma de Abril",$A$17,"Año",2007)</f>
        <v>154728905374.43002</v>
      </c>
      <c r="E39" s="18" t="s">
        <v>827</v>
      </c>
      <c r="F39" s="18">
        <f t="shared" si="0"/>
        <v>154728.90537443003</v>
      </c>
      <c r="G39" s="113" t="s">
        <v>827</v>
      </c>
      <c r="I39" s="21" t="s">
        <v>529</v>
      </c>
      <c r="J39" s="24">
        <v>0</v>
      </c>
    </row>
    <row r="40" spans="1:10" x14ac:dyDescent="0.25">
      <c r="A40" s="78">
        <v>39203</v>
      </c>
      <c r="B40" s="5">
        <v>2007</v>
      </c>
      <c r="C40" s="9" t="s">
        <v>528</v>
      </c>
      <c r="D40" s="18">
        <f>+GETPIVOTDATA("Suma de Mayo",$A$17,"Año",2007)</f>
        <v>141432413704.65002</v>
      </c>
      <c r="E40" s="18" t="s">
        <v>827</v>
      </c>
      <c r="F40" s="18">
        <f t="shared" si="0"/>
        <v>141432.41370465001</v>
      </c>
      <c r="G40" s="113" t="s">
        <v>827</v>
      </c>
      <c r="I40" s="21" t="s">
        <v>528</v>
      </c>
      <c r="J40" s="24">
        <v>0</v>
      </c>
    </row>
    <row r="41" spans="1:10" x14ac:dyDescent="0.25">
      <c r="A41" s="78">
        <v>39234</v>
      </c>
      <c r="B41" s="5">
        <v>2007</v>
      </c>
      <c r="C41" s="9" t="s">
        <v>527</v>
      </c>
      <c r="D41" s="18">
        <f>+GETPIVOTDATA("Suma de Junio",$A$17,"Año",2007)</f>
        <v>149769277342.32001</v>
      </c>
      <c r="E41" s="18" t="s">
        <v>827</v>
      </c>
      <c r="F41" s="18">
        <f t="shared" si="0"/>
        <v>149769.27734232001</v>
      </c>
      <c r="G41" s="113" t="s">
        <v>827</v>
      </c>
      <c r="I41" s="21" t="s">
        <v>527</v>
      </c>
      <c r="J41" s="24">
        <v>0</v>
      </c>
    </row>
    <row r="42" spans="1:10" x14ac:dyDescent="0.25">
      <c r="A42" s="78">
        <v>39264</v>
      </c>
      <c r="B42" s="5">
        <v>2007</v>
      </c>
      <c r="C42" s="9" t="s">
        <v>526</v>
      </c>
      <c r="D42" s="18">
        <f>+GETPIVOTDATA("Suma de Julio",$A$17,"Año",2007)</f>
        <v>173097204368.04001</v>
      </c>
      <c r="E42" s="18" t="s">
        <v>827</v>
      </c>
      <c r="F42" s="18">
        <f t="shared" si="0"/>
        <v>173097.20436803999</v>
      </c>
      <c r="G42" s="113" t="s">
        <v>827</v>
      </c>
      <c r="I42" s="21" t="s">
        <v>526</v>
      </c>
      <c r="J42" s="24">
        <v>0</v>
      </c>
    </row>
    <row r="43" spans="1:10" x14ac:dyDescent="0.25">
      <c r="A43" s="78">
        <v>39295</v>
      </c>
      <c r="B43" s="5">
        <v>2007</v>
      </c>
      <c r="C43" s="9" t="s">
        <v>525</v>
      </c>
      <c r="D43" s="18">
        <f>+GETPIVOTDATA("Suma de Agosto",$A$17,"Año",2007)</f>
        <v>142732287856.02002</v>
      </c>
      <c r="E43" s="18" t="s">
        <v>827</v>
      </c>
      <c r="F43" s="18">
        <f t="shared" si="0"/>
        <v>142732.28785602003</v>
      </c>
      <c r="G43" s="113" t="s">
        <v>827</v>
      </c>
      <c r="I43" s="21" t="s">
        <v>525</v>
      </c>
      <c r="J43" s="24">
        <v>0</v>
      </c>
    </row>
    <row r="44" spans="1:10" x14ac:dyDescent="0.25">
      <c r="A44" s="78">
        <v>39326</v>
      </c>
      <c r="B44" s="5">
        <v>2007</v>
      </c>
      <c r="C44" s="9" t="s">
        <v>524</v>
      </c>
      <c r="D44" s="18">
        <f>+GETPIVOTDATA("Suma de Setiembre",$A$17,"Año",2007)</f>
        <v>149542574754.20999</v>
      </c>
      <c r="E44" s="18" t="s">
        <v>827</v>
      </c>
      <c r="F44" s="18">
        <f t="shared" si="0"/>
        <v>149542.57475420999</v>
      </c>
      <c r="G44" s="113" t="s">
        <v>827</v>
      </c>
      <c r="I44" s="21" t="s">
        <v>524</v>
      </c>
      <c r="J44" s="24">
        <v>0</v>
      </c>
    </row>
    <row r="45" spans="1:10" x14ac:dyDescent="0.25">
      <c r="A45" s="78">
        <v>39356</v>
      </c>
      <c r="B45" s="5">
        <v>2007</v>
      </c>
      <c r="C45" s="9" t="s">
        <v>523</v>
      </c>
      <c r="D45" s="18">
        <f>+GETPIVOTDATA("Suma de Octubre",$A$17,"Año",2007)</f>
        <v>187977973128.60001</v>
      </c>
      <c r="E45" s="18" t="s">
        <v>827</v>
      </c>
      <c r="F45" s="18">
        <f t="shared" si="0"/>
        <v>187977.97312860002</v>
      </c>
      <c r="G45" s="113" t="s">
        <v>827</v>
      </c>
      <c r="I45" s="21" t="s">
        <v>523</v>
      </c>
      <c r="J45" s="24">
        <v>0</v>
      </c>
    </row>
    <row r="46" spans="1:10" x14ac:dyDescent="0.25">
      <c r="A46" s="78">
        <v>39387</v>
      </c>
      <c r="B46" s="5">
        <v>2007</v>
      </c>
      <c r="C46" s="9" t="s">
        <v>522</v>
      </c>
      <c r="D46" s="18">
        <f>+GETPIVOTDATA("Suma de Noviembre",$A$17,"Año",2007)</f>
        <v>162792407735.73996</v>
      </c>
      <c r="E46" s="18" t="s">
        <v>827</v>
      </c>
      <c r="F46" s="18">
        <f t="shared" si="0"/>
        <v>162792.40773573995</v>
      </c>
      <c r="G46" s="113" t="s">
        <v>827</v>
      </c>
      <c r="I46" s="21" t="s">
        <v>522</v>
      </c>
      <c r="J46" s="24">
        <v>0</v>
      </c>
    </row>
    <row r="47" spans="1:10" x14ac:dyDescent="0.25">
      <c r="A47" s="78">
        <v>39417</v>
      </c>
      <c r="B47" s="5">
        <v>2007</v>
      </c>
      <c r="C47" s="9" t="s">
        <v>521</v>
      </c>
      <c r="D47" s="18">
        <f>+GETPIVOTDATA("Suma de Diciembre",$A$17,"Año",2007)</f>
        <v>283988423604.59998</v>
      </c>
      <c r="E47" s="18">
        <f>+SUM(D36:D47)</f>
        <v>2028941824871.5103</v>
      </c>
      <c r="F47" s="18">
        <f t="shared" si="0"/>
        <v>283988.42360459996</v>
      </c>
      <c r="G47" s="113" t="s">
        <v>827</v>
      </c>
      <c r="I47" s="21" t="s">
        <v>521</v>
      </c>
      <c r="J47" s="24">
        <v>0</v>
      </c>
    </row>
    <row r="48" spans="1:10" x14ac:dyDescent="0.25">
      <c r="A48" s="78">
        <v>39448</v>
      </c>
      <c r="B48" s="5">
        <v>2008</v>
      </c>
      <c r="C48" s="9" t="s">
        <v>532</v>
      </c>
      <c r="D48" s="18">
        <f>+GETPIVOTDATA("Suma de Enero",$A$17,"Año",2008)</f>
        <v>192888563839.37</v>
      </c>
      <c r="E48" s="18">
        <f>+SUM(D37:D48)</f>
        <v>2055417282118.4204</v>
      </c>
      <c r="F48" s="18">
        <f t="shared" si="0"/>
        <v>192888.56383937001</v>
      </c>
      <c r="G48" s="113" t="s">
        <v>827</v>
      </c>
      <c r="I48" s="16">
        <v>2008</v>
      </c>
      <c r="J48" s="24">
        <v>0.18711073703196579</v>
      </c>
    </row>
    <row r="49" spans="1:10" x14ac:dyDescent="0.25">
      <c r="A49" s="78">
        <v>39479</v>
      </c>
      <c r="B49" s="5">
        <v>2008</v>
      </c>
      <c r="C49" s="9" t="s">
        <v>531</v>
      </c>
      <c r="D49" s="18">
        <f>+GETPIVOTDATA("Suma de Febrero",$A$17,"Año",2008)</f>
        <v>166421404345.97995</v>
      </c>
      <c r="E49" s="18">
        <f>+SUM(D38:D49)</f>
        <v>2091201624045.2202</v>
      </c>
      <c r="F49" s="18">
        <f t="shared" si="0"/>
        <v>166421.40434597994</v>
      </c>
      <c r="G49" s="113" t="s">
        <v>827</v>
      </c>
      <c r="I49" s="21" t="s">
        <v>532</v>
      </c>
      <c r="J49" s="24">
        <v>0</v>
      </c>
    </row>
    <row r="50" spans="1:10" x14ac:dyDescent="0.25">
      <c r="A50" s="78">
        <v>39508</v>
      </c>
      <c r="B50" s="5">
        <v>2008</v>
      </c>
      <c r="C50" s="9" t="s">
        <v>530</v>
      </c>
      <c r="D50" s="18">
        <f>+GETPIVOTDATA("Suma de Marzo",$A$17,"Año",2008)</f>
        <v>247832237031.07999</v>
      </c>
      <c r="E50" s="18">
        <f t="shared" ref="E50:E112" si="1">+SUM(D39:D50)</f>
        <v>2153203673085.04</v>
      </c>
      <c r="F50" s="18">
        <f t="shared" si="0"/>
        <v>247832.23703107997</v>
      </c>
      <c r="G50" s="113" t="s">
        <v>827</v>
      </c>
      <c r="I50" s="21" t="s">
        <v>531</v>
      </c>
      <c r="J50" s="24">
        <v>0</v>
      </c>
    </row>
    <row r="51" spans="1:10" x14ac:dyDescent="0.25">
      <c r="A51" s="78">
        <v>39539</v>
      </c>
      <c r="B51" s="5">
        <v>2008</v>
      </c>
      <c r="C51" s="9" t="s">
        <v>529</v>
      </c>
      <c r="D51" s="18">
        <f>+GETPIVOTDATA("Suma de Abril",$A$17,"Año",2008)</f>
        <v>221351559061.85001</v>
      </c>
      <c r="E51" s="18">
        <f t="shared" si="1"/>
        <v>2219826326772.46</v>
      </c>
      <c r="F51" s="18">
        <f t="shared" si="0"/>
        <v>221351.55906185001</v>
      </c>
      <c r="G51" s="113" t="s">
        <v>827</v>
      </c>
      <c r="I51" s="21" t="s">
        <v>530</v>
      </c>
      <c r="J51" s="24">
        <v>0</v>
      </c>
    </row>
    <row r="52" spans="1:10" x14ac:dyDescent="0.25">
      <c r="A52" s="78">
        <v>39569</v>
      </c>
      <c r="B52" s="5">
        <v>2008</v>
      </c>
      <c r="C52" s="9" t="s">
        <v>528</v>
      </c>
      <c r="D52" s="18">
        <f>+GETPIVOTDATA("Suma de Mayo",$A$17,"Año",2008)</f>
        <v>164942380165.97006</v>
      </c>
      <c r="E52" s="18">
        <f t="shared" si="1"/>
        <v>2243336293233.7803</v>
      </c>
      <c r="F52" s="18">
        <f t="shared" si="0"/>
        <v>164942.38016597007</v>
      </c>
      <c r="G52" s="113" t="s">
        <v>827</v>
      </c>
      <c r="I52" s="21" t="s">
        <v>529</v>
      </c>
      <c r="J52" s="24">
        <v>0</v>
      </c>
    </row>
    <row r="53" spans="1:10" x14ac:dyDescent="0.25">
      <c r="A53" s="78">
        <v>39600</v>
      </c>
      <c r="B53" s="5">
        <v>2008</v>
      </c>
      <c r="C53" s="9" t="s">
        <v>527</v>
      </c>
      <c r="D53" s="18">
        <f>+GETPIVOTDATA("Suma de Junio",$A$17,"Año",2008)</f>
        <v>180473976670.19992</v>
      </c>
      <c r="E53" s="18">
        <f>+SUM(D42:D53)</f>
        <v>2274040992561.6602</v>
      </c>
      <c r="F53" s="18">
        <f t="shared" si="0"/>
        <v>180473.97667019992</v>
      </c>
      <c r="G53" s="113" t="s">
        <v>827</v>
      </c>
      <c r="I53" s="21" t="s">
        <v>528</v>
      </c>
      <c r="J53" s="24">
        <v>0</v>
      </c>
    </row>
    <row r="54" spans="1:10" x14ac:dyDescent="0.25">
      <c r="A54" s="78">
        <v>39630</v>
      </c>
      <c r="B54" s="5">
        <v>2008</v>
      </c>
      <c r="C54" s="9" t="s">
        <v>526</v>
      </c>
      <c r="D54" s="18">
        <f>+GETPIVOTDATA("Suma de Julio",$A$17,"Año",2008)</f>
        <v>225263637883.85001</v>
      </c>
      <c r="E54" s="18">
        <f>+SUM(D43:D54)</f>
        <v>2326207426077.4702</v>
      </c>
      <c r="F54" s="18">
        <f t="shared" si="0"/>
        <v>225263.63788384999</v>
      </c>
      <c r="G54" s="113" t="s">
        <v>827</v>
      </c>
      <c r="I54" s="21" t="s">
        <v>527</v>
      </c>
      <c r="J54" s="24">
        <v>0</v>
      </c>
    </row>
    <row r="55" spans="1:10" x14ac:dyDescent="0.25">
      <c r="A55" s="78">
        <v>39661</v>
      </c>
      <c r="B55" s="5">
        <v>2008</v>
      </c>
      <c r="C55" s="9" t="s">
        <v>525</v>
      </c>
      <c r="D55" s="18">
        <f>+GETPIVOTDATA("Suma de Agosto",$A$17,"Año",2008)</f>
        <v>167709442153.84998</v>
      </c>
      <c r="E55" s="18">
        <f t="shared" si="1"/>
        <v>2351184580375.2998</v>
      </c>
      <c r="F55" s="18">
        <f t="shared" si="0"/>
        <v>167709.44215384999</v>
      </c>
      <c r="G55" s="113" t="s">
        <v>827</v>
      </c>
      <c r="I55" s="21" t="s">
        <v>526</v>
      </c>
      <c r="J55" s="24">
        <v>0</v>
      </c>
    </row>
    <row r="56" spans="1:10" x14ac:dyDescent="0.25">
      <c r="A56" s="78">
        <v>39692</v>
      </c>
      <c r="B56" s="5">
        <v>2008</v>
      </c>
      <c r="C56" s="9" t="s">
        <v>524</v>
      </c>
      <c r="D56" s="18">
        <f>+GETPIVOTDATA("Suma de Setiembre",$A$17,"Año",2008)</f>
        <v>184139161592.53003</v>
      </c>
      <c r="E56" s="18">
        <f t="shared" si="1"/>
        <v>2385781167213.6201</v>
      </c>
      <c r="F56" s="18">
        <f t="shared" si="0"/>
        <v>184139.16159253003</v>
      </c>
      <c r="G56" s="113" t="s">
        <v>827</v>
      </c>
      <c r="I56" s="21" t="s">
        <v>525</v>
      </c>
      <c r="J56" s="24">
        <v>0</v>
      </c>
    </row>
    <row r="57" spans="1:10" x14ac:dyDescent="0.25">
      <c r="A57" s="78">
        <v>39722</v>
      </c>
      <c r="B57" s="5">
        <v>2008</v>
      </c>
      <c r="C57" s="9" t="s">
        <v>523</v>
      </c>
      <c r="D57" s="18">
        <f>+GETPIVOTDATA("Suma de Octubre",$A$17,"Año",2008)</f>
        <v>217131498349.14999</v>
      </c>
      <c r="E57" s="18">
        <f t="shared" si="1"/>
        <v>2414934692434.1699</v>
      </c>
      <c r="F57" s="18">
        <f t="shared" si="0"/>
        <v>217131.49834915</v>
      </c>
      <c r="G57" s="113" t="s">
        <v>827</v>
      </c>
      <c r="I57" s="21" t="s">
        <v>524</v>
      </c>
      <c r="J57" s="24">
        <v>0</v>
      </c>
    </row>
    <row r="58" spans="1:10" x14ac:dyDescent="0.25">
      <c r="A58" s="78">
        <v>39753</v>
      </c>
      <c r="B58" s="5">
        <v>2008</v>
      </c>
      <c r="C58" s="9" t="s">
        <v>522</v>
      </c>
      <c r="D58" s="18">
        <f>+GETPIVOTDATA("Suma de Noviembre",$A$17,"Año",2008)</f>
        <v>157590845126.87009</v>
      </c>
      <c r="E58" s="18">
        <f t="shared" si="1"/>
        <v>2409733129825.3003</v>
      </c>
      <c r="F58" s="18">
        <f t="shared" si="0"/>
        <v>157590.84512687009</v>
      </c>
      <c r="G58" s="113" t="s">
        <v>827</v>
      </c>
      <c r="I58" s="21" t="s">
        <v>523</v>
      </c>
      <c r="J58" s="24">
        <v>0</v>
      </c>
    </row>
    <row r="59" spans="1:10" x14ac:dyDescent="0.25">
      <c r="A59" s="78">
        <v>39783</v>
      </c>
      <c r="B59" s="5">
        <v>2008</v>
      </c>
      <c r="C59" s="9" t="s">
        <v>521</v>
      </c>
      <c r="D59" s="18">
        <f>+GETPIVOTDATA("Suma de Diciembre",$A$17,"Año",2008)</f>
        <v>282833918897.5</v>
      </c>
      <c r="E59" s="18">
        <f t="shared" si="1"/>
        <v>2408578625118.2002</v>
      </c>
      <c r="F59" s="18">
        <f t="shared" si="0"/>
        <v>282833.91889750003</v>
      </c>
      <c r="G59" s="114">
        <f t="shared" ref="G59:G90" si="2">+E59/E47-1</f>
        <v>0.18711073703196579</v>
      </c>
      <c r="I59" s="21" t="s">
        <v>522</v>
      </c>
      <c r="J59" s="24">
        <v>0</v>
      </c>
    </row>
    <row r="60" spans="1:10" x14ac:dyDescent="0.25">
      <c r="A60" s="78">
        <v>39814</v>
      </c>
      <c r="B60" s="5">
        <v>2009</v>
      </c>
      <c r="C60" s="9" t="s">
        <v>532</v>
      </c>
      <c r="D60" s="18">
        <f>+GETPIVOTDATA("Suma de Enero",$A$17,"Año",2009)</f>
        <v>198030678159.13995</v>
      </c>
      <c r="E60" s="18">
        <f t="shared" si="1"/>
        <v>2413720739437.9702</v>
      </c>
      <c r="F60" s="18">
        <f t="shared" si="0"/>
        <v>198030.67815913996</v>
      </c>
      <c r="G60" s="114">
        <f t="shared" si="2"/>
        <v>0.17432151633475779</v>
      </c>
      <c r="I60" s="21" t="s">
        <v>521</v>
      </c>
      <c r="J60" s="24">
        <v>0.18711073703196579</v>
      </c>
    </row>
    <row r="61" spans="1:10" x14ac:dyDescent="0.25">
      <c r="A61" s="78">
        <v>39845</v>
      </c>
      <c r="B61" s="5">
        <v>2009</v>
      </c>
      <c r="C61" s="9" t="s">
        <v>531</v>
      </c>
      <c r="D61" s="18">
        <f>+GETPIVOTDATA("Suma de Febrero",$A$17,"Año",2009)</f>
        <v>152881211304.64001</v>
      </c>
      <c r="E61" s="18">
        <f t="shared" si="1"/>
        <v>2400180546396.6299</v>
      </c>
      <c r="F61" s="18">
        <f t="shared" si="0"/>
        <v>152881.21130464002</v>
      </c>
      <c r="G61" s="114">
        <f t="shared" si="2"/>
        <v>0.14775185653964873</v>
      </c>
      <c r="I61" s="16">
        <v>2009</v>
      </c>
      <c r="J61" s="24">
        <v>0.2170203758155308</v>
      </c>
    </row>
    <row r="62" spans="1:10" x14ac:dyDescent="0.25">
      <c r="A62" s="78">
        <v>39873</v>
      </c>
      <c r="B62" s="5">
        <v>2009</v>
      </c>
      <c r="C62" s="9" t="s">
        <v>530</v>
      </c>
      <c r="D62" s="18">
        <f>+GETPIVOTDATA("Suma de Marzo",$A$17,"Año",2009)</f>
        <v>226933241074.79001</v>
      </c>
      <c r="E62" s="18">
        <f t="shared" si="1"/>
        <v>2379281550440.3398</v>
      </c>
      <c r="F62" s="18">
        <f t="shared" si="0"/>
        <v>226933.24107479001</v>
      </c>
      <c r="G62" s="114">
        <f t="shared" si="2"/>
        <v>0.1049960485305057</v>
      </c>
      <c r="I62" s="21" t="s">
        <v>532</v>
      </c>
      <c r="J62" s="24">
        <v>0.17432151633475779</v>
      </c>
    </row>
    <row r="63" spans="1:10" x14ac:dyDescent="0.25">
      <c r="A63" s="78">
        <v>39904</v>
      </c>
      <c r="B63" s="5">
        <v>2009</v>
      </c>
      <c r="C63" s="9" t="s">
        <v>529</v>
      </c>
      <c r="D63" s="18">
        <f>+GETPIVOTDATA("Suma de Abril",$A$17,"Año",2009)</f>
        <v>173185144181.96997</v>
      </c>
      <c r="E63" s="18">
        <f t="shared" si="1"/>
        <v>2331115135560.46</v>
      </c>
      <c r="F63" s="18">
        <f t="shared" si="0"/>
        <v>173185.14418196998</v>
      </c>
      <c r="G63" s="114">
        <f t="shared" si="2"/>
        <v>5.0134016092064915E-2</v>
      </c>
      <c r="I63" s="21" t="s">
        <v>531</v>
      </c>
      <c r="J63" s="24">
        <v>0.14775185653964873</v>
      </c>
    </row>
    <row r="64" spans="1:10" x14ac:dyDescent="0.25">
      <c r="A64" s="78">
        <v>39934</v>
      </c>
      <c r="B64" s="5">
        <v>2009</v>
      </c>
      <c r="C64" s="9" t="s">
        <v>528</v>
      </c>
      <c r="D64" s="18">
        <f>+GETPIVOTDATA("Suma de Mayo",$A$17,"Año",2009)</f>
        <v>146450968349.03998</v>
      </c>
      <c r="E64" s="18">
        <f t="shared" si="1"/>
        <v>2312623723743.5298</v>
      </c>
      <c r="F64" s="18">
        <f t="shared" si="0"/>
        <v>146450.96834903999</v>
      </c>
      <c r="G64" s="114">
        <f t="shared" si="2"/>
        <v>3.0885886667429308E-2</v>
      </c>
      <c r="I64" s="21" t="s">
        <v>530</v>
      </c>
      <c r="J64" s="24">
        <v>0.1049960485305057</v>
      </c>
    </row>
    <row r="65" spans="1:10" x14ac:dyDescent="0.25">
      <c r="A65" s="78">
        <v>39965</v>
      </c>
      <c r="B65" s="5">
        <v>2009</v>
      </c>
      <c r="C65" s="9" t="s">
        <v>527</v>
      </c>
      <c r="D65" s="18">
        <f>+GETPIVOTDATA("Suma de Junio",$A$17,"Año",2009)</f>
        <v>168480050347.28006</v>
      </c>
      <c r="E65" s="18">
        <f t="shared" si="1"/>
        <v>2300629797420.6099</v>
      </c>
      <c r="F65" s="18">
        <f t="shared" si="0"/>
        <v>168480.05034728005</v>
      </c>
      <c r="G65" s="114">
        <f t="shared" si="2"/>
        <v>1.1692315550124732E-2</v>
      </c>
      <c r="I65" s="21" t="s">
        <v>529</v>
      </c>
      <c r="J65" s="24">
        <v>5.0134016092064915E-2</v>
      </c>
    </row>
    <row r="66" spans="1:10" x14ac:dyDescent="0.25">
      <c r="A66" s="78">
        <v>39995</v>
      </c>
      <c r="B66" s="5">
        <v>2009</v>
      </c>
      <c r="C66" s="9" t="s">
        <v>526</v>
      </c>
      <c r="D66" s="18">
        <f>+GETPIVOTDATA("Suma de Julio",$A$17,"Año",2009)</f>
        <v>208257254793.47998</v>
      </c>
      <c r="E66" s="18">
        <f t="shared" si="1"/>
        <v>2283623414330.2402</v>
      </c>
      <c r="F66" s="18">
        <f t="shared" si="0"/>
        <v>208257.25479347998</v>
      </c>
      <c r="G66" s="114">
        <f t="shared" si="2"/>
        <v>-1.8306197147275327E-2</v>
      </c>
      <c r="I66" s="21" t="s">
        <v>528</v>
      </c>
      <c r="J66" s="24">
        <v>3.0885886667429308E-2</v>
      </c>
    </row>
    <row r="67" spans="1:10" x14ac:dyDescent="0.25">
      <c r="A67" s="78">
        <v>40026</v>
      </c>
      <c r="B67" s="5">
        <v>2009</v>
      </c>
      <c r="C67" s="9" t="s">
        <v>525</v>
      </c>
      <c r="D67" s="18">
        <f>+GETPIVOTDATA("Suma de Agosto",$A$17,"Año",2009)</f>
        <v>150332889045.20004</v>
      </c>
      <c r="E67" s="18">
        <f t="shared" si="1"/>
        <v>2266246861221.5903</v>
      </c>
      <c r="F67" s="18">
        <f t="shared" si="0"/>
        <v>150332.88904520005</v>
      </c>
      <c r="G67" s="114">
        <f t="shared" si="2"/>
        <v>-3.6125500253217702E-2</v>
      </c>
      <c r="I67" s="21" t="s">
        <v>527</v>
      </c>
      <c r="J67" s="24">
        <v>1.1692315550124732E-2</v>
      </c>
    </row>
    <row r="68" spans="1:10" x14ac:dyDescent="0.25">
      <c r="A68" s="78">
        <v>40057</v>
      </c>
      <c r="B68" s="5">
        <v>2009</v>
      </c>
      <c r="C68" s="9" t="s">
        <v>524</v>
      </c>
      <c r="D68" s="18">
        <f>+GETPIVOTDATA("Suma de Setiembre",$A$17,"Año",2009)</f>
        <v>178549802802.47998</v>
      </c>
      <c r="E68" s="18">
        <f t="shared" si="1"/>
        <v>2260657502431.54</v>
      </c>
      <c r="F68" s="18">
        <f t="shared" si="0"/>
        <v>178549.80280247997</v>
      </c>
      <c r="G68" s="114">
        <f t="shared" si="2"/>
        <v>-5.2445574850527255E-2</v>
      </c>
      <c r="I68" s="21" t="s">
        <v>526</v>
      </c>
      <c r="J68" s="24">
        <v>-1.8306197147275327E-2</v>
      </c>
    </row>
    <row r="69" spans="1:10" x14ac:dyDescent="0.25">
      <c r="A69" s="78">
        <v>40087</v>
      </c>
      <c r="B69" s="5">
        <v>2009</v>
      </c>
      <c r="C69" s="9" t="s">
        <v>523</v>
      </c>
      <c r="D69" s="18">
        <f>+GETPIVOTDATA("Suma de Octubre",$A$17,"Año",2009)</f>
        <v>203499867927.85995</v>
      </c>
      <c r="E69" s="18">
        <f t="shared" si="1"/>
        <v>2247025872010.25</v>
      </c>
      <c r="F69" s="18">
        <f t="shared" si="0"/>
        <v>203499.86792785994</v>
      </c>
      <c r="G69" s="114">
        <f t="shared" si="2"/>
        <v>-6.9529342118429538E-2</v>
      </c>
      <c r="I69" s="21" t="s">
        <v>525</v>
      </c>
      <c r="J69" s="24">
        <v>-3.6125500253217702E-2</v>
      </c>
    </row>
    <row r="70" spans="1:10" x14ac:dyDescent="0.25">
      <c r="A70" s="78">
        <v>40118</v>
      </c>
      <c r="B70" s="5">
        <v>2009</v>
      </c>
      <c r="C70" s="9" t="s">
        <v>522</v>
      </c>
      <c r="D70" s="18">
        <f>+GETPIVOTDATA("Suma de Noviembre",$A$17,"Año",2009)</f>
        <v>162175920353.94003</v>
      </c>
      <c r="E70" s="18">
        <f t="shared" si="1"/>
        <v>2251610947237.3198</v>
      </c>
      <c r="F70" s="18">
        <f t="shared" si="0"/>
        <v>162175.92035394002</v>
      </c>
      <c r="G70" s="114">
        <f t="shared" si="2"/>
        <v>-6.5618130336052571E-2</v>
      </c>
      <c r="I70" s="21" t="s">
        <v>524</v>
      </c>
      <c r="J70" s="24">
        <v>-5.2445574850527255E-2</v>
      </c>
    </row>
    <row r="71" spans="1:10" x14ac:dyDescent="0.25">
      <c r="A71" s="78">
        <v>40148</v>
      </c>
      <c r="B71" s="5">
        <v>2009</v>
      </c>
      <c r="C71" s="9" t="s">
        <v>521</v>
      </c>
      <c r="D71" s="18">
        <f>+GETPIVOTDATA("Suma de Diciembre",$A$17,"Año",2009)</f>
        <v>293512914884.84009</v>
      </c>
      <c r="E71" s="18">
        <f t="shared" si="1"/>
        <v>2262289943224.6597</v>
      </c>
      <c r="F71" s="18">
        <f t="shared" si="0"/>
        <v>293512.91488484008</v>
      </c>
      <c r="G71" s="114">
        <f t="shared" si="2"/>
        <v>-6.0736519193497984E-2</v>
      </c>
      <c r="I71" s="21" t="s">
        <v>523</v>
      </c>
      <c r="J71" s="24">
        <v>-6.9529342118429538E-2</v>
      </c>
    </row>
    <row r="72" spans="1:10" x14ac:dyDescent="0.25">
      <c r="A72" s="78">
        <v>40179</v>
      </c>
      <c r="B72" s="5">
        <f>+'[1]Graficos montos'!$A$8</f>
        <v>2010</v>
      </c>
      <c r="C72" s="9" t="s">
        <v>532</v>
      </c>
      <c r="D72" s="18">
        <f>+GETPIVOTDATA("Suma de Enero",$A$16,"Año",2010)</f>
        <v>201182242362.67007</v>
      </c>
      <c r="E72" s="18">
        <f t="shared" si="1"/>
        <v>2265441507428.1899</v>
      </c>
      <c r="F72" s="18">
        <f t="shared" si="0"/>
        <v>201182.24236267008</v>
      </c>
      <c r="G72" s="114">
        <f t="shared" si="2"/>
        <v>-6.1431809234197776E-2</v>
      </c>
      <c r="I72" s="21" t="s">
        <v>522</v>
      </c>
      <c r="J72" s="24">
        <v>-6.5618130336052571E-2</v>
      </c>
    </row>
    <row r="73" spans="1:10" x14ac:dyDescent="0.25">
      <c r="A73" s="78">
        <v>40210</v>
      </c>
      <c r="B73" s="5">
        <f>+'[1]Graficos montos'!$A$8</f>
        <v>2010</v>
      </c>
      <c r="C73" s="9" t="s">
        <v>531</v>
      </c>
      <c r="D73" s="18">
        <f>+GETPIVOTDATA("Suma de Febrero",$A$16,"Año",2010)</f>
        <v>156243480860.4201</v>
      </c>
      <c r="E73" s="18">
        <f t="shared" si="1"/>
        <v>2268803776983.9702</v>
      </c>
      <c r="F73" s="18">
        <f t="shared" si="0"/>
        <v>156243.4808604201</v>
      </c>
      <c r="G73" s="114">
        <f t="shared" si="2"/>
        <v>-5.4736202911857768E-2</v>
      </c>
      <c r="I73" s="21" t="s">
        <v>521</v>
      </c>
      <c r="J73" s="24">
        <v>-6.0736519193497984E-2</v>
      </c>
    </row>
    <row r="74" spans="1:10" x14ac:dyDescent="0.25">
      <c r="A74" s="78">
        <v>40238</v>
      </c>
      <c r="B74" s="5">
        <f>+'[1]Graficos montos'!$A$8</f>
        <v>2010</v>
      </c>
      <c r="C74" s="9" t="s">
        <v>530</v>
      </c>
      <c r="D74" s="18">
        <f>+GETPIVOTDATA("Suma de Marzo",$A$16,"Año",2010)</f>
        <v>261319918859.0701</v>
      </c>
      <c r="E74" s="18">
        <f t="shared" si="1"/>
        <v>2303190454768.2505</v>
      </c>
      <c r="F74" s="18">
        <f t="shared" si="0"/>
        <v>261319.91885907011</v>
      </c>
      <c r="G74" s="114">
        <f t="shared" si="2"/>
        <v>-3.1980702602433464E-2</v>
      </c>
      <c r="I74" s="16">
        <v>2010</v>
      </c>
      <c r="J74" s="24">
        <v>0.27888659882471056</v>
      </c>
    </row>
    <row r="75" spans="1:10" x14ac:dyDescent="0.25">
      <c r="A75" s="78">
        <v>40269</v>
      </c>
      <c r="B75" s="5">
        <f>+'[1]Graficos montos'!$A$8</f>
        <v>2010</v>
      </c>
      <c r="C75" s="9" t="s">
        <v>529</v>
      </c>
      <c r="D75" s="18">
        <f>+GETPIVOTDATA("Suma de Abril",$A$16,"Año",2010)</f>
        <v>176711330102.23001</v>
      </c>
      <c r="E75" s="18">
        <f t="shared" si="1"/>
        <v>2306716640688.5107</v>
      </c>
      <c r="F75" s="18">
        <f t="shared" si="0"/>
        <v>176711.33010223001</v>
      </c>
      <c r="G75" s="114">
        <f t="shared" si="2"/>
        <v>-1.0466447795631217E-2</v>
      </c>
      <c r="I75" s="21" t="s">
        <v>532</v>
      </c>
      <c r="J75" s="24">
        <v>-6.1431809234197776E-2</v>
      </c>
    </row>
    <row r="76" spans="1:10" x14ac:dyDescent="0.25">
      <c r="A76" s="78">
        <v>40299</v>
      </c>
      <c r="B76" s="5">
        <f>+'[1]Graficos montos'!$A$8</f>
        <v>2010</v>
      </c>
      <c r="C76" s="9" t="s">
        <v>528</v>
      </c>
      <c r="D76" s="18">
        <f>+GETPIVOTDATA("Suma de Mayo",$A$16,"Año",2010)</f>
        <v>164717016384.63007</v>
      </c>
      <c r="E76" s="18">
        <f t="shared" si="1"/>
        <v>2324982688724.1006</v>
      </c>
      <c r="F76" s="18">
        <f t="shared" si="0"/>
        <v>164717.01638463006</v>
      </c>
      <c r="G76" s="114">
        <f t="shared" si="2"/>
        <v>5.3441313663273871E-3</v>
      </c>
      <c r="I76" s="21" t="s">
        <v>531</v>
      </c>
      <c r="J76" s="24">
        <v>-5.4736202911857768E-2</v>
      </c>
    </row>
    <row r="77" spans="1:10" x14ac:dyDescent="0.25">
      <c r="A77" s="78">
        <v>40330</v>
      </c>
      <c r="B77" s="5">
        <f>+'[1]Graficos montos'!$A$8</f>
        <v>2010</v>
      </c>
      <c r="C77" s="9" t="s">
        <v>527</v>
      </c>
      <c r="D77" s="18">
        <f>+GETPIVOTDATA("Suma de Junio",$A$16,"Año",2010)</f>
        <v>205127044588.92007</v>
      </c>
      <c r="E77" s="18">
        <f t="shared" si="1"/>
        <v>2361629682965.7407</v>
      </c>
      <c r="F77" s="18">
        <f t="shared" si="0"/>
        <v>205127.04458892008</v>
      </c>
      <c r="G77" s="114">
        <f t="shared" si="2"/>
        <v>2.6514429054827371E-2</v>
      </c>
      <c r="I77" s="21" t="s">
        <v>530</v>
      </c>
      <c r="J77" s="24">
        <v>-3.1980702602433464E-2</v>
      </c>
    </row>
    <row r="78" spans="1:10" x14ac:dyDescent="0.25">
      <c r="A78" s="78">
        <v>40360</v>
      </c>
      <c r="B78" s="5">
        <f>+'[1]Graficos montos'!$A$8</f>
        <v>2010</v>
      </c>
      <c r="C78" s="9" t="s">
        <v>526</v>
      </c>
      <c r="D78" s="18">
        <f>+GETPIVOTDATA("Suma de Julio",$A$16,"Año",2010)</f>
        <v>194379535613.12003</v>
      </c>
      <c r="E78" s="18">
        <f t="shared" si="1"/>
        <v>2347751963785.3809</v>
      </c>
      <c r="F78" s="18">
        <f t="shared" si="0"/>
        <v>194379.53561312004</v>
      </c>
      <c r="G78" s="114">
        <f t="shared" si="2"/>
        <v>2.8081928505689691E-2</v>
      </c>
      <c r="I78" s="21" t="s">
        <v>529</v>
      </c>
      <c r="J78" s="24">
        <v>-1.0466447795631217E-2</v>
      </c>
    </row>
    <row r="79" spans="1:10" x14ac:dyDescent="0.25">
      <c r="A79" s="78">
        <v>40391</v>
      </c>
      <c r="B79" s="5">
        <f>+'[1]Graficos montos'!$A$8</f>
        <v>2010</v>
      </c>
      <c r="C79" s="9" t="s">
        <v>525</v>
      </c>
      <c r="D79" s="18">
        <f>+GETPIVOTDATA("Suma de Agosto",$A$16,"Año",2010)</f>
        <v>172359437535.27997</v>
      </c>
      <c r="E79" s="18">
        <f t="shared" si="1"/>
        <v>2369778512275.4604</v>
      </c>
      <c r="F79" s="18">
        <f t="shared" si="0"/>
        <v>172359.43753527995</v>
      </c>
      <c r="G79" s="114">
        <f t="shared" si="2"/>
        <v>4.5684189496488781E-2</v>
      </c>
      <c r="I79" s="21" t="s">
        <v>528</v>
      </c>
      <c r="J79" s="24">
        <v>5.3441313663273871E-3</v>
      </c>
    </row>
    <row r="80" spans="1:10" x14ac:dyDescent="0.25">
      <c r="A80" s="78">
        <v>40422</v>
      </c>
      <c r="B80" s="5">
        <f>+'[1]Graficos montos'!$A$8</f>
        <v>2010</v>
      </c>
      <c r="C80" s="9" t="s">
        <v>524</v>
      </c>
      <c r="D80" s="18">
        <f>+GETPIVOTDATA("Suma de Setiembre",$A$16,"Año",2010)</f>
        <v>231262777457.60999</v>
      </c>
      <c r="E80" s="18">
        <f t="shared" si="1"/>
        <v>2422491486930.5908</v>
      </c>
      <c r="F80" s="18">
        <f t="shared" si="0"/>
        <v>231262.77745760998</v>
      </c>
      <c r="G80" s="114">
        <f t="shared" si="2"/>
        <v>7.1587130878951744E-2</v>
      </c>
      <c r="I80" s="21" t="s">
        <v>527</v>
      </c>
      <c r="J80" s="24">
        <v>2.6514429054827371E-2</v>
      </c>
    </row>
    <row r="81" spans="1:10" x14ac:dyDescent="0.25">
      <c r="A81" s="78">
        <v>40452</v>
      </c>
      <c r="B81" s="5">
        <f>+'[1]Graficos montos'!$A$8</f>
        <v>2010</v>
      </c>
      <c r="C81" s="9" t="s">
        <v>523</v>
      </c>
      <c r="D81" s="18">
        <f>+GETPIVOTDATA("Suma de Octubre",$A$16,"Año",2010)</f>
        <v>197428490682.34003</v>
      </c>
      <c r="E81" s="18">
        <f t="shared" si="1"/>
        <v>2416420109685.0708</v>
      </c>
      <c r="F81" s="18">
        <f t="shared" si="0"/>
        <v>197428.49068234002</v>
      </c>
      <c r="G81" s="114">
        <f t="shared" si="2"/>
        <v>7.5385975651128589E-2</v>
      </c>
      <c r="I81" s="21" t="s">
        <v>526</v>
      </c>
      <c r="J81" s="24">
        <v>2.8081928505689691E-2</v>
      </c>
    </row>
    <row r="82" spans="1:10" x14ac:dyDescent="0.25">
      <c r="A82" s="78">
        <v>40483</v>
      </c>
      <c r="B82" s="5">
        <f>+'[1]Graficos montos'!$A$8</f>
        <v>2010</v>
      </c>
      <c r="C82" s="9" t="s">
        <v>522</v>
      </c>
      <c r="D82" s="18">
        <f>+GETPIVOTDATA("Suma de Noviembre",$A$16,"Año",2010)</f>
        <v>185419142398.91998</v>
      </c>
      <c r="E82" s="18">
        <f t="shared" si="1"/>
        <v>2439663331730.0503</v>
      </c>
      <c r="F82" s="18">
        <f t="shared" si="0"/>
        <v>185419.14239891997</v>
      </c>
      <c r="G82" s="114">
        <f t="shared" si="2"/>
        <v>8.3519039878299894E-2</v>
      </c>
      <c r="I82" s="21" t="s">
        <v>525</v>
      </c>
      <c r="J82" s="24">
        <v>4.5684189496488781E-2</v>
      </c>
    </row>
    <row r="83" spans="1:10" x14ac:dyDescent="0.25">
      <c r="A83" s="78">
        <v>40513</v>
      </c>
      <c r="B83" s="5">
        <f>+'[1]Graficos montos'!$A$8</f>
        <v>2010</v>
      </c>
      <c r="C83" s="9" t="s">
        <v>521</v>
      </c>
      <c r="D83" s="18">
        <f>+GETPIVOTDATA("Suma de Diciembre",$A$16,"Año",2010)</f>
        <v>345501648701.84003</v>
      </c>
      <c r="E83" s="18">
        <f t="shared" si="1"/>
        <v>2491652065547.0508</v>
      </c>
      <c r="F83" s="18">
        <f t="shared" si="0"/>
        <v>345501.64870184002</v>
      </c>
      <c r="G83" s="114">
        <f t="shared" si="2"/>
        <v>0.10138493653711733</v>
      </c>
      <c r="I83" s="21" t="s">
        <v>524</v>
      </c>
      <c r="J83" s="24">
        <v>7.1587130878951744E-2</v>
      </c>
    </row>
    <row r="84" spans="1:10" x14ac:dyDescent="0.25">
      <c r="A84" s="78">
        <v>40544</v>
      </c>
      <c r="B84" s="5">
        <f>+'[1]Graficos montos'!$A$9</f>
        <v>2011</v>
      </c>
      <c r="C84" s="9" t="s">
        <v>532</v>
      </c>
      <c r="D84" s="18">
        <f>+GETPIVOTDATA("Suma de Enero",$A$16,"Año",2011)</f>
        <v>204125487552.86996</v>
      </c>
      <c r="E84" s="18">
        <f t="shared" si="1"/>
        <v>2494595310737.2505</v>
      </c>
      <c r="F84" s="18">
        <f t="shared" si="0"/>
        <v>204125.48755286998</v>
      </c>
      <c r="G84" s="114">
        <f t="shared" si="2"/>
        <v>0.10115193994534155</v>
      </c>
      <c r="I84" s="21" t="s">
        <v>523</v>
      </c>
      <c r="J84" s="24">
        <v>7.5385975651128589E-2</v>
      </c>
    </row>
    <row r="85" spans="1:10" x14ac:dyDescent="0.25">
      <c r="A85" s="78">
        <v>40575</v>
      </c>
      <c r="B85" s="5">
        <f>+'[1]Graficos montos'!$A$9</f>
        <v>2011</v>
      </c>
      <c r="C85" s="9" t="s">
        <v>531</v>
      </c>
      <c r="D85" s="18">
        <f>+GETPIVOTDATA("Suma de Febrero",$A$16,"Año",2011)</f>
        <v>171540105737.41998</v>
      </c>
      <c r="E85" s="18">
        <f t="shared" si="1"/>
        <v>2509891935614.2505</v>
      </c>
      <c r="F85" s="18">
        <f t="shared" si="0"/>
        <v>171540.10573741997</v>
      </c>
      <c r="G85" s="114">
        <f t="shared" si="2"/>
        <v>0.106262234343937</v>
      </c>
      <c r="I85" s="21" t="s">
        <v>522</v>
      </c>
      <c r="J85" s="24">
        <v>8.3519039878299894E-2</v>
      </c>
    </row>
    <row r="86" spans="1:10" x14ac:dyDescent="0.25">
      <c r="A86" s="78">
        <v>40603</v>
      </c>
      <c r="B86" s="5">
        <f>+'[1]Graficos montos'!$A$9</f>
        <v>2011</v>
      </c>
      <c r="C86" s="9" t="s">
        <v>530</v>
      </c>
      <c r="D86" s="18">
        <f>+GETPIVOTDATA("Suma de Marzo",$A$16,"Año",2011)</f>
        <v>260213881923.81003</v>
      </c>
      <c r="E86" s="18">
        <f t="shared" si="1"/>
        <v>2508785898678.9902</v>
      </c>
      <c r="F86" s="18">
        <f t="shared" si="0"/>
        <v>260213.88192381003</v>
      </c>
      <c r="G86" s="114">
        <f t="shared" si="2"/>
        <v>8.926549842419651E-2</v>
      </c>
      <c r="I86" s="21" t="s">
        <v>521</v>
      </c>
      <c r="J86" s="24">
        <v>0.10138493653711733</v>
      </c>
    </row>
    <row r="87" spans="1:10" x14ac:dyDescent="0.25">
      <c r="A87" s="78">
        <v>40634</v>
      </c>
      <c r="B87" s="5">
        <f>+'[1]Graficos montos'!$A$9</f>
        <v>2011</v>
      </c>
      <c r="C87" s="9" t="s">
        <v>529</v>
      </c>
      <c r="D87" s="18">
        <f>+GETPIVOTDATA("Suma de Abril",$A$16,"Año",2011)</f>
        <v>200717296520.76001</v>
      </c>
      <c r="E87" s="18">
        <f t="shared" si="1"/>
        <v>2532791865097.5195</v>
      </c>
      <c r="F87" s="18">
        <f t="shared" si="0"/>
        <v>200717.29652076002</v>
      </c>
      <c r="G87" s="114">
        <f t="shared" si="2"/>
        <v>9.8007367017359126E-2</v>
      </c>
      <c r="I87" s="16">
        <v>2011</v>
      </c>
      <c r="J87" s="24">
        <v>1.2263841977986174</v>
      </c>
    </row>
    <row r="88" spans="1:10" x14ac:dyDescent="0.25">
      <c r="A88" s="78">
        <v>40664</v>
      </c>
      <c r="B88" s="5">
        <f>+'[1]Graficos montos'!$A$9</f>
        <v>2011</v>
      </c>
      <c r="C88" s="9" t="s">
        <v>528</v>
      </c>
      <c r="D88" s="18">
        <f>+GETPIVOTDATA("Suma de Mayo",$A$16,"Año",2011)</f>
        <v>181516340028.07993</v>
      </c>
      <c r="E88" s="18">
        <f t="shared" si="1"/>
        <v>2549591188740.9697</v>
      </c>
      <c r="F88" s="18">
        <f t="shared" si="0"/>
        <v>181516.34002807993</v>
      </c>
      <c r="G88" s="114">
        <f t="shared" si="2"/>
        <v>9.6606525763049511E-2</v>
      </c>
      <c r="I88" s="21" t="s">
        <v>532</v>
      </c>
      <c r="J88" s="24">
        <v>0.10115193994534155</v>
      </c>
    </row>
    <row r="89" spans="1:10" x14ac:dyDescent="0.25">
      <c r="A89" s="78">
        <v>40695</v>
      </c>
      <c r="B89" s="5">
        <f>+'[1]Graficos montos'!$A$9</f>
        <v>2011</v>
      </c>
      <c r="C89" s="9" t="s">
        <v>527</v>
      </c>
      <c r="D89" s="18">
        <f>+GETPIVOTDATA("Suma de Junio",$A$16,"Año",2011)</f>
        <v>257330366051.33002</v>
      </c>
      <c r="E89" s="18">
        <f t="shared" si="1"/>
        <v>2601794510203.3799</v>
      </c>
      <c r="F89" s="18">
        <f t="shared" si="0"/>
        <v>257330.36605133003</v>
      </c>
      <c r="G89" s="114">
        <f t="shared" si="2"/>
        <v>0.10169453279230445</v>
      </c>
      <c r="I89" s="21" t="s">
        <v>531</v>
      </c>
      <c r="J89" s="24">
        <v>0.106262234343937</v>
      </c>
    </row>
    <row r="90" spans="1:10" x14ac:dyDescent="0.25">
      <c r="A90" s="78">
        <v>40725</v>
      </c>
      <c r="B90" s="5">
        <f>+'[1]Graficos montos'!$A$9</f>
        <v>2011</v>
      </c>
      <c r="C90" s="9" t="s">
        <v>526</v>
      </c>
      <c r="D90" s="18">
        <f>+GETPIVOTDATA("Suma de Julio",$A$16,"Año",2011)</f>
        <v>199039718324.85004</v>
      </c>
      <c r="E90" s="18">
        <f t="shared" si="1"/>
        <v>2606454692915.1099</v>
      </c>
      <c r="F90" s="18">
        <f t="shared" si="0"/>
        <v>199039.71832485002</v>
      </c>
      <c r="G90" s="114">
        <f t="shared" si="2"/>
        <v>0.11019167830344889</v>
      </c>
      <c r="I90" s="21" t="s">
        <v>530</v>
      </c>
      <c r="J90" s="24">
        <v>8.926549842419651E-2</v>
      </c>
    </row>
    <row r="91" spans="1:10" x14ac:dyDescent="0.25">
      <c r="A91" s="78">
        <v>40756</v>
      </c>
      <c r="B91" s="5">
        <f>+'[1]Graficos montos'!$A$9</f>
        <v>2011</v>
      </c>
      <c r="C91" s="9" t="s">
        <v>525</v>
      </c>
      <c r="D91" s="18">
        <f>+GETPIVOTDATA("Suma de Agosto",$A$16,"Año",2011)</f>
        <v>196483633656.75998</v>
      </c>
      <c r="E91" s="18">
        <f t="shared" si="1"/>
        <v>2630578889036.5894</v>
      </c>
      <c r="F91" s="18">
        <f t="shared" si="0"/>
        <v>196483.63365675998</v>
      </c>
      <c r="G91" s="114">
        <f t="shared" ref="G91:G122" si="3">+E91/E79-1</f>
        <v>0.11005263800400833</v>
      </c>
      <c r="I91" s="21" t="s">
        <v>529</v>
      </c>
      <c r="J91" s="24">
        <v>9.8007367017359126E-2</v>
      </c>
    </row>
    <row r="92" spans="1:10" x14ac:dyDescent="0.25">
      <c r="A92" s="78">
        <v>40787</v>
      </c>
      <c r="B92" s="5">
        <f>+'[1]Graficos montos'!$A$9</f>
        <v>2011</v>
      </c>
      <c r="C92" s="9" t="s">
        <v>524</v>
      </c>
      <c r="D92" s="18">
        <f>+GETPIVOTDATA("Suma de Setiembre",$A$16,"Año",2011)</f>
        <v>256506666234.42999</v>
      </c>
      <c r="E92" s="18">
        <f t="shared" si="1"/>
        <v>2655822777813.4102</v>
      </c>
      <c r="F92" s="18">
        <f t="shared" si="0"/>
        <v>256506.66623442998</v>
      </c>
      <c r="G92" s="114">
        <f t="shared" si="3"/>
        <v>9.6318724809415501E-2</v>
      </c>
      <c r="I92" s="21" t="s">
        <v>528</v>
      </c>
      <c r="J92" s="24">
        <v>9.6606525763049511E-2</v>
      </c>
    </row>
    <row r="93" spans="1:10" x14ac:dyDescent="0.25">
      <c r="A93" s="78">
        <v>40817</v>
      </c>
      <c r="B93" s="5">
        <f>+'[1]Graficos montos'!$A$9</f>
        <v>2011</v>
      </c>
      <c r="C93" s="9" t="s">
        <v>523</v>
      </c>
      <c r="D93" s="18">
        <f>+GETPIVOTDATA("Suma de Octubre",$A$16,"Año",2011)</f>
        <v>205328557758.55005</v>
      </c>
      <c r="E93" s="18">
        <f t="shared" si="1"/>
        <v>2663722844889.6201</v>
      </c>
      <c r="F93" s="18">
        <f t="shared" si="0"/>
        <v>205328.55775855004</v>
      </c>
      <c r="G93" s="114">
        <f t="shared" si="3"/>
        <v>0.10234260765061265</v>
      </c>
      <c r="I93" s="21" t="s">
        <v>527</v>
      </c>
      <c r="J93" s="24">
        <v>0.10169453279230445</v>
      </c>
    </row>
    <row r="94" spans="1:10" x14ac:dyDescent="0.25">
      <c r="A94" s="78">
        <v>40848</v>
      </c>
      <c r="B94" s="5">
        <f>+'[1]Graficos montos'!$A$9</f>
        <v>2011</v>
      </c>
      <c r="C94" s="9" t="s">
        <v>522</v>
      </c>
      <c r="D94" s="18">
        <f>+GETPIVOTDATA("Suma de Noviembre",$A$16,"Año",2011)</f>
        <v>212757127103.90988</v>
      </c>
      <c r="E94" s="18">
        <f t="shared" si="1"/>
        <v>2691060829594.6099</v>
      </c>
      <c r="F94" s="18">
        <f t="shared" si="0"/>
        <v>212757.12710390988</v>
      </c>
      <c r="G94" s="114">
        <f t="shared" si="3"/>
        <v>0.10304597958042216</v>
      </c>
      <c r="I94" s="21" t="s">
        <v>526</v>
      </c>
      <c r="J94" s="24">
        <v>0.11019167830344889</v>
      </c>
    </row>
    <row r="95" spans="1:10" x14ac:dyDescent="0.25">
      <c r="A95" s="78">
        <v>40878</v>
      </c>
      <c r="B95" s="5">
        <f>+'[1]Graficos montos'!$A$9</f>
        <v>2011</v>
      </c>
      <c r="C95" s="9" t="s">
        <v>521</v>
      </c>
      <c r="D95" s="18">
        <f>+GETPIVOTDATA("Suma de Diciembre",$A$16,"Año",2011)</f>
        <v>423773731425.15997</v>
      </c>
      <c r="E95" s="18">
        <f t="shared" si="1"/>
        <v>2769332912317.9302</v>
      </c>
      <c r="F95" s="18">
        <f t="shared" si="0"/>
        <v>423773.73142515996</v>
      </c>
      <c r="G95" s="114">
        <f t="shared" si="3"/>
        <v>0.11144447116452172</v>
      </c>
      <c r="I95" s="21" t="s">
        <v>525</v>
      </c>
      <c r="J95" s="24">
        <v>0.11005263800400833</v>
      </c>
    </row>
    <row r="96" spans="1:10" x14ac:dyDescent="0.25">
      <c r="A96" s="78">
        <v>40909</v>
      </c>
      <c r="B96" s="5">
        <f>+'[1]Graficos montos'!$A$10</f>
        <v>2012</v>
      </c>
      <c r="C96" s="9" t="s">
        <v>532</v>
      </c>
      <c r="D96" s="18">
        <f>+GETPIVOTDATA("Suma de Enero",$A$16,"Año",2012)</f>
        <v>227157951183.03998</v>
      </c>
      <c r="E96" s="18">
        <f t="shared" si="1"/>
        <v>2792365375948.1001</v>
      </c>
      <c r="F96" s="18">
        <f t="shared" si="0"/>
        <v>227157.95118303999</v>
      </c>
      <c r="G96" s="114">
        <f t="shared" si="3"/>
        <v>0.11936608071424892</v>
      </c>
      <c r="I96" s="21" t="s">
        <v>524</v>
      </c>
      <c r="J96" s="24">
        <v>9.6318724809415501E-2</v>
      </c>
    </row>
    <row r="97" spans="1:10" x14ac:dyDescent="0.25">
      <c r="A97" s="78">
        <v>40940</v>
      </c>
      <c r="B97" s="5">
        <f>+'[1]Graficos montos'!$A$10</f>
        <v>2012</v>
      </c>
      <c r="C97" s="9" t="s">
        <v>531</v>
      </c>
      <c r="D97" s="18">
        <f>+GETPIVOTDATA("Suma de Febrero",$A$16,"Año",2012)</f>
        <v>185412398173.04996</v>
      </c>
      <c r="E97" s="18">
        <f t="shared" si="1"/>
        <v>2806237668383.73</v>
      </c>
      <c r="F97" s="18">
        <f t="shared" si="0"/>
        <v>185412.39817304997</v>
      </c>
      <c r="G97" s="114">
        <f t="shared" si="3"/>
        <v>0.11807111237120016</v>
      </c>
      <c r="I97" s="21" t="s">
        <v>523</v>
      </c>
      <c r="J97" s="24">
        <v>0.10234260765061265</v>
      </c>
    </row>
    <row r="98" spans="1:10" x14ac:dyDescent="0.25">
      <c r="A98" s="78">
        <v>40969</v>
      </c>
      <c r="B98" s="5">
        <f>+'[1]Graficos montos'!$A$10</f>
        <v>2012</v>
      </c>
      <c r="C98" s="9" t="s">
        <v>530</v>
      </c>
      <c r="D98" s="18">
        <f>+GETPIVOTDATA("Suma de Marzo",$A$16,"Año",2012)</f>
        <v>305618662721.17017</v>
      </c>
      <c r="E98" s="18">
        <f t="shared" si="1"/>
        <v>2851642449181.0898</v>
      </c>
      <c r="F98" s="18">
        <f t="shared" si="0"/>
        <v>305618.66272117017</v>
      </c>
      <c r="G98" s="114">
        <f t="shared" si="3"/>
        <v>0.13666233961320962</v>
      </c>
      <c r="I98" s="21" t="s">
        <v>522</v>
      </c>
      <c r="J98" s="24">
        <v>0.10304597958042216</v>
      </c>
    </row>
    <row r="99" spans="1:10" x14ac:dyDescent="0.25">
      <c r="A99" s="78">
        <v>41000</v>
      </c>
      <c r="B99" s="5">
        <f>+'[1]Graficos montos'!$A$10</f>
        <v>2012</v>
      </c>
      <c r="C99" s="9" t="s">
        <v>529</v>
      </c>
      <c r="D99" s="18">
        <f>+GETPIVOTDATA("Suma de Abril",$A$16,"Año",2012)</f>
        <v>210588816448.71002</v>
      </c>
      <c r="E99" s="18">
        <f t="shared" si="1"/>
        <v>2861513969109.04</v>
      </c>
      <c r="F99" s="18">
        <f t="shared" si="0"/>
        <v>210588.81644871001</v>
      </c>
      <c r="G99" s="114">
        <f t="shared" si="3"/>
        <v>0.1297864654973786</v>
      </c>
      <c r="I99" s="21" t="s">
        <v>521</v>
      </c>
      <c r="J99" s="24">
        <v>0.11144447116452172</v>
      </c>
    </row>
    <row r="100" spans="1:10" x14ac:dyDescent="0.25">
      <c r="A100" s="78">
        <v>41030</v>
      </c>
      <c r="B100" s="5">
        <f>+'[1]Graficos montos'!$A$10</f>
        <v>2012</v>
      </c>
      <c r="C100" s="9" t="s">
        <v>528</v>
      </c>
      <c r="D100" s="18">
        <f>+GETPIVOTDATA("Suma de Mayo",$A$16,"Año",2012)</f>
        <v>220598864201.06</v>
      </c>
      <c r="E100" s="18">
        <f t="shared" si="1"/>
        <v>2900596493282.02</v>
      </c>
      <c r="F100" s="18">
        <f t="shared" si="0"/>
        <v>220598.86420106</v>
      </c>
      <c r="G100" s="114">
        <f t="shared" si="3"/>
        <v>0.13767121022817097</v>
      </c>
      <c r="I100" s="16">
        <v>2012</v>
      </c>
      <c r="J100" s="24">
        <v>1.4462615297485886</v>
      </c>
    </row>
    <row r="101" spans="1:10" x14ac:dyDescent="0.25">
      <c r="A101" s="78">
        <v>41061</v>
      </c>
      <c r="B101" s="5">
        <f>+'[1]Graficos montos'!$A$10</f>
        <v>2012</v>
      </c>
      <c r="C101" s="9" t="s">
        <v>527</v>
      </c>
      <c r="D101" s="18">
        <f>+GETPIVOTDATA("Suma de Junio",$A$16,"Año",2012)</f>
        <v>275872715727.67004</v>
      </c>
      <c r="E101" s="18">
        <f t="shared" si="1"/>
        <v>2919138842958.3599</v>
      </c>
      <c r="F101" s="18">
        <f t="shared" ref="F101:F164" si="4">+D101/1000000</f>
        <v>275872.71572767006</v>
      </c>
      <c r="G101" s="114">
        <f t="shared" si="3"/>
        <v>0.12197132844675473</v>
      </c>
      <c r="I101" s="21" t="s">
        <v>532</v>
      </c>
      <c r="J101" s="24">
        <v>0.11936608071424892</v>
      </c>
    </row>
    <row r="102" spans="1:10" x14ac:dyDescent="0.25">
      <c r="A102" s="78">
        <v>41091</v>
      </c>
      <c r="B102" s="5">
        <f>+'[1]Graficos montos'!$A$10</f>
        <v>2012</v>
      </c>
      <c r="C102" s="9" t="s">
        <v>526</v>
      </c>
      <c r="D102" s="18">
        <f>+GETPIVOTDATA("Suma de Julio",$A$16,"Año",2012)</f>
        <v>215947154566.69992</v>
      </c>
      <c r="E102" s="18">
        <f t="shared" si="1"/>
        <v>2936046279200.21</v>
      </c>
      <c r="F102" s="18">
        <f t="shared" si="4"/>
        <v>215947.15456669993</v>
      </c>
      <c r="G102" s="114">
        <f t="shared" si="3"/>
        <v>0.1264520680835155</v>
      </c>
      <c r="I102" s="21" t="s">
        <v>531</v>
      </c>
      <c r="J102" s="24">
        <v>0.11807111237120016</v>
      </c>
    </row>
    <row r="103" spans="1:10" x14ac:dyDescent="0.25">
      <c r="A103" s="78">
        <v>41122</v>
      </c>
      <c r="B103" s="5">
        <f>+'[1]Graficos montos'!$A$10</f>
        <v>2012</v>
      </c>
      <c r="C103" s="9" t="s">
        <v>525</v>
      </c>
      <c r="D103" s="18">
        <f>+GETPIVOTDATA("Suma de Agosto",$A$16,"Año",2012)</f>
        <v>203664940370.93997</v>
      </c>
      <c r="E103" s="18">
        <f t="shared" si="1"/>
        <v>2943227585914.3896</v>
      </c>
      <c r="F103" s="18">
        <f t="shared" si="4"/>
        <v>203664.94037093996</v>
      </c>
      <c r="G103" s="114">
        <f t="shared" si="3"/>
        <v>0.11885167108305317</v>
      </c>
      <c r="I103" s="21" t="s">
        <v>530</v>
      </c>
      <c r="J103" s="24">
        <v>0.13666233961320962</v>
      </c>
    </row>
    <row r="104" spans="1:10" x14ac:dyDescent="0.25">
      <c r="A104" s="78">
        <v>41153</v>
      </c>
      <c r="B104" s="5">
        <f>+'[1]Graficos montos'!$A$10</f>
        <v>2012</v>
      </c>
      <c r="C104" s="9" t="s">
        <v>524</v>
      </c>
      <c r="D104" s="18">
        <f>+GETPIVOTDATA("Suma de Setiembre",$A$16,"Año",2012)</f>
        <v>279408024113.06995</v>
      </c>
      <c r="E104" s="18">
        <f t="shared" si="1"/>
        <v>2966128943793.0298</v>
      </c>
      <c r="F104" s="18">
        <f t="shared" si="4"/>
        <v>279408.02411306993</v>
      </c>
      <c r="G104" s="114">
        <f t="shared" si="3"/>
        <v>0.116839936976179</v>
      </c>
      <c r="I104" s="21" t="s">
        <v>529</v>
      </c>
      <c r="J104" s="24">
        <v>0.1297864654973786</v>
      </c>
    </row>
    <row r="105" spans="1:10" x14ac:dyDescent="0.25">
      <c r="A105" s="78">
        <v>41183</v>
      </c>
      <c r="B105" s="5">
        <f>+'[1]Graficos montos'!$A$10</f>
        <v>2012</v>
      </c>
      <c r="C105" s="9" t="s">
        <v>523</v>
      </c>
      <c r="D105" s="18">
        <f>+GETPIVOTDATA("Suma de Octubre",$A$16,"Año",2012)</f>
        <v>222141670845.63998</v>
      </c>
      <c r="E105" s="18">
        <f t="shared" si="1"/>
        <v>2982942056880.1196</v>
      </c>
      <c r="F105" s="18">
        <f t="shared" si="4"/>
        <v>222141.67084563998</v>
      </c>
      <c r="G105" s="114">
        <f t="shared" si="3"/>
        <v>0.11983949929435211</v>
      </c>
      <c r="I105" s="21" t="s">
        <v>528</v>
      </c>
      <c r="J105" s="24">
        <v>0.13767121022817097</v>
      </c>
    </row>
    <row r="106" spans="1:10" x14ac:dyDescent="0.25">
      <c r="A106" s="78">
        <v>41214</v>
      </c>
      <c r="B106" s="5">
        <f>+'[1]Graficos montos'!$A$10</f>
        <v>2012</v>
      </c>
      <c r="C106" s="9" t="s">
        <v>522</v>
      </c>
      <c r="D106" s="18">
        <f>+GETPIVOTDATA("Suma de Noviembre",$A$16,"Año",2012)</f>
        <v>229260026201.52002</v>
      </c>
      <c r="E106" s="18">
        <f t="shared" si="1"/>
        <v>2999444955977.73</v>
      </c>
      <c r="F106" s="18">
        <f t="shared" si="4"/>
        <v>229260.02620152003</v>
      </c>
      <c r="G106" s="114">
        <f t="shared" si="3"/>
        <v>0.1145957471461454</v>
      </c>
      <c r="I106" s="21" t="s">
        <v>527</v>
      </c>
      <c r="J106" s="24">
        <v>0.12197132844675473</v>
      </c>
    </row>
    <row r="107" spans="1:10" x14ac:dyDescent="0.25">
      <c r="A107" s="78">
        <v>41244</v>
      </c>
      <c r="B107" s="5">
        <f>+'[1]Graficos montos'!$A$10</f>
        <v>2012</v>
      </c>
      <c r="C107" s="9" t="s">
        <v>521</v>
      </c>
      <c r="D107" s="18">
        <f>+GETPIVOTDATA("Suma de Diciembre",$A$16,"Año",2012)</f>
        <v>432250990161.73993</v>
      </c>
      <c r="E107" s="18">
        <f t="shared" si="1"/>
        <v>3007922214714.3101</v>
      </c>
      <c r="F107" s="18">
        <f t="shared" si="4"/>
        <v>432250.99016173993</v>
      </c>
      <c r="G107" s="114">
        <f t="shared" si="3"/>
        <v>8.615407029438038E-2</v>
      </c>
      <c r="I107" s="21" t="s">
        <v>526</v>
      </c>
      <c r="J107" s="24">
        <v>0.1264520680835155</v>
      </c>
    </row>
    <row r="108" spans="1:10" x14ac:dyDescent="0.25">
      <c r="A108" s="78">
        <v>41275</v>
      </c>
      <c r="B108" s="5">
        <f>+'[1]Graficos montos'!$A$11</f>
        <v>2013</v>
      </c>
      <c r="C108" s="9" t="s">
        <v>532</v>
      </c>
      <c r="D108" s="18">
        <f>+GETPIVOTDATA("Suma de Enero",$A$16,"Año",2013)</f>
        <v>250360150464.03</v>
      </c>
      <c r="E108" s="18">
        <f t="shared" si="1"/>
        <v>3031124413995.2998</v>
      </c>
      <c r="F108" s="18">
        <f t="shared" si="4"/>
        <v>250360.15046403001</v>
      </c>
      <c r="G108" s="114">
        <f t="shared" si="3"/>
        <v>8.5504225236331388E-2</v>
      </c>
      <c r="I108" s="21" t="s">
        <v>525</v>
      </c>
      <c r="J108" s="24">
        <v>0.11885167108305317</v>
      </c>
    </row>
    <row r="109" spans="1:10" x14ac:dyDescent="0.25">
      <c r="A109" s="78">
        <v>41306</v>
      </c>
      <c r="B109" s="5">
        <f>+'[1]Graficos montos'!$A$11</f>
        <v>2013</v>
      </c>
      <c r="C109" s="9" t="s">
        <v>531</v>
      </c>
      <c r="D109" s="18">
        <f>+GETPIVOTDATA("Suma de Febrero",$A$16,"Año",2013)</f>
        <v>232209812950.87006</v>
      </c>
      <c r="E109" s="18">
        <f t="shared" si="1"/>
        <v>3077921828773.1196</v>
      </c>
      <c r="F109" s="18">
        <f t="shared" si="4"/>
        <v>232209.81295087005</v>
      </c>
      <c r="G109" s="114">
        <f t="shared" si="3"/>
        <v>9.6814380139750522E-2</v>
      </c>
      <c r="I109" s="21" t="s">
        <v>524</v>
      </c>
      <c r="J109" s="24">
        <v>0.116839936976179</v>
      </c>
    </row>
    <row r="110" spans="1:10" x14ac:dyDescent="0.25">
      <c r="A110" s="78">
        <v>41334</v>
      </c>
      <c r="B110" s="5">
        <f>+'[1]Graficos montos'!$A$11</f>
        <v>2013</v>
      </c>
      <c r="C110" s="9" t="s">
        <v>530</v>
      </c>
      <c r="D110" s="18">
        <f>+GETPIVOTDATA("Suma de Marzo",$A$16,"Año",2013)</f>
        <v>317725881116.13</v>
      </c>
      <c r="E110" s="18">
        <f t="shared" si="1"/>
        <v>3090029047168.0796</v>
      </c>
      <c r="F110" s="18">
        <f t="shared" si="4"/>
        <v>317725.88111612998</v>
      </c>
      <c r="G110" s="114">
        <f t="shared" si="3"/>
        <v>8.3596244001574505E-2</v>
      </c>
      <c r="I110" s="21" t="s">
        <v>523</v>
      </c>
      <c r="J110" s="24">
        <v>0.11983949929435211</v>
      </c>
    </row>
    <row r="111" spans="1:10" x14ac:dyDescent="0.25">
      <c r="A111" s="78">
        <v>41365</v>
      </c>
      <c r="B111" s="5">
        <f>+'[1]Graficos montos'!$A$11</f>
        <v>2013</v>
      </c>
      <c r="C111" s="9" t="s">
        <v>529</v>
      </c>
      <c r="D111" s="18">
        <f>+GETPIVOTDATA("Suma de Abril",$A$16,"Año",2013)</f>
        <v>247510351446.70996</v>
      </c>
      <c r="E111" s="18">
        <f t="shared" si="1"/>
        <v>3126950582166.0796</v>
      </c>
      <c r="F111" s="18">
        <f t="shared" si="4"/>
        <v>247510.35144670997</v>
      </c>
      <c r="G111" s="114">
        <f t="shared" si="3"/>
        <v>9.2760900670943114E-2</v>
      </c>
      <c r="I111" s="21" t="s">
        <v>522</v>
      </c>
      <c r="J111" s="24">
        <v>0.1145957471461454</v>
      </c>
    </row>
    <row r="112" spans="1:10" x14ac:dyDescent="0.25">
      <c r="A112" s="78">
        <v>41395</v>
      </c>
      <c r="B112" s="5">
        <f>+'[1]Graficos montos'!$A$11</f>
        <v>2013</v>
      </c>
      <c r="C112" s="9" t="s">
        <v>528</v>
      </c>
      <c r="D112" s="18">
        <f>+GETPIVOTDATA("Suma de Mayo",$A$16,"Año",2013)</f>
        <v>212876300248.79001</v>
      </c>
      <c r="E112" s="18">
        <f t="shared" si="1"/>
        <v>3119228018213.8096</v>
      </c>
      <c r="F112" s="18">
        <f t="shared" si="4"/>
        <v>212876.30024879001</v>
      </c>
      <c r="G112" s="114">
        <f t="shared" si="3"/>
        <v>7.537467739416881E-2</v>
      </c>
      <c r="I112" s="21" t="s">
        <v>521</v>
      </c>
      <c r="J112" s="24">
        <v>8.615407029438038E-2</v>
      </c>
    </row>
    <row r="113" spans="1:10" x14ac:dyDescent="0.25">
      <c r="A113" s="78">
        <v>41426</v>
      </c>
      <c r="B113" s="5">
        <f>+'[1]Graficos montos'!$A$11</f>
        <v>2013</v>
      </c>
      <c r="C113" s="9" t="s">
        <v>527</v>
      </c>
      <c r="D113" s="18">
        <f>+GETPIVOTDATA("Suma de Junio",$A$16,"Año",2013)</f>
        <v>287917144769.07001</v>
      </c>
      <c r="E113" s="18">
        <f>+SUM(D102:D113)</f>
        <v>3131272447255.21</v>
      </c>
      <c r="F113" s="18">
        <f t="shared" si="4"/>
        <v>287917.14476907003</v>
      </c>
      <c r="G113" s="114">
        <f t="shared" si="3"/>
        <v>7.2669926203943858E-2</v>
      </c>
      <c r="I113" s="16">
        <v>2013</v>
      </c>
      <c r="J113" s="24">
        <v>1.0096212541757412</v>
      </c>
    </row>
    <row r="114" spans="1:10" x14ac:dyDescent="0.25">
      <c r="A114" s="78">
        <v>41456</v>
      </c>
      <c r="B114" s="5">
        <f>+'[1]Graficos montos'!$A$11</f>
        <v>2013</v>
      </c>
      <c r="C114" s="9" t="s">
        <v>526</v>
      </c>
      <c r="D114" s="18">
        <f>+GETPIVOTDATA("Suma de Julio",$A$16,"Año",2013)</f>
        <v>255512775129.06003</v>
      </c>
      <c r="E114" s="18">
        <f t="shared" ref="E114:E172" si="5">+SUM(D103:D114)</f>
        <v>3170838067817.5698</v>
      </c>
      <c r="F114" s="18">
        <f t="shared" si="4"/>
        <v>255512.77512906003</v>
      </c>
      <c r="G114" s="114">
        <f t="shared" si="3"/>
        <v>7.9968694730969236E-2</v>
      </c>
      <c r="I114" s="21" t="s">
        <v>532</v>
      </c>
      <c r="J114" s="24">
        <v>8.5504225236331388E-2</v>
      </c>
    </row>
    <row r="115" spans="1:10" x14ac:dyDescent="0.25">
      <c r="A115" s="78">
        <v>41487</v>
      </c>
      <c r="B115" s="5">
        <f>+'[1]Graficos montos'!$A$11</f>
        <v>2013</v>
      </c>
      <c r="C115" s="9" t="s">
        <v>525</v>
      </c>
      <c r="D115" s="18">
        <f>+GETPIVOTDATA("Suma de Agosto",$A$16,"Año",2013)</f>
        <v>218786279255.13998</v>
      </c>
      <c r="E115" s="18">
        <f t="shared" si="5"/>
        <v>3185959406701.77</v>
      </c>
      <c r="F115" s="18">
        <f t="shared" si="4"/>
        <v>218786.27925513999</v>
      </c>
      <c r="G115" s="114">
        <f t="shared" si="3"/>
        <v>8.247130529390212E-2</v>
      </c>
      <c r="I115" s="21" t="s">
        <v>531</v>
      </c>
      <c r="J115" s="24">
        <v>9.6814380139750522E-2</v>
      </c>
    </row>
    <row r="116" spans="1:10" x14ac:dyDescent="0.25">
      <c r="A116" s="78">
        <v>41518</v>
      </c>
      <c r="B116" s="5">
        <f>+'[1]Graficos montos'!$A$11</f>
        <v>2013</v>
      </c>
      <c r="C116" s="9" t="s">
        <v>524</v>
      </c>
      <c r="D116" s="18">
        <f>+GETPIVOTDATA("Suma de Setiembre",$A$16,"Año",2013)</f>
        <v>298722890610.70996</v>
      </c>
      <c r="E116" s="18">
        <f t="shared" si="5"/>
        <v>3205274273199.4102</v>
      </c>
      <c r="F116" s="18">
        <f t="shared" si="4"/>
        <v>298722.89061070996</v>
      </c>
      <c r="G116" s="114">
        <f t="shared" si="3"/>
        <v>8.0625398941883475E-2</v>
      </c>
      <c r="I116" s="21" t="s">
        <v>530</v>
      </c>
      <c r="J116" s="24">
        <v>8.3596244001574505E-2</v>
      </c>
    </row>
    <row r="117" spans="1:10" x14ac:dyDescent="0.25">
      <c r="A117" s="78">
        <v>41548</v>
      </c>
      <c r="B117" s="5">
        <f>+'[1]Graficos montos'!$A$11</f>
        <v>2013</v>
      </c>
      <c r="C117" s="9" t="s">
        <v>523</v>
      </c>
      <c r="D117" s="18">
        <f>+GETPIVOTDATA("Suma de Octubre",$A$16,"Año",2013)</f>
        <v>251521232460.92001</v>
      </c>
      <c r="E117" s="18">
        <f t="shared" si="5"/>
        <v>3234653834814.6899</v>
      </c>
      <c r="F117" s="18">
        <f t="shared" si="4"/>
        <v>251521.23246092</v>
      </c>
      <c r="G117" s="114">
        <f t="shared" si="3"/>
        <v>8.4383730268578372E-2</v>
      </c>
      <c r="I117" s="21" t="s">
        <v>529</v>
      </c>
      <c r="J117" s="24">
        <v>9.2760900670943114E-2</v>
      </c>
    </row>
    <row r="118" spans="1:10" x14ac:dyDescent="0.25">
      <c r="A118" s="78">
        <v>41579</v>
      </c>
      <c r="B118" s="5">
        <f>+'[1]Graficos montos'!$A$11</f>
        <v>2013</v>
      </c>
      <c r="C118" s="9" t="s">
        <v>522</v>
      </c>
      <c r="D118" s="18">
        <f>+GETPIVOTDATA("Suma de Noviembre",$A$16,"Año",2013)</f>
        <v>236723941037.69995</v>
      </c>
      <c r="E118" s="18">
        <f t="shared" si="5"/>
        <v>3242117749650.8701</v>
      </c>
      <c r="F118" s="18">
        <f t="shared" si="4"/>
        <v>236723.94103769996</v>
      </c>
      <c r="G118" s="114">
        <f t="shared" si="3"/>
        <v>8.0905900003101161E-2</v>
      </c>
      <c r="I118" s="21" t="s">
        <v>528</v>
      </c>
      <c r="J118" s="24">
        <v>7.537467739416881E-2</v>
      </c>
    </row>
    <row r="119" spans="1:10" x14ac:dyDescent="0.25">
      <c r="A119" s="79">
        <v>41609</v>
      </c>
      <c r="B119" s="80">
        <f>+'[1]Graficos montos'!$A$11</f>
        <v>2013</v>
      </c>
      <c r="C119" s="81" t="s">
        <v>521</v>
      </c>
      <c r="D119" s="83">
        <f>+GETPIVOTDATA("Suma de Diciembre",$A$16,"Año",2013)</f>
        <v>482442081789.67993</v>
      </c>
      <c r="E119" s="83">
        <f t="shared" si="5"/>
        <v>3292308841278.8096</v>
      </c>
      <c r="F119" s="83">
        <f t="shared" si="4"/>
        <v>482442.08178967994</v>
      </c>
      <c r="G119" s="172">
        <f t="shared" si="3"/>
        <v>9.4545871290594663E-2</v>
      </c>
      <c r="I119" s="21" t="s">
        <v>527</v>
      </c>
      <c r="J119" s="24">
        <v>7.2669926203943858E-2</v>
      </c>
    </row>
    <row r="120" spans="1:10" x14ac:dyDescent="0.25">
      <c r="A120" s="78">
        <v>41640</v>
      </c>
      <c r="B120" s="5">
        <f>+'[1]Graficos montos'!$A$12</f>
        <v>2014</v>
      </c>
      <c r="C120" s="9" t="s">
        <v>532</v>
      </c>
      <c r="D120" s="18">
        <f>+GETPIVOTDATA("Suma de Enero",$A$16,"Año",2014)</f>
        <v>274155135531.79004</v>
      </c>
      <c r="E120" s="18">
        <f t="shared" si="5"/>
        <v>3316103826346.5693</v>
      </c>
      <c r="F120" s="18">
        <f t="shared" si="4"/>
        <v>274155.13553179003</v>
      </c>
      <c r="G120" s="114">
        <f t="shared" si="3"/>
        <v>9.4017721950132804E-2</v>
      </c>
      <c r="I120" s="21" t="s">
        <v>526</v>
      </c>
      <c r="J120" s="24">
        <v>7.9968694730969236E-2</v>
      </c>
    </row>
    <row r="121" spans="1:10" x14ac:dyDescent="0.25">
      <c r="A121" s="78">
        <v>41671</v>
      </c>
      <c r="B121" s="5">
        <f>+'[1]Graficos montos'!$A$12</f>
        <v>2014</v>
      </c>
      <c r="C121" s="9" t="s">
        <v>531</v>
      </c>
      <c r="D121" s="18">
        <f>+GETPIVOTDATA("Suma de Febrero",$A$16,"Año",2014)</f>
        <v>230660033237.29999</v>
      </c>
      <c r="E121" s="18">
        <f t="shared" si="5"/>
        <v>3314554046632.999</v>
      </c>
      <c r="F121" s="18">
        <f t="shared" si="4"/>
        <v>230660.0332373</v>
      </c>
      <c r="G121" s="114">
        <f t="shared" si="3"/>
        <v>7.6880515823302353E-2</v>
      </c>
      <c r="I121" s="21" t="s">
        <v>525</v>
      </c>
      <c r="J121" s="24">
        <v>8.247130529390212E-2</v>
      </c>
    </row>
    <row r="122" spans="1:10" x14ac:dyDescent="0.25">
      <c r="A122" s="78">
        <v>41699</v>
      </c>
      <c r="B122" s="5">
        <f>+'[1]Graficos montos'!$A$12</f>
        <v>2014</v>
      </c>
      <c r="C122" s="9" t="s">
        <v>530</v>
      </c>
      <c r="D122" s="18">
        <f>+GETPIVOTDATA("Suma de Marzo",$A$16,"Año",2014)</f>
        <v>346225815145.28998</v>
      </c>
      <c r="E122" s="18">
        <f t="shared" si="5"/>
        <v>3343053980662.1597</v>
      </c>
      <c r="F122" s="18">
        <f t="shared" si="4"/>
        <v>346225.81514528999</v>
      </c>
      <c r="G122" s="114">
        <f t="shared" si="3"/>
        <v>8.1884322002076404E-2</v>
      </c>
      <c r="I122" s="21" t="s">
        <v>524</v>
      </c>
      <c r="J122" s="24">
        <v>8.0625398941883475E-2</v>
      </c>
    </row>
    <row r="123" spans="1:10" x14ac:dyDescent="0.25">
      <c r="A123" s="78">
        <v>41730</v>
      </c>
      <c r="B123" s="5">
        <f>+'[1]Graficos montos'!$A$12</f>
        <v>2014</v>
      </c>
      <c r="C123" s="9" t="s">
        <v>529</v>
      </c>
      <c r="D123" s="18">
        <f>+GETPIVOTDATA("Suma de Abril",$A$16,"Año",2014)</f>
        <v>281705580262.70001</v>
      </c>
      <c r="E123" s="18">
        <f t="shared" si="5"/>
        <v>3377249209478.1499</v>
      </c>
      <c r="F123" s="18">
        <f t="shared" si="4"/>
        <v>281705.58026270004</v>
      </c>
      <c r="G123" s="114">
        <f t="shared" ref="G123:G154" si="6">+E123/E111-1</f>
        <v>8.0045597375154376E-2</v>
      </c>
      <c r="I123" s="21" t="s">
        <v>523</v>
      </c>
      <c r="J123" s="24">
        <v>8.4383730268578372E-2</v>
      </c>
    </row>
    <row r="124" spans="1:10" x14ac:dyDescent="0.25">
      <c r="A124" s="78">
        <v>41760</v>
      </c>
      <c r="B124" s="5">
        <f>+'[1]Graficos montos'!$A$12</f>
        <v>2014</v>
      </c>
      <c r="C124" s="9" t="s">
        <v>528</v>
      </c>
      <c r="D124" s="18">
        <f>+GETPIVOTDATA("Suma de Mayo",$A$16,"Año",2014)</f>
        <v>233846507399.95999</v>
      </c>
      <c r="E124" s="18">
        <f t="shared" si="5"/>
        <v>3398219416629.3198</v>
      </c>
      <c r="F124" s="18">
        <f t="shared" si="4"/>
        <v>233846.50739995998</v>
      </c>
      <c r="G124" s="114">
        <f t="shared" si="6"/>
        <v>8.9442450755899294E-2</v>
      </c>
      <c r="I124" s="21" t="s">
        <v>522</v>
      </c>
      <c r="J124" s="24">
        <v>8.0905900003101161E-2</v>
      </c>
    </row>
    <row r="125" spans="1:10" x14ac:dyDescent="0.25">
      <c r="A125" s="78">
        <v>41791</v>
      </c>
      <c r="B125" s="5">
        <f>+'[1]Graficos montos'!$A$12</f>
        <v>2014</v>
      </c>
      <c r="C125" s="9" t="s">
        <v>527</v>
      </c>
      <c r="D125" s="18">
        <f>+GETPIVOTDATA("Suma de Junio",$A$16,"Año",2014)</f>
        <v>307525011818.74994</v>
      </c>
      <c r="E125" s="18">
        <f t="shared" si="5"/>
        <v>3417827283679</v>
      </c>
      <c r="F125" s="18">
        <f t="shared" si="4"/>
        <v>307525.01181874995</v>
      </c>
      <c r="G125" s="114">
        <f t="shared" si="6"/>
        <v>9.151386257525318E-2</v>
      </c>
      <c r="I125" s="21" t="s">
        <v>521</v>
      </c>
      <c r="J125" s="24">
        <v>9.4545871290594663E-2</v>
      </c>
    </row>
    <row r="126" spans="1:10" x14ac:dyDescent="0.25">
      <c r="A126" s="78">
        <v>41821</v>
      </c>
      <c r="B126" s="5">
        <f>+'[1]Graficos montos'!$A$12</f>
        <v>2014</v>
      </c>
      <c r="C126" s="9" t="s">
        <v>526</v>
      </c>
      <c r="D126" s="18">
        <f>+GETPIVOTDATA("Suma de Julio",$A$16,"Año",2014)</f>
        <v>260237241275.96997</v>
      </c>
      <c r="E126" s="18">
        <f t="shared" si="5"/>
        <v>3422551749825.9102</v>
      </c>
      <c r="F126" s="18">
        <f t="shared" si="4"/>
        <v>260237.24127596998</v>
      </c>
      <c r="G126" s="114">
        <f t="shared" si="6"/>
        <v>7.9383959894738565E-2</v>
      </c>
      <c r="I126" s="16">
        <v>2014</v>
      </c>
      <c r="J126" s="24">
        <v>0.97810800404782317</v>
      </c>
    </row>
    <row r="127" spans="1:10" x14ac:dyDescent="0.25">
      <c r="A127" s="78">
        <v>41852</v>
      </c>
      <c r="B127" s="5">
        <f>+'[1]Graficos montos'!$A$12</f>
        <v>2014</v>
      </c>
      <c r="C127" s="9" t="s">
        <v>525</v>
      </c>
      <c r="D127" s="18">
        <f>+GETPIVOTDATA("Suma de Agosto",$A$16,"Año",2014)</f>
        <v>232911660935.10999</v>
      </c>
      <c r="E127" s="18">
        <f t="shared" si="5"/>
        <v>3436677131505.8794</v>
      </c>
      <c r="F127" s="18">
        <f t="shared" si="4"/>
        <v>232911.66093510998</v>
      </c>
      <c r="G127" s="114">
        <f t="shared" si="6"/>
        <v>7.8694576044100462E-2</v>
      </c>
      <c r="I127" s="21" t="s">
        <v>532</v>
      </c>
      <c r="J127" s="24">
        <v>9.4017721950132804E-2</v>
      </c>
    </row>
    <row r="128" spans="1:10" x14ac:dyDescent="0.25">
      <c r="A128" s="78">
        <v>41883</v>
      </c>
      <c r="B128" s="5">
        <f>+'[1]Graficos montos'!$A$12</f>
        <v>2014</v>
      </c>
      <c r="C128" s="9" t="s">
        <v>524</v>
      </c>
      <c r="D128" s="18">
        <f>+GETPIVOTDATA("Suma de Setiembre",$A$16,"Año",2014)</f>
        <v>328025410780.56995</v>
      </c>
      <c r="E128" s="18">
        <f t="shared" si="5"/>
        <v>3465979651675.7393</v>
      </c>
      <c r="F128" s="18">
        <f t="shared" si="4"/>
        <v>328025.41078056995</v>
      </c>
      <c r="G128" s="114">
        <f t="shared" si="6"/>
        <v>8.1336371322788814E-2</v>
      </c>
      <c r="I128" s="21" t="s">
        <v>531</v>
      </c>
      <c r="J128" s="24">
        <v>7.6880515823302353E-2</v>
      </c>
    </row>
    <row r="129" spans="1:10" x14ac:dyDescent="0.25">
      <c r="A129" s="78">
        <v>41913</v>
      </c>
      <c r="B129" s="5">
        <f>+'[1]Graficos montos'!$A$12</f>
        <v>2014</v>
      </c>
      <c r="C129" s="9" t="s">
        <v>523</v>
      </c>
      <c r="D129" s="18">
        <f>+GETPIVOTDATA("Suma de Octubre",$A$16,"Año",2014)</f>
        <v>264871586222.80002</v>
      </c>
      <c r="E129" s="18">
        <f t="shared" si="5"/>
        <v>3479330005437.6191</v>
      </c>
      <c r="F129" s="18">
        <f t="shared" si="4"/>
        <v>264871.58622280002</v>
      </c>
      <c r="G129" s="114">
        <f t="shared" si="6"/>
        <v>7.5642150016014487E-2</v>
      </c>
      <c r="I129" s="21" t="s">
        <v>530</v>
      </c>
      <c r="J129" s="24">
        <v>8.1884322002076182E-2</v>
      </c>
    </row>
    <row r="130" spans="1:10" x14ac:dyDescent="0.25">
      <c r="A130" s="78">
        <v>41944</v>
      </c>
      <c r="B130" s="5">
        <f>+'[1]Graficos montos'!$A$12</f>
        <v>2014</v>
      </c>
      <c r="C130" s="9" t="s">
        <v>522</v>
      </c>
      <c r="D130" s="18">
        <f>+GETPIVOTDATA("Suma de Noviembre",$A$16,"Año",2014)</f>
        <v>256825903691.15002</v>
      </c>
      <c r="E130" s="18">
        <f t="shared" si="5"/>
        <v>3499431968091.0693</v>
      </c>
      <c r="F130" s="18">
        <f t="shared" si="4"/>
        <v>256825.90369115002</v>
      </c>
      <c r="G130" s="114">
        <f t="shared" si="6"/>
        <v>7.9366092877998673E-2</v>
      </c>
      <c r="I130" s="21" t="s">
        <v>529</v>
      </c>
      <c r="J130" s="24">
        <v>8.0045597375154376E-2</v>
      </c>
    </row>
    <row r="131" spans="1:10" x14ac:dyDescent="0.25">
      <c r="A131" s="79">
        <v>41974</v>
      </c>
      <c r="B131" s="80">
        <f>+'[1]Graficos montos'!$A$12</f>
        <v>2014</v>
      </c>
      <c r="C131" s="81" t="s">
        <v>521</v>
      </c>
      <c r="D131" s="83">
        <f>+GETPIVOTDATA("Suma de Diciembre",$A$16,"Año",2014)</f>
        <v>505452605288.14001</v>
      </c>
      <c r="E131" s="83">
        <f t="shared" si="5"/>
        <v>3522442491589.5298</v>
      </c>
      <c r="F131" s="83">
        <f t="shared" si="4"/>
        <v>505452.60528814001</v>
      </c>
      <c r="G131" s="172">
        <f t="shared" si="6"/>
        <v>6.9900383410363975E-2</v>
      </c>
      <c r="I131" s="21" t="s">
        <v>528</v>
      </c>
      <c r="J131" s="24">
        <v>8.9442450755899294E-2</v>
      </c>
    </row>
    <row r="132" spans="1:10" x14ac:dyDescent="0.25">
      <c r="A132" s="78">
        <v>42005</v>
      </c>
      <c r="B132" s="5">
        <f>+'[1]Graficos montos'!$A$13</f>
        <v>2015</v>
      </c>
      <c r="C132" s="9" t="s">
        <v>532</v>
      </c>
      <c r="D132" s="18">
        <f>+GETPIVOTDATA("Suma de Enero",$A$16,"Año",2015)</f>
        <v>295184560584.12</v>
      </c>
      <c r="E132" s="18">
        <f t="shared" si="5"/>
        <v>3543471916641.8599</v>
      </c>
      <c r="F132" s="18">
        <f t="shared" si="4"/>
        <v>295184.56058411999</v>
      </c>
      <c r="G132" s="114">
        <f t="shared" si="6"/>
        <v>6.8564828546332723E-2</v>
      </c>
      <c r="I132" s="21" t="s">
        <v>527</v>
      </c>
      <c r="J132" s="24">
        <v>9.151386257525318E-2</v>
      </c>
    </row>
    <row r="133" spans="1:10" x14ac:dyDescent="0.25">
      <c r="A133" s="78">
        <v>42036</v>
      </c>
      <c r="B133" s="5">
        <f>+'[1]Graficos montos'!$A$13</f>
        <v>2015</v>
      </c>
      <c r="C133" s="9" t="s">
        <v>531</v>
      </c>
      <c r="D133" s="18">
        <f>+GETPIVOTDATA("Suma de Febrero",$A$16,"Año",2015)</f>
        <v>255560150694.95004</v>
      </c>
      <c r="E133" s="18">
        <f t="shared" si="5"/>
        <v>3568372034099.5098</v>
      </c>
      <c r="F133" s="18">
        <f t="shared" si="4"/>
        <v>255560.15069495005</v>
      </c>
      <c r="G133" s="114">
        <f t="shared" si="6"/>
        <v>7.6576813621230588E-2</v>
      </c>
      <c r="I133" s="21" t="s">
        <v>526</v>
      </c>
      <c r="J133" s="24">
        <v>7.9383959894738565E-2</v>
      </c>
    </row>
    <row r="134" spans="1:10" x14ac:dyDescent="0.25">
      <c r="A134" s="78">
        <v>42064</v>
      </c>
      <c r="B134" s="5">
        <f>+'[1]Graficos montos'!$A$13</f>
        <v>2015</v>
      </c>
      <c r="C134" s="9" t="s">
        <v>530</v>
      </c>
      <c r="D134" s="18">
        <f>+GETPIVOTDATA("Suma de Marzo",$A$16,"Año",2015)</f>
        <v>396312065840.20996</v>
      </c>
      <c r="E134" s="18">
        <f t="shared" si="5"/>
        <v>3618458284794.4302</v>
      </c>
      <c r="F134" s="18">
        <f t="shared" si="4"/>
        <v>396312.06584020995</v>
      </c>
      <c r="G134" s="114">
        <f t="shared" si="6"/>
        <v>8.2381052093487561E-2</v>
      </c>
      <c r="I134" s="21" t="s">
        <v>525</v>
      </c>
      <c r="J134" s="24">
        <v>7.8694576044100462E-2</v>
      </c>
    </row>
    <row r="135" spans="1:10" x14ac:dyDescent="0.25">
      <c r="A135" s="78">
        <v>42095</v>
      </c>
      <c r="B135" s="5">
        <f>+'[1]Graficos montos'!$A$13</f>
        <v>2015</v>
      </c>
      <c r="C135" s="9" t="s">
        <v>529</v>
      </c>
      <c r="D135" s="18">
        <f>+GETPIVOTDATA("Suma de Abril",$A$16,"Año",2015)</f>
        <v>276203473118.89001</v>
      </c>
      <c r="E135" s="18">
        <f t="shared" si="5"/>
        <v>3612956177650.6206</v>
      </c>
      <c r="F135" s="18">
        <f t="shared" si="4"/>
        <v>276203.47311889002</v>
      </c>
      <c r="G135" s="114">
        <f t="shared" si="6"/>
        <v>6.9792589635069291E-2</v>
      </c>
      <c r="I135" s="21" t="s">
        <v>524</v>
      </c>
      <c r="J135" s="24">
        <v>8.1336371322788814E-2</v>
      </c>
    </row>
    <row r="136" spans="1:10" x14ac:dyDescent="0.25">
      <c r="A136" s="78">
        <v>42125</v>
      </c>
      <c r="B136" s="5">
        <f>+'[1]Graficos montos'!$A$13</f>
        <v>2015</v>
      </c>
      <c r="C136" s="9" t="s">
        <v>528</v>
      </c>
      <c r="D136" s="18">
        <f>+GETPIVOTDATA("Suma de Mayo",$A$16,"Año",2015)</f>
        <v>242031013391.62997</v>
      </c>
      <c r="E136" s="18">
        <f t="shared" si="5"/>
        <v>3621140683642.2905</v>
      </c>
      <c r="F136" s="18">
        <f t="shared" si="4"/>
        <v>242031.01339162997</v>
      </c>
      <c r="G136" s="114">
        <f t="shared" si="6"/>
        <v>6.5599433021333642E-2</v>
      </c>
      <c r="I136" s="21" t="s">
        <v>523</v>
      </c>
      <c r="J136" s="24">
        <v>7.5642150016014487E-2</v>
      </c>
    </row>
    <row r="137" spans="1:10" x14ac:dyDescent="0.25">
      <c r="A137" s="78">
        <v>42156</v>
      </c>
      <c r="B137" s="5">
        <f>+'[1]Graficos montos'!$A$13</f>
        <v>2015</v>
      </c>
      <c r="C137" s="9" t="s">
        <v>527</v>
      </c>
      <c r="D137" s="18">
        <f>+GETPIVOTDATA("Suma de Junio",$A$16,"Año",2015)</f>
        <v>342387978699.25</v>
      </c>
      <c r="E137" s="18">
        <f t="shared" si="5"/>
        <v>3656003650522.7905</v>
      </c>
      <c r="F137" s="18">
        <f t="shared" si="4"/>
        <v>342387.97869924997</v>
      </c>
      <c r="G137" s="114">
        <f t="shared" si="6"/>
        <v>6.9686484153586026E-2</v>
      </c>
      <c r="I137" s="21" t="s">
        <v>522</v>
      </c>
      <c r="J137" s="24">
        <v>7.9366092877998673E-2</v>
      </c>
    </row>
    <row r="138" spans="1:10" x14ac:dyDescent="0.25">
      <c r="A138" s="78">
        <v>42186</v>
      </c>
      <c r="B138" s="5">
        <f>+'[1]Graficos montos'!$A$13</f>
        <v>2015</v>
      </c>
      <c r="C138" s="9" t="s">
        <v>526</v>
      </c>
      <c r="D138" s="18">
        <f>+GETPIVOTDATA("Suma de Julio",$A$16,"Año",2015)</f>
        <v>280614371879.58002</v>
      </c>
      <c r="E138" s="18">
        <f t="shared" si="5"/>
        <v>3676380781126.3999</v>
      </c>
      <c r="F138" s="18">
        <f t="shared" si="4"/>
        <v>280614.37187958002</v>
      </c>
      <c r="G138" s="23">
        <f t="shared" si="6"/>
        <v>7.4163679574282826E-2</v>
      </c>
      <c r="I138" s="21" t="s">
        <v>521</v>
      </c>
      <c r="J138" s="24">
        <v>6.9900383410363975E-2</v>
      </c>
    </row>
    <row r="139" spans="1:10" x14ac:dyDescent="0.25">
      <c r="A139" s="78">
        <v>42217</v>
      </c>
      <c r="B139" s="5">
        <f>+'[1]Graficos montos'!$A$13</f>
        <v>2015</v>
      </c>
      <c r="C139" s="9" t="s">
        <v>525</v>
      </c>
      <c r="D139" s="18">
        <f>+GETPIVOTDATA("Suma de Agosto",$A$16,"Año",2015)</f>
        <v>267710195389.91</v>
      </c>
      <c r="E139" s="18">
        <f t="shared" si="5"/>
        <v>3711179315581.2007</v>
      </c>
      <c r="F139" s="18">
        <f t="shared" si="4"/>
        <v>267710.19538991002</v>
      </c>
      <c r="G139" s="23">
        <f t="shared" si="6"/>
        <v>7.9874301126169556E-2</v>
      </c>
      <c r="I139" s="16">
        <v>2015</v>
      </c>
      <c r="J139" s="24">
        <v>0.92233911324253781</v>
      </c>
    </row>
    <row r="140" spans="1:10" x14ac:dyDescent="0.25">
      <c r="A140" s="78">
        <v>42248</v>
      </c>
      <c r="B140" s="5">
        <f>+'[1]Graficos montos'!$A$13</f>
        <v>2015</v>
      </c>
      <c r="C140" s="9" t="s">
        <v>524</v>
      </c>
      <c r="D140" s="18">
        <f>+GETPIVOTDATA("Suma de Setiembre",$A$16,"Año",2015)</f>
        <v>348199342292.2301</v>
      </c>
      <c r="E140" s="18">
        <f t="shared" si="5"/>
        <v>3731353247092.8599</v>
      </c>
      <c r="F140" s="18">
        <f t="shared" si="4"/>
        <v>348199.34229223011</v>
      </c>
      <c r="G140" s="23">
        <f t="shared" si="6"/>
        <v>7.6565249103184296E-2</v>
      </c>
      <c r="I140" s="21" t="s">
        <v>532</v>
      </c>
      <c r="J140" s="24">
        <v>6.8564828546332723E-2</v>
      </c>
    </row>
    <row r="141" spans="1:10" x14ac:dyDescent="0.25">
      <c r="A141" s="78">
        <v>42278</v>
      </c>
      <c r="B141" s="5">
        <f>+'[1]Graficos montos'!$A$13</f>
        <v>2015</v>
      </c>
      <c r="C141" s="9" t="s">
        <v>523</v>
      </c>
      <c r="D141" s="18">
        <f>+GETPIVOTDATA("Suma de Octubre",$A$16,"Año",2015)</f>
        <v>285723088094.75</v>
      </c>
      <c r="E141" s="18">
        <f t="shared" si="5"/>
        <v>3752204748964.8101</v>
      </c>
      <c r="F141" s="18">
        <f t="shared" si="4"/>
        <v>285723.08809475001</v>
      </c>
      <c r="G141" s="23">
        <f t="shared" si="6"/>
        <v>7.8427382024910841E-2</v>
      </c>
      <c r="I141" s="21" t="s">
        <v>531</v>
      </c>
      <c r="J141" s="24">
        <v>7.6576813621230588E-2</v>
      </c>
    </row>
    <row r="142" spans="1:10" x14ac:dyDescent="0.25">
      <c r="A142" s="78">
        <v>42309</v>
      </c>
      <c r="B142" s="5">
        <f>+'[1]Graficos montos'!$A$13</f>
        <v>2015</v>
      </c>
      <c r="C142" s="9" t="s">
        <v>522</v>
      </c>
      <c r="D142" s="18">
        <f>+GETPIVOTDATA("Suma de Noviembre",$A$16,"Año",2015)</f>
        <v>299173010463.96002</v>
      </c>
      <c r="E142" s="18">
        <f t="shared" si="5"/>
        <v>3794551855737.6201</v>
      </c>
      <c r="F142" s="18">
        <f t="shared" si="4"/>
        <v>299173.01046396</v>
      </c>
      <c r="G142" s="23">
        <f t="shared" si="6"/>
        <v>8.4333654815280656E-2</v>
      </c>
      <c r="I142" s="21" t="s">
        <v>530</v>
      </c>
      <c r="J142" s="24">
        <v>8.2381052093487783E-2</v>
      </c>
    </row>
    <row r="143" spans="1:10" x14ac:dyDescent="0.25">
      <c r="A143" s="79">
        <v>42339</v>
      </c>
      <c r="B143" s="80">
        <f>+'[1]Graficos montos'!$A$13</f>
        <v>2015</v>
      </c>
      <c r="C143" s="81" t="s">
        <v>521</v>
      </c>
      <c r="D143" s="83">
        <f>+GETPIVOTDATA("Suma de Diciembre",$A$16,"Año",2015)</f>
        <v>572813865216.1001</v>
      </c>
      <c r="E143" s="83">
        <f t="shared" si="5"/>
        <v>3861913115665.5801</v>
      </c>
      <c r="F143" s="83">
        <f t="shared" si="4"/>
        <v>572813.86521610012</v>
      </c>
      <c r="G143" s="84">
        <f t="shared" si="6"/>
        <v>9.6373645527669582E-2</v>
      </c>
      <c r="I143" s="21" t="s">
        <v>529</v>
      </c>
      <c r="J143" s="24">
        <v>6.9792589635069291E-2</v>
      </c>
    </row>
    <row r="144" spans="1:10" x14ac:dyDescent="0.25">
      <c r="A144" s="78">
        <v>42370</v>
      </c>
      <c r="B144" s="5">
        <f>+'[1]Graficos montos'!$A$14</f>
        <v>2016</v>
      </c>
      <c r="C144" s="9" t="s">
        <v>532</v>
      </c>
      <c r="D144" s="18">
        <f>+GETPIVOTDATA("Suma de Enero",$A$16,"Año",2016)</f>
        <v>317229199475.97998</v>
      </c>
      <c r="E144" s="18">
        <f t="shared" si="5"/>
        <v>3883957754557.4399</v>
      </c>
      <c r="F144" s="18">
        <f t="shared" si="4"/>
        <v>317229.19947597996</v>
      </c>
      <c r="G144" s="23">
        <f t="shared" si="6"/>
        <v>9.6088199913901828E-2</v>
      </c>
      <c r="I144" s="21" t="s">
        <v>528</v>
      </c>
      <c r="J144" s="24">
        <v>6.5599433021333642E-2</v>
      </c>
    </row>
    <row r="145" spans="1:10" x14ac:dyDescent="0.25">
      <c r="A145" s="78">
        <v>42401</v>
      </c>
      <c r="B145" s="5">
        <f>+'[1]Graficos montos'!$A$14</f>
        <v>2016</v>
      </c>
      <c r="C145" s="9" t="s">
        <v>531</v>
      </c>
      <c r="D145" s="18">
        <f>+GETPIVOTDATA("Suma de Febrero",$A$16,"Año",2016)</f>
        <v>276099392802.90002</v>
      </c>
      <c r="E145" s="18">
        <f t="shared" si="5"/>
        <v>3904496996665.3901</v>
      </c>
      <c r="F145" s="18">
        <f t="shared" si="4"/>
        <v>276099.39280290005</v>
      </c>
      <c r="G145" s="23">
        <f t="shared" si="6"/>
        <v>9.4195604985650716E-2</v>
      </c>
      <c r="I145" s="21" t="s">
        <v>527</v>
      </c>
      <c r="J145" s="24">
        <v>6.9686484153586026E-2</v>
      </c>
    </row>
    <row r="146" spans="1:10" x14ac:dyDescent="0.25">
      <c r="A146" s="78">
        <v>42430</v>
      </c>
      <c r="B146" s="5">
        <f>+'[1]Graficos montos'!$A$14</f>
        <v>2016</v>
      </c>
      <c r="C146" s="9" t="s">
        <v>530</v>
      </c>
      <c r="D146" s="18">
        <f>+GETPIVOTDATA("Suma de Marzo",$A$16,"Año",2016)</f>
        <v>419932507678.67999</v>
      </c>
      <c r="E146" s="18">
        <f t="shared" si="5"/>
        <v>3928117438503.8604</v>
      </c>
      <c r="F146" s="18">
        <f t="shared" si="4"/>
        <v>419932.50767868001</v>
      </c>
      <c r="G146" s="23">
        <f t="shared" si="6"/>
        <v>8.5577649191283189E-2</v>
      </c>
      <c r="I146" s="21" t="s">
        <v>526</v>
      </c>
      <c r="J146" s="24">
        <v>7.4163679574282826E-2</v>
      </c>
    </row>
    <row r="147" spans="1:10" x14ac:dyDescent="0.25">
      <c r="A147" s="78">
        <v>42461</v>
      </c>
      <c r="B147" s="5">
        <f>+'[1]Graficos montos'!$A$14</f>
        <v>2016</v>
      </c>
      <c r="C147" s="9" t="s">
        <v>529</v>
      </c>
      <c r="D147" s="18">
        <f>+GETPIVOTDATA("Suma de Abril",$A$16,"Año",2016)</f>
        <v>315286741338.87006</v>
      </c>
      <c r="E147" s="18">
        <f t="shared" si="5"/>
        <v>3967200706723.8403</v>
      </c>
      <c r="F147" s="18">
        <f t="shared" si="4"/>
        <v>315286.74133887008</v>
      </c>
      <c r="G147" s="23">
        <f t="shared" si="6"/>
        <v>9.8048387983375118E-2</v>
      </c>
      <c r="I147" s="21" t="s">
        <v>525</v>
      </c>
      <c r="J147" s="24">
        <v>7.9874301126169556E-2</v>
      </c>
    </row>
    <row r="148" spans="1:10" x14ac:dyDescent="0.25">
      <c r="A148" s="78">
        <v>42491</v>
      </c>
      <c r="B148" s="5">
        <f>+'[1]Graficos montos'!$A$14</f>
        <v>2016</v>
      </c>
      <c r="C148" s="9" t="s">
        <v>528</v>
      </c>
      <c r="D148" s="18">
        <f>+GETPIVOTDATA("Suma de Mayo",$A$16,"Año",2016)</f>
        <v>271137592421.00003</v>
      </c>
      <c r="E148" s="18">
        <f t="shared" si="5"/>
        <v>3996307285753.2104</v>
      </c>
      <c r="F148" s="18">
        <f t="shared" si="4"/>
        <v>271137.59242100001</v>
      </c>
      <c r="G148" s="23">
        <f t="shared" si="6"/>
        <v>0.10360453649471646</v>
      </c>
      <c r="I148" s="21" t="s">
        <v>524</v>
      </c>
      <c r="J148" s="24">
        <v>7.6565249103184296E-2</v>
      </c>
    </row>
    <row r="149" spans="1:10" x14ac:dyDescent="0.25">
      <c r="A149" s="78">
        <v>42522</v>
      </c>
      <c r="B149" s="5">
        <f>+'[1]Graficos montos'!$A$14</f>
        <v>2016</v>
      </c>
      <c r="C149" s="9" t="s">
        <v>527</v>
      </c>
      <c r="D149" s="18">
        <f>+GETPIVOTDATA("Suma de Junio",$A$16,"Año",2016)</f>
        <v>394330163941.81006</v>
      </c>
      <c r="E149" s="18">
        <f t="shared" si="5"/>
        <v>4048249470995.7705</v>
      </c>
      <c r="F149" s="18">
        <f t="shared" si="4"/>
        <v>394330.16394181008</v>
      </c>
      <c r="G149" s="23">
        <f t="shared" si="6"/>
        <v>0.10728813698446138</v>
      </c>
      <c r="I149" s="21" t="s">
        <v>523</v>
      </c>
      <c r="J149" s="24">
        <v>7.8427382024910841E-2</v>
      </c>
    </row>
    <row r="150" spans="1:10" x14ac:dyDescent="0.25">
      <c r="A150" s="78">
        <v>42552</v>
      </c>
      <c r="B150" s="5">
        <f>+'[1]Graficos montos'!$A$14</f>
        <v>2016</v>
      </c>
      <c r="C150" s="9" t="s">
        <v>526</v>
      </c>
      <c r="D150" s="18">
        <f>+GETPIVOTDATA("Suma de Julio",$A$16,"Año",2016)</f>
        <v>297827704962.25995</v>
      </c>
      <c r="E150" s="18">
        <f t="shared" si="5"/>
        <v>4065462804078.4502</v>
      </c>
      <c r="F150" s="18">
        <f t="shared" si="4"/>
        <v>297827.70496225997</v>
      </c>
      <c r="G150" s="23">
        <f t="shared" si="6"/>
        <v>0.10583289547956998</v>
      </c>
      <c r="I150" s="21" t="s">
        <v>522</v>
      </c>
      <c r="J150" s="24">
        <v>8.4333654815280656E-2</v>
      </c>
    </row>
    <row r="151" spans="1:10" x14ac:dyDescent="0.25">
      <c r="A151" s="78">
        <v>42583</v>
      </c>
      <c r="B151" s="5">
        <f>+'[1]Graficos montos'!$A$14</f>
        <v>2016</v>
      </c>
      <c r="C151" s="9" t="s">
        <v>525</v>
      </c>
      <c r="D151" s="18">
        <f>+GETPIVOTDATA("Suma de Agosto",$A$16,"Año",2016)</f>
        <v>266598106437.24002</v>
      </c>
      <c r="E151" s="18">
        <f t="shared" si="5"/>
        <v>4064350715125.7808</v>
      </c>
      <c r="F151" s="18">
        <f t="shared" si="4"/>
        <v>266598.10643724003</v>
      </c>
      <c r="G151" s="23">
        <f t="shared" si="6"/>
        <v>9.5164197014627527E-2</v>
      </c>
      <c r="I151" s="21" t="s">
        <v>521</v>
      </c>
      <c r="J151" s="24">
        <v>9.6373645527669582E-2</v>
      </c>
    </row>
    <row r="152" spans="1:10" x14ac:dyDescent="0.25">
      <c r="A152" s="78">
        <v>42614</v>
      </c>
      <c r="B152" s="5">
        <f>+'[1]Graficos montos'!$A$14</f>
        <v>2016</v>
      </c>
      <c r="C152" s="9" t="s">
        <v>524</v>
      </c>
      <c r="D152" s="18">
        <f>+GETPIVOTDATA("Suma de Setiembre",$A$16,"Año",2016)</f>
        <v>383780078384.06006</v>
      </c>
      <c r="E152" s="18">
        <f t="shared" si="5"/>
        <v>4099931451217.6099</v>
      </c>
      <c r="F152" s="18">
        <f t="shared" si="4"/>
        <v>383780.07838406006</v>
      </c>
      <c r="G152" s="23">
        <f t="shared" si="6"/>
        <v>9.8778694944498646E-2</v>
      </c>
      <c r="I152" s="16">
        <v>2016</v>
      </c>
      <c r="J152" s="24">
        <v>1.1550176315723339</v>
      </c>
    </row>
    <row r="153" spans="1:10" x14ac:dyDescent="0.25">
      <c r="A153" s="78">
        <v>42644</v>
      </c>
      <c r="B153" s="5">
        <f>+'[1]Graficos montos'!$A$14</f>
        <v>2016</v>
      </c>
      <c r="C153" s="9" t="s">
        <v>523</v>
      </c>
      <c r="D153" s="18">
        <f>+GETPIVOTDATA("Suma de Octubre",$A$16,"Año",2016)</f>
        <v>311661497291.60004</v>
      </c>
      <c r="E153" s="18">
        <f t="shared" si="5"/>
        <v>4125869860414.46</v>
      </c>
      <c r="F153" s="18">
        <f t="shared" si="4"/>
        <v>311661.49729160004</v>
      </c>
      <c r="G153" s="23">
        <f t="shared" si="6"/>
        <v>9.9585480124116277E-2</v>
      </c>
      <c r="I153" s="21" t="s">
        <v>532</v>
      </c>
      <c r="J153" s="24">
        <v>9.6088199913901828E-2</v>
      </c>
    </row>
    <row r="154" spans="1:10" x14ac:dyDescent="0.25">
      <c r="A154" s="78">
        <v>42675</v>
      </c>
      <c r="B154" s="5">
        <f>+'[1]Graficos montos'!$A$14</f>
        <v>2016</v>
      </c>
      <c r="C154" s="9" t="s">
        <v>522</v>
      </c>
      <c r="D154" s="18">
        <f>+GETPIVOTDATA("Suma de Noviembre",$A$16,"Año",2016)</f>
        <v>315676559718.41998</v>
      </c>
      <c r="E154" s="18">
        <f t="shared" si="5"/>
        <v>4142373409668.9199</v>
      </c>
      <c r="F154" s="18">
        <f t="shared" si="4"/>
        <v>315676.55971841997</v>
      </c>
      <c r="G154" s="23">
        <f t="shared" si="6"/>
        <v>9.166340773690318E-2</v>
      </c>
      <c r="I154" s="21" t="s">
        <v>531</v>
      </c>
      <c r="J154" s="24">
        <v>9.4195604985650716E-2</v>
      </c>
    </row>
    <row r="155" spans="1:10" x14ac:dyDescent="0.25">
      <c r="A155" s="79">
        <v>42705</v>
      </c>
      <c r="B155" s="80">
        <f>+'[1]Graficos montos'!$A$14</f>
        <v>2016</v>
      </c>
      <c r="C155" s="81" t="s">
        <v>521</v>
      </c>
      <c r="D155" s="83">
        <f>+GETPIVOTDATA("Suma de Diciembre",$A$16,"Año",2016)</f>
        <v>598180172861.68994</v>
      </c>
      <c r="E155" s="83">
        <f t="shared" si="5"/>
        <v>4167739717314.5103</v>
      </c>
      <c r="F155" s="83">
        <f t="shared" si="4"/>
        <v>598180.17286168993</v>
      </c>
      <c r="G155" s="84">
        <f t="shared" ref="G155:G178" si="7">+E155/E143-1</f>
        <v>7.9190440719229649E-2</v>
      </c>
      <c r="I155" s="21" t="s">
        <v>530</v>
      </c>
      <c r="J155" s="24">
        <v>8.5577649191283189E-2</v>
      </c>
    </row>
    <row r="156" spans="1:10" x14ac:dyDescent="0.25">
      <c r="A156" s="173">
        <v>42736</v>
      </c>
      <c r="B156" s="174">
        <f>+'[1]Graficos montos'!$A$15</f>
        <v>2017</v>
      </c>
      <c r="C156" s="175" t="s">
        <v>532</v>
      </c>
      <c r="D156" s="176">
        <f>+GETPIVOTDATA("Suma de Enero",$A$16,"Año",2017)</f>
        <v>343836014845.53992</v>
      </c>
      <c r="E156" s="170">
        <f t="shared" si="5"/>
        <v>4194346532684.0703</v>
      </c>
      <c r="F156" s="170">
        <f t="shared" si="4"/>
        <v>343836.01484553993</v>
      </c>
      <c r="G156" s="171">
        <f t="shared" si="7"/>
        <v>7.9915590678714121E-2</v>
      </c>
      <c r="H156" s="17">
        <f>+F156+F157+F158+F159+F160</f>
        <v>1706074.15885814</v>
      </c>
      <c r="I156" s="21" t="s">
        <v>529</v>
      </c>
      <c r="J156" s="24">
        <v>9.8048387983375118E-2</v>
      </c>
    </row>
    <row r="157" spans="1:10" x14ac:dyDescent="0.25">
      <c r="A157" s="78">
        <v>42767</v>
      </c>
      <c r="B157" s="5">
        <f>+'[1]Graficos montos'!$A$15</f>
        <v>2017</v>
      </c>
      <c r="C157" s="9" t="s">
        <v>531</v>
      </c>
      <c r="D157" s="20">
        <f>+GETPIVOTDATA("Suma de Febrero",$A$16,"Año",2017)</f>
        <v>280392279972.29999</v>
      </c>
      <c r="E157" s="18">
        <f t="shared" si="5"/>
        <v>4198639419853.4697</v>
      </c>
      <c r="F157" s="18">
        <f t="shared" si="4"/>
        <v>280392.27997229999</v>
      </c>
      <c r="G157" s="23">
        <f t="shared" si="7"/>
        <v>7.5334268009244143E-2</v>
      </c>
      <c r="I157" s="21" t="s">
        <v>528</v>
      </c>
      <c r="J157" s="24">
        <v>0.10360453649471646</v>
      </c>
    </row>
    <row r="158" spans="1:10" x14ac:dyDescent="0.25">
      <c r="A158" s="78">
        <v>42795</v>
      </c>
      <c r="B158" s="5">
        <f>+'[1]Graficos montos'!$A$15</f>
        <v>2017</v>
      </c>
      <c r="C158" s="9" t="s">
        <v>530</v>
      </c>
      <c r="D158" s="20">
        <f>+GETPIVOTDATA("Suma de Marzo",$A$16,"Año",2017)</f>
        <v>474822059145.46002</v>
      </c>
      <c r="E158" s="18">
        <f t="shared" si="5"/>
        <v>4253528971320.25</v>
      </c>
      <c r="F158" s="18">
        <f t="shared" si="4"/>
        <v>474822.05914546002</v>
      </c>
      <c r="G158" s="23">
        <f t="shared" si="7"/>
        <v>8.2841599802151666E-2</v>
      </c>
      <c r="I158" s="21" t="s">
        <v>527</v>
      </c>
      <c r="J158" s="24">
        <v>0.10728813698446138</v>
      </c>
    </row>
    <row r="159" spans="1:10" x14ac:dyDescent="0.25">
      <c r="A159" s="78">
        <v>42826</v>
      </c>
      <c r="B159" s="5">
        <f>+'[1]Graficos montos'!$A$15</f>
        <v>2017</v>
      </c>
      <c r="C159" s="9" t="s">
        <v>529</v>
      </c>
      <c r="D159" s="20">
        <f>+GETPIVOTDATA("Suma de Abril",$A$16,"Año",2017)</f>
        <v>306436207133.71002</v>
      </c>
      <c r="E159" s="18">
        <f t="shared" si="5"/>
        <v>4244678437115.0898</v>
      </c>
      <c r="F159" s="18">
        <f t="shared" si="4"/>
        <v>306436.20713371004</v>
      </c>
      <c r="G159" s="23">
        <f t="shared" si="7"/>
        <v>6.9942952450317009E-2</v>
      </c>
      <c r="I159" s="21" t="s">
        <v>526</v>
      </c>
      <c r="J159" s="24">
        <v>0.10583289547956998</v>
      </c>
    </row>
    <row r="160" spans="1:10" x14ac:dyDescent="0.25">
      <c r="A160" s="78">
        <v>42856</v>
      </c>
      <c r="B160" s="5">
        <f>+'[1]Graficos montos'!$A$15</f>
        <v>2017</v>
      </c>
      <c r="C160" s="9" t="s">
        <v>528</v>
      </c>
      <c r="D160" s="20">
        <f>+GETPIVOTDATA("Suma de Mayo",$A$16,"Año",2017)</f>
        <v>300587597761.12994</v>
      </c>
      <c r="E160" s="18">
        <f t="shared" si="5"/>
        <v>4274128442455.2197</v>
      </c>
      <c r="F160" s="18">
        <f t="shared" si="4"/>
        <v>300587.59776112996</v>
      </c>
      <c r="G160" s="23">
        <f t="shared" si="7"/>
        <v>6.9519468058033995E-2</v>
      </c>
      <c r="I160" s="21" t="s">
        <v>525</v>
      </c>
      <c r="J160" s="24">
        <v>9.5164197014627527E-2</v>
      </c>
    </row>
    <row r="161" spans="1:10" x14ac:dyDescent="0.25">
      <c r="A161" s="78">
        <v>42887</v>
      </c>
      <c r="B161" s="5">
        <f>+'[1]Graficos montos'!$A$15</f>
        <v>2017</v>
      </c>
      <c r="C161" s="9" t="s">
        <v>527</v>
      </c>
      <c r="D161" s="20">
        <f>+GETPIVOTDATA("Suma de Junio",$A$16,"Año",2017)</f>
        <v>423549453791.07001</v>
      </c>
      <c r="E161" s="18">
        <f t="shared" si="5"/>
        <v>4303347732304.4795</v>
      </c>
      <c r="F161" s="18">
        <f t="shared" si="4"/>
        <v>423549.45379107003</v>
      </c>
      <c r="G161" s="23">
        <f t="shared" si="7"/>
        <v>6.3014461716451642E-2</v>
      </c>
      <c r="I161" s="21" t="s">
        <v>524</v>
      </c>
      <c r="J161" s="24">
        <v>9.8778694944498646E-2</v>
      </c>
    </row>
    <row r="162" spans="1:10" x14ac:dyDescent="0.25">
      <c r="A162" s="78">
        <v>42917</v>
      </c>
      <c r="B162" s="5">
        <f>+'[1]Graficos montos'!$A$15</f>
        <v>2017</v>
      </c>
      <c r="C162" s="9" t="s">
        <v>526</v>
      </c>
      <c r="D162" s="20">
        <f>+GETPIVOTDATA("Suma de Julio",$A$16,"Año",2017)</f>
        <v>291373542911.82001</v>
      </c>
      <c r="E162" s="18">
        <f t="shared" si="5"/>
        <v>4296893570254.0391</v>
      </c>
      <c r="F162" s="18">
        <f t="shared" si="4"/>
        <v>291373.54291182</v>
      </c>
      <c r="G162" s="23">
        <f t="shared" si="7"/>
        <v>5.6926056719401874E-2</v>
      </c>
      <c r="I162" s="21" t="s">
        <v>523</v>
      </c>
      <c r="J162" s="24">
        <v>9.9585480124116277E-2</v>
      </c>
    </row>
    <row r="163" spans="1:10" x14ac:dyDescent="0.25">
      <c r="A163" s="78">
        <v>42948</v>
      </c>
      <c r="B163" s="5">
        <f>+'[1]Graficos montos'!$A$15</f>
        <v>2017</v>
      </c>
      <c r="C163" s="9" t="s">
        <v>525</v>
      </c>
      <c r="D163" s="20">
        <f>+GETPIVOTDATA("Suma de Agosto",$A$16,"Año",2017)</f>
        <v>284514930615.25006</v>
      </c>
      <c r="E163" s="18">
        <f t="shared" si="5"/>
        <v>4314810394432.0493</v>
      </c>
      <c r="F163" s="18">
        <f t="shared" si="4"/>
        <v>284514.93061525008</v>
      </c>
      <c r="G163" s="23">
        <f t="shared" si="7"/>
        <v>6.1623540107935248E-2</v>
      </c>
      <c r="I163" s="21" t="s">
        <v>522</v>
      </c>
      <c r="J163" s="24">
        <v>9.166340773690318E-2</v>
      </c>
    </row>
    <row r="164" spans="1:10" x14ac:dyDescent="0.25">
      <c r="A164" s="78">
        <v>42979</v>
      </c>
      <c r="B164" s="5">
        <f>+'[1]Graficos montos'!$A$15</f>
        <v>2017</v>
      </c>
      <c r="C164" s="9" t="s">
        <v>524</v>
      </c>
      <c r="D164" s="20">
        <f>+GETPIVOTDATA("Suma de Setiembre",$A$16,"Año",2017)</f>
        <v>415992794020.99005</v>
      </c>
      <c r="E164" s="18">
        <f t="shared" si="5"/>
        <v>4347023110068.98</v>
      </c>
      <c r="F164" s="18">
        <f t="shared" si="4"/>
        <v>415992.79402099003</v>
      </c>
      <c r="G164" s="23">
        <f t="shared" si="7"/>
        <v>6.0267265877820497E-2</v>
      </c>
      <c r="I164" s="21" t="s">
        <v>521</v>
      </c>
      <c r="J164" s="24">
        <v>7.9190440719229649E-2</v>
      </c>
    </row>
    <row r="165" spans="1:10" x14ac:dyDescent="0.25">
      <c r="A165" s="78">
        <v>43009</v>
      </c>
      <c r="B165" s="5">
        <f>+'[1]Graficos montos'!$A$15</f>
        <v>2017</v>
      </c>
      <c r="C165" s="9" t="s">
        <v>523</v>
      </c>
      <c r="D165" s="20">
        <f>+GETPIVOTDATA("Suma de Octubre",$A$16,"Año",2017)</f>
        <v>309435440716.63</v>
      </c>
      <c r="E165" s="18">
        <f t="shared" si="5"/>
        <v>4344797053494.0098</v>
      </c>
      <c r="F165" s="18">
        <f t="shared" ref="F165:F190" si="8">+D165/1000000</f>
        <v>309435.44071663002</v>
      </c>
      <c r="G165" s="23">
        <f t="shared" si="7"/>
        <v>5.3062069451109029E-2</v>
      </c>
      <c r="H165" s="24"/>
      <c r="I165" s="16">
        <v>2017</v>
      </c>
      <c r="J165" s="24">
        <v>0.77890135802953275</v>
      </c>
    </row>
    <row r="166" spans="1:10" x14ac:dyDescent="0.25">
      <c r="A166" s="78">
        <v>43040</v>
      </c>
      <c r="B166" s="5">
        <f>+'[1]Graficos montos'!$A$15</f>
        <v>2017</v>
      </c>
      <c r="C166" s="9" t="s">
        <v>522</v>
      </c>
      <c r="D166" s="20">
        <f>+GETPIVOTDATA("Suma de Noviembre",$A$16,"Año",2017)</f>
        <v>332454415156.19</v>
      </c>
      <c r="E166" s="18">
        <f t="shared" si="5"/>
        <v>4361574908931.7793</v>
      </c>
      <c r="F166" s="18">
        <f t="shared" si="8"/>
        <v>332454.41515618999</v>
      </c>
      <c r="G166" s="23">
        <f t="shared" si="7"/>
        <v>5.2916885462621632E-2</v>
      </c>
      <c r="H166" s="17"/>
      <c r="I166" s="21" t="s">
        <v>532</v>
      </c>
      <c r="J166" s="24">
        <v>7.9915590678714121E-2</v>
      </c>
    </row>
    <row r="167" spans="1:10" x14ac:dyDescent="0.25">
      <c r="A167" s="79">
        <v>43070</v>
      </c>
      <c r="B167" s="80">
        <f>+'[1]Graficos montos'!$A$15</f>
        <v>2017</v>
      </c>
      <c r="C167" s="81" t="s">
        <v>521</v>
      </c>
      <c r="D167" s="82">
        <f>+GETPIVOTDATA("Suma de Diciembre",$A$16,"Año",2017)</f>
        <v>627474094770.12</v>
      </c>
      <c r="E167" s="83">
        <f>+SUM(D156:D167)</f>
        <v>4390868830840.21</v>
      </c>
      <c r="F167" s="83">
        <f>+D167/1000000</f>
        <v>627474.09477011999</v>
      </c>
      <c r="G167" s="84">
        <f>+E167/E155-1</f>
        <v>5.3537199695731896E-2</v>
      </c>
      <c r="H167" s="168"/>
      <c r="I167" s="21" t="s">
        <v>531</v>
      </c>
      <c r="J167" s="24">
        <v>7.5334268009244143E-2</v>
      </c>
    </row>
    <row r="168" spans="1:10" x14ac:dyDescent="0.25">
      <c r="A168" s="78">
        <v>43101</v>
      </c>
      <c r="B168" s="5">
        <v>2018</v>
      </c>
      <c r="C168" s="9" t="s">
        <v>532</v>
      </c>
      <c r="D168" s="20">
        <f>+GETPIVOTDATA("Suma de Enero",$A$16,"Año",2018)</f>
        <v>374171218049.09998</v>
      </c>
      <c r="E168" s="18">
        <f t="shared" si="5"/>
        <v>4421204034043.7705</v>
      </c>
      <c r="F168" s="18">
        <f>+D168/1000000</f>
        <v>374171.21804909996</v>
      </c>
      <c r="G168" s="23">
        <f t="shared" si="7"/>
        <v>5.4086494664170814E-2</v>
      </c>
      <c r="H168" s="77"/>
      <c r="I168" s="21" t="s">
        <v>530</v>
      </c>
      <c r="J168" s="24">
        <v>8.2841599802151666E-2</v>
      </c>
    </row>
    <row r="169" spans="1:10" x14ac:dyDescent="0.25">
      <c r="A169" s="78">
        <v>43132</v>
      </c>
      <c r="B169" s="5">
        <v>2018</v>
      </c>
      <c r="C169" s="9" t="s">
        <v>531</v>
      </c>
      <c r="D169" s="18">
        <f>+GETPIVOTDATA("Suma de Febrero",$A$17,"Año",2018)</f>
        <v>278293190741.60999</v>
      </c>
      <c r="E169" s="18">
        <f t="shared" si="5"/>
        <v>4419104944813.0801</v>
      </c>
      <c r="F169" s="18">
        <f t="shared" si="8"/>
        <v>278293.19074160996</v>
      </c>
      <c r="G169" s="23">
        <f t="shared" si="7"/>
        <v>5.2508801760191348E-2</v>
      </c>
      <c r="H169" s="77"/>
      <c r="I169" s="21" t="s">
        <v>529</v>
      </c>
      <c r="J169" s="24">
        <v>6.9942952450317009E-2</v>
      </c>
    </row>
    <row r="170" spans="1:10" x14ac:dyDescent="0.25">
      <c r="A170" s="78">
        <v>43160</v>
      </c>
      <c r="B170" s="5">
        <v>2018</v>
      </c>
      <c r="C170" s="9" t="s">
        <v>530</v>
      </c>
      <c r="D170" s="18">
        <f>+GETPIVOTDATA("Suma de Marzo",$A$17,"Año",2018)</f>
        <v>462009571448.65002</v>
      </c>
      <c r="E170" s="18">
        <f t="shared" si="5"/>
        <v>4406292457116.2705</v>
      </c>
      <c r="F170" s="18">
        <f t="shared" si="8"/>
        <v>462009.57144865004</v>
      </c>
      <c r="G170" s="23">
        <f t="shared" si="7"/>
        <v>3.5914528107376276E-2</v>
      </c>
      <c r="H170" s="77"/>
      <c r="I170" s="21" t="s">
        <v>528</v>
      </c>
      <c r="J170" s="24">
        <v>6.9519468058033995E-2</v>
      </c>
    </row>
    <row r="171" spans="1:10" x14ac:dyDescent="0.25">
      <c r="A171" s="78">
        <v>43191</v>
      </c>
      <c r="B171" s="5">
        <v>2018</v>
      </c>
      <c r="C171" s="9" t="s">
        <v>529</v>
      </c>
      <c r="D171" s="18">
        <f>+GETPIVOTDATA("Suma de Abril",$A$17,"Año",2018)</f>
        <v>350885506249.38</v>
      </c>
      <c r="E171" s="18">
        <f t="shared" si="5"/>
        <v>4450741756231.9404</v>
      </c>
      <c r="F171" s="18">
        <f t="shared" si="8"/>
        <v>350885.50624938001</v>
      </c>
      <c r="G171" s="23">
        <f t="shared" si="7"/>
        <v>4.8546273214727265E-2</v>
      </c>
      <c r="H171" s="77"/>
      <c r="I171" s="21" t="s">
        <v>527</v>
      </c>
      <c r="J171" s="24">
        <v>6.3014461716451642E-2</v>
      </c>
    </row>
    <row r="172" spans="1:10" x14ac:dyDescent="0.25">
      <c r="A172" s="78">
        <v>43221</v>
      </c>
      <c r="B172" s="5">
        <v>2018</v>
      </c>
      <c r="C172" s="9" t="s">
        <v>528</v>
      </c>
      <c r="D172" s="18">
        <f>+GETPIVOTDATA("Suma de Mayo",$A$17,"Año",2018)</f>
        <v>268299827205.63995</v>
      </c>
      <c r="E172" s="18">
        <f t="shared" si="5"/>
        <v>4418453985676.4502</v>
      </c>
      <c r="F172" s="18">
        <f>+D172/1000000</f>
        <v>268299.82720563997</v>
      </c>
      <c r="G172" s="23">
        <f>+E172/E160-1</f>
        <v>3.3767245220717834E-2</v>
      </c>
      <c r="H172" s="77"/>
      <c r="I172" s="21" t="s">
        <v>526</v>
      </c>
      <c r="J172" s="24">
        <v>5.6926056719401874E-2</v>
      </c>
    </row>
    <row r="173" spans="1:10" x14ac:dyDescent="0.25">
      <c r="A173" s="78">
        <v>43252</v>
      </c>
      <c r="B173" s="5">
        <v>2018</v>
      </c>
      <c r="C173" s="9" t="s">
        <v>527</v>
      </c>
      <c r="D173" s="18">
        <f>+GETPIVOTDATA("Suma de Junio",$A$17,"Año",2018)</f>
        <v>418059690573.59003</v>
      </c>
      <c r="E173" s="18">
        <f t="shared" ref="E173:E180" si="9">+SUM(D162:D173)</f>
        <v>4412964222458.9697</v>
      </c>
      <c r="F173" s="18">
        <f t="shared" si="8"/>
        <v>418059.69057359005</v>
      </c>
      <c r="G173" s="23">
        <f t="shared" si="7"/>
        <v>2.5472375688261994E-2</v>
      </c>
      <c r="H173" s="77"/>
      <c r="I173" s="21" t="s">
        <v>525</v>
      </c>
      <c r="J173" s="24">
        <v>6.1623540107935248E-2</v>
      </c>
    </row>
    <row r="174" spans="1:10" x14ac:dyDescent="0.25">
      <c r="A174" s="78">
        <v>43282</v>
      </c>
      <c r="B174" s="5">
        <v>2018</v>
      </c>
      <c r="C174" s="9" t="s">
        <v>526</v>
      </c>
      <c r="D174" s="18">
        <f>+GETPIVOTDATA("Suma de Julio",$A$17,"Año",2018)</f>
        <v>326698737843.93994</v>
      </c>
      <c r="E174" s="18">
        <f t="shared" si="9"/>
        <v>4448289417391.0898</v>
      </c>
      <c r="F174" s="18">
        <f t="shared" si="8"/>
        <v>326698.73784393992</v>
      </c>
      <c r="G174" s="23">
        <f t="shared" si="7"/>
        <v>3.523379033288454E-2</v>
      </c>
      <c r="H174" s="77"/>
      <c r="I174" s="21" t="s">
        <v>524</v>
      </c>
      <c r="J174" s="24">
        <v>6.0267265877820497E-2</v>
      </c>
    </row>
    <row r="175" spans="1:10" x14ac:dyDescent="0.25">
      <c r="A175" s="78">
        <v>43313</v>
      </c>
      <c r="B175" s="5">
        <v>2018</v>
      </c>
      <c r="C175" s="9" t="s">
        <v>525</v>
      </c>
      <c r="D175" s="18">
        <f>+GETPIVOTDATA("Suma de Agosto",$A$17,"Año",2018)</f>
        <v>280039396552.37</v>
      </c>
      <c r="E175" s="18">
        <f t="shared" si="9"/>
        <v>4443813883328.21</v>
      </c>
      <c r="F175" s="18">
        <f t="shared" si="8"/>
        <v>280039.39655236999</v>
      </c>
      <c r="G175" s="23">
        <f t="shared" si="7"/>
        <v>2.9897834922857802E-2</v>
      </c>
      <c r="H175" s="77"/>
      <c r="I175" s="21" t="s">
        <v>523</v>
      </c>
      <c r="J175" s="24">
        <v>5.3062069451109029E-2</v>
      </c>
    </row>
    <row r="176" spans="1:10" x14ac:dyDescent="0.25">
      <c r="A176" s="78">
        <v>43344</v>
      </c>
      <c r="B176" s="5">
        <v>2018</v>
      </c>
      <c r="C176" s="9" t="s">
        <v>524</v>
      </c>
      <c r="D176" s="18">
        <f>+GETPIVOTDATA("Suma de Setiembre",$A$17,"Año",2018)</f>
        <v>398681538327.95007</v>
      </c>
      <c r="E176" s="18">
        <f t="shared" si="9"/>
        <v>4426502627635.1699</v>
      </c>
      <c r="F176" s="18">
        <f>+D176/1000000</f>
        <v>398681.53832795005</v>
      </c>
      <c r="G176" s="23">
        <f t="shared" si="7"/>
        <v>1.8283665753258127E-2</v>
      </c>
      <c r="H176" s="77"/>
      <c r="I176" s="21" t="s">
        <v>522</v>
      </c>
      <c r="J176" s="24">
        <v>5.2916885462621632E-2</v>
      </c>
    </row>
    <row r="177" spans="1:10" x14ac:dyDescent="0.25">
      <c r="A177" s="78">
        <v>43374</v>
      </c>
      <c r="B177" s="5">
        <v>2018</v>
      </c>
      <c r="C177" s="9" t="s">
        <v>523</v>
      </c>
      <c r="D177" s="18">
        <f>+GETPIVOTDATA("Suma de Octubre",$A$17,"Año",2018)</f>
        <v>338750292108.09998</v>
      </c>
      <c r="E177" s="18">
        <f t="shared" si="9"/>
        <v>4455817479026.6396</v>
      </c>
      <c r="F177" s="18">
        <f t="shared" si="8"/>
        <v>338750.29210809997</v>
      </c>
      <c r="G177" s="23">
        <f t="shared" si="7"/>
        <v>2.5552499729152967E-2</v>
      </c>
      <c r="H177" s="77"/>
      <c r="I177" s="21" t="s">
        <v>521</v>
      </c>
      <c r="J177" s="24">
        <v>5.3537199695731896E-2</v>
      </c>
    </row>
    <row r="178" spans="1:10" x14ac:dyDescent="0.25">
      <c r="A178" s="78">
        <v>43405</v>
      </c>
      <c r="B178" s="5">
        <v>2018</v>
      </c>
      <c r="C178" s="9" t="s">
        <v>522</v>
      </c>
      <c r="D178" s="18">
        <f>+GETPIVOTDATA("Suma de Noviembre",$A$17,"Año",2018)</f>
        <v>341343941462.31</v>
      </c>
      <c r="E178" s="18">
        <f t="shared" si="9"/>
        <v>4464707005332.7598</v>
      </c>
      <c r="F178" s="18">
        <f t="shared" si="8"/>
        <v>341343.94146230997</v>
      </c>
      <c r="G178" s="23">
        <f t="shared" si="7"/>
        <v>2.364560933936577E-2</v>
      </c>
      <c r="H178" s="102"/>
      <c r="I178" s="16">
        <v>2018</v>
      </c>
      <c r="J178" s="24">
        <v>0.26455874779303779</v>
      </c>
    </row>
    <row r="179" spans="1:10" x14ac:dyDescent="0.25">
      <c r="A179" s="148">
        <v>43435</v>
      </c>
      <c r="B179" s="149">
        <v>2018</v>
      </c>
      <c r="C179" s="150" t="s">
        <v>521</v>
      </c>
      <c r="D179" s="151">
        <f>+GETPIVOTDATA("Suma de Diciembre",$A$17,"Año",2018)</f>
        <v>729898728556.64001</v>
      </c>
      <c r="E179" s="151">
        <f t="shared" si="9"/>
        <v>4567131639119.2803</v>
      </c>
      <c r="F179" s="83">
        <f t="shared" si="8"/>
        <v>729898.72855663998</v>
      </c>
      <c r="G179" s="152">
        <f t="shared" ref="G179:G191" si="10">+E179/E167-1</f>
        <v>4.0143036622057648E-2</v>
      </c>
      <c r="H179" s="102"/>
      <c r="I179" s="21" t="s">
        <v>532</v>
      </c>
      <c r="J179" s="24">
        <v>5.4086494664170814E-2</v>
      </c>
    </row>
    <row r="180" spans="1:10" x14ac:dyDescent="0.25">
      <c r="A180" s="78">
        <v>43466</v>
      </c>
      <c r="B180" s="5">
        <v>2019</v>
      </c>
      <c r="C180" s="9" t="s">
        <v>532</v>
      </c>
      <c r="D180" s="153">
        <f>+GETPIVOTDATA("Suma de Enero",$A$17,"Año",2019)</f>
        <v>455189582051.52997</v>
      </c>
      <c r="E180" s="18">
        <f t="shared" si="9"/>
        <v>4648150003121.7109</v>
      </c>
      <c r="F180" s="18">
        <f t="shared" si="8"/>
        <v>455189.58205152996</v>
      </c>
      <c r="G180" s="23">
        <f t="shared" si="10"/>
        <v>5.1331258935446211E-2</v>
      </c>
      <c r="H180" s="102"/>
      <c r="I180" s="21" t="s">
        <v>531</v>
      </c>
      <c r="J180" s="24">
        <v>5.2508801760191348E-2</v>
      </c>
    </row>
    <row r="181" spans="1:10" x14ac:dyDescent="0.25">
      <c r="A181" s="78">
        <v>43497</v>
      </c>
      <c r="B181" s="5">
        <v>2019</v>
      </c>
      <c r="C181" s="9" t="s">
        <v>531</v>
      </c>
      <c r="D181" s="153">
        <f>+GETPIVOTDATA("Suma de Febrero",$A$17,"Año",2019)</f>
        <v>303736847845.47003</v>
      </c>
      <c r="E181" s="18">
        <f t="shared" ref="E181:E190" si="11">+SUM(D170:D181)</f>
        <v>4673593660225.5703</v>
      </c>
      <c r="F181" s="18">
        <f t="shared" si="8"/>
        <v>303736.84784547001</v>
      </c>
      <c r="G181" s="23">
        <f t="shared" si="10"/>
        <v>5.758829414340938E-2</v>
      </c>
      <c r="H181" s="102"/>
      <c r="I181" s="21" t="s">
        <v>530</v>
      </c>
      <c r="J181" s="24">
        <v>3.5914528107376276E-2</v>
      </c>
    </row>
    <row r="182" spans="1:10" x14ac:dyDescent="0.25">
      <c r="A182" s="78">
        <v>43525</v>
      </c>
      <c r="B182" s="5">
        <v>2019</v>
      </c>
      <c r="C182" s="9" t="s">
        <v>530</v>
      </c>
      <c r="D182" s="153">
        <f>+GETPIVOTDATA("Suma de Marzo",$A$17,"Año",2019)</f>
        <v>474555135172.23004</v>
      </c>
      <c r="E182" s="18">
        <f t="shared" si="11"/>
        <v>4686139223949.1504</v>
      </c>
      <c r="F182" s="18">
        <f t="shared" si="8"/>
        <v>474555.13517223002</v>
      </c>
      <c r="G182" s="23">
        <f t="shared" si="10"/>
        <v>6.3510711001699471E-2</v>
      </c>
      <c r="H182" s="102"/>
      <c r="I182" s="21" t="s">
        <v>529</v>
      </c>
      <c r="J182" s="24">
        <v>4.8546273214727265E-2</v>
      </c>
    </row>
    <row r="183" spans="1:10" x14ac:dyDescent="0.25">
      <c r="A183" s="78">
        <v>43556</v>
      </c>
      <c r="B183" s="5">
        <v>2019</v>
      </c>
      <c r="C183" s="9" t="s">
        <v>529</v>
      </c>
      <c r="D183" s="153">
        <f>+GETPIVOTDATA("Suma de Abril",$A$17,"Año",2019)</f>
        <v>348911494293.27002</v>
      </c>
      <c r="E183" s="18">
        <f t="shared" si="11"/>
        <v>4684165211993.041</v>
      </c>
      <c r="F183" s="18">
        <f t="shared" si="8"/>
        <v>348911.49429326999</v>
      </c>
      <c r="G183" s="23">
        <f t="shared" si="10"/>
        <v>5.2445967109698177E-2</v>
      </c>
      <c r="H183" s="102"/>
      <c r="I183" s="21" t="s">
        <v>528</v>
      </c>
      <c r="J183" s="24">
        <v>3.3767245220717834E-2</v>
      </c>
    </row>
    <row r="184" spans="1:10" x14ac:dyDescent="0.25">
      <c r="A184" s="78">
        <v>43586</v>
      </c>
      <c r="B184" s="5">
        <v>2019</v>
      </c>
      <c r="C184" s="9" t="s">
        <v>528</v>
      </c>
      <c r="D184" s="153">
        <f>+GETPIVOTDATA("Suma de Mayo",$A$17,"Año",2019)</f>
        <v>305368958623.01001</v>
      </c>
      <c r="E184" s="18">
        <f>+SUM(D173:D184)</f>
        <v>4721234343410.4102</v>
      </c>
      <c r="F184" s="18">
        <f t="shared" si="8"/>
        <v>305368.95862301002</v>
      </c>
      <c r="G184" s="23">
        <f t="shared" si="10"/>
        <v>6.8526312306408599E-2</v>
      </c>
      <c r="H184" s="102"/>
      <c r="I184" s="21" t="s">
        <v>527</v>
      </c>
      <c r="J184" s="24">
        <v>2.5472375688261994E-2</v>
      </c>
    </row>
    <row r="185" spans="1:10" x14ac:dyDescent="0.25">
      <c r="A185" s="78">
        <v>43617</v>
      </c>
      <c r="B185" s="5">
        <v>2019</v>
      </c>
      <c r="C185" s="9" t="s">
        <v>527</v>
      </c>
      <c r="D185" s="153">
        <f>+GETPIVOTDATA("Suma de Junio",$A$17,"Año",2019)</f>
        <v>422539111482.51996</v>
      </c>
      <c r="E185" s="18">
        <f t="shared" si="11"/>
        <v>4725713764319.3398</v>
      </c>
      <c r="F185" s="18">
        <f t="shared" si="8"/>
        <v>422539.11148251995</v>
      </c>
      <c r="G185" s="23">
        <f t="shared" si="10"/>
        <v>7.0870627110160678E-2</v>
      </c>
      <c r="H185" s="102"/>
      <c r="I185" s="21" t="s">
        <v>526</v>
      </c>
      <c r="J185" s="24">
        <v>3.523379033288454E-2</v>
      </c>
    </row>
    <row r="186" spans="1:10" x14ac:dyDescent="0.25">
      <c r="A186" s="78">
        <v>43647</v>
      </c>
      <c r="B186" s="5">
        <v>2019</v>
      </c>
      <c r="C186" s="9" t="s">
        <v>526</v>
      </c>
      <c r="D186" s="153">
        <f>+GETPIVOTDATA("Suma de Julio",$A$17,"Año",2019)</f>
        <v>325187198775.26001</v>
      </c>
      <c r="E186" s="18">
        <f t="shared" si="11"/>
        <v>4724202225250.6592</v>
      </c>
      <c r="F186" s="18">
        <f t="shared" si="8"/>
        <v>325187.19877526001</v>
      </c>
      <c r="G186" s="23">
        <f t="shared" si="10"/>
        <v>6.2026721278713781E-2</v>
      </c>
      <c r="H186" s="102"/>
      <c r="I186" s="21" t="s">
        <v>525</v>
      </c>
      <c r="J186" s="24">
        <v>-2.0970761195292287E-2</v>
      </c>
    </row>
    <row r="187" spans="1:10" x14ac:dyDescent="0.25">
      <c r="A187" s="78">
        <v>43678</v>
      </c>
      <c r="B187" s="5">
        <v>2019</v>
      </c>
      <c r="C187" s="9" t="s">
        <v>525</v>
      </c>
      <c r="D187" s="153">
        <f>+GETPIVOTDATA("Suma de Agosto",$A$17,"Año",2019)</f>
        <v>337328098790.13</v>
      </c>
      <c r="E187" s="18">
        <f t="shared" si="11"/>
        <v>4781490927488.4199</v>
      </c>
      <c r="F187" s="18">
        <f t="shared" si="8"/>
        <v>337328.09879013</v>
      </c>
      <c r="G187" s="23">
        <f t="shared" si="10"/>
        <v>7.5988115845055493E-2</v>
      </c>
      <c r="H187" s="102"/>
      <c r="I187" s="16" t="s">
        <v>795</v>
      </c>
      <c r="J187" s="24">
        <v>8.4642095480804187</v>
      </c>
    </row>
    <row r="188" spans="1:10" x14ac:dyDescent="0.25">
      <c r="A188" s="78">
        <v>43709</v>
      </c>
      <c r="B188" s="5">
        <v>2019</v>
      </c>
      <c r="C188" s="9" t="s">
        <v>524</v>
      </c>
      <c r="D188" s="153">
        <f>+GETPIVOTDATA("Suma de Setiembre",$A$17,"Año",2019)</f>
        <v>449550378276.73993</v>
      </c>
      <c r="E188" s="18">
        <f>+SUM(D177:D188)</f>
        <v>4832359767437.21</v>
      </c>
      <c r="F188" s="18">
        <f t="shared" si="8"/>
        <v>449550.37827673991</v>
      </c>
      <c r="G188" s="23">
        <f t="shared" si="10"/>
        <v>9.1687992517665462E-2</v>
      </c>
      <c r="H188" s="102"/>
      <c r="I188" s="101"/>
      <c r="J188" s="101"/>
    </row>
    <row r="189" spans="1:10" x14ac:dyDescent="0.25">
      <c r="A189" s="78">
        <v>43739</v>
      </c>
      <c r="B189" s="5">
        <v>2019</v>
      </c>
      <c r="C189" s="9" t="s">
        <v>523</v>
      </c>
      <c r="D189" s="153">
        <f>+GETPIVOTDATA("Suma de Octubre",$A$17,"Año",2019)</f>
        <v>414811521293.09003</v>
      </c>
      <c r="E189" s="18">
        <f>+SUM(D178:D189)</f>
        <v>4908420996622.2002</v>
      </c>
      <c r="F189" s="18">
        <f t="shared" si="8"/>
        <v>414811.52129309002</v>
      </c>
      <c r="G189" s="23">
        <f t="shared" si="10"/>
        <v>0.10157586564664012</v>
      </c>
      <c r="H189" s="102"/>
      <c r="I189" s="103"/>
      <c r="J189" s="101"/>
    </row>
    <row r="190" spans="1:10" x14ac:dyDescent="0.25">
      <c r="A190" s="78">
        <v>43770</v>
      </c>
      <c r="B190" s="5">
        <v>2019</v>
      </c>
      <c r="C190" s="9" t="s">
        <v>522</v>
      </c>
      <c r="D190" s="153">
        <f>+GETPIVOTDATA("Suma de Noviembre",$A$17,"Año",2019)</f>
        <v>367570250379.71997</v>
      </c>
      <c r="E190" s="18">
        <f t="shared" si="11"/>
        <v>4934647305539.6094</v>
      </c>
      <c r="F190" s="18">
        <f t="shared" si="8"/>
        <v>367570.25037971995</v>
      </c>
      <c r="G190" s="23">
        <f t="shared" si="10"/>
        <v>0.10525669425687756</v>
      </c>
      <c r="H190" s="102"/>
      <c r="I190" s="101"/>
      <c r="J190" s="101"/>
    </row>
    <row r="191" spans="1:10" x14ac:dyDescent="0.25">
      <c r="A191" s="148">
        <v>43800</v>
      </c>
      <c r="B191" s="149">
        <v>2019</v>
      </c>
      <c r="C191" s="150" t="s">
        <v>521</v>
      </c>
      <c r="D191" s="151">
        <f>+GETPIVOTDATA("Suma de Diciembre",$A$17,"Año",2019)</f>
        <v>684821138863.90002</v>
      </c>
      <c r="E191" s="151">
        <f>+SUM(D180:D191)</f>
        <v>4889569715846.8701</v>
      </c>
      <c r="F191" s="151">
        <f>+D191/1000000</f>
        <v>684821.13886389998</v>
      </c>
      <c r="G191" s="152">
        <f t="shared" si="10"/>
        <v>7.059968974088271E-2</v>
      </c>
      <c r="H191" s="102"/>
      <c r="I191" s="109">
        <f>+SUM(F180:F189)</f>
        <v>3837178.3266032501</v>
      </c>
      <c r="J191" s="101">
        <v>3837178.3266032501</v>
      </c>
    </row>
    <row r="192" spans="1:10" x14ac:dyDescent="0.25">
      <c r="A192" s="78">
        <v>43831</v>
      </c>
      <c r="B192" s="5">
        <v>2020</v>
      </c>
      <c r="C192" s="9" t="s">
        <v>532</v>
      </c>
      <c r="D192" s="153">
        <f>+GETPIVOTDATA("Suma de Enero",$A$17,"Año",2020)</f>
        <v>442684394646.52997</v>
      </c>
      <c r="E192" s="170">
        <f>+SUM(D181:D192)</f>
        <v>4877064528441.8701</v>
      </c>
      <c r="F192" s="170">
        <f>+D192/1000000</f>
        <v>442684.39464652998</v>
      </c>
      <c r="G192" s="171">
        <f>+E192/E180-1</f>
        <v>4.92485236419693E-2</v>
      </c>
      <c r="H192" s="102"/>
      <c r="I192" s="54">
        <f>+SUM(F192:F201)</f>
        <v>3377098.7732409304</v>
      </c>
      <c r="J192" s="101"/>
    </row>
    <row r="193" spans="1:14" x14ac:dyDescent="0.25">
      <c r="A193" s="78">
        <v>43862</v>
      </c>
      <c r="B193" s="5">
        <v>2020</v>
      </c>
      <c r="C193" s="9" t="s">
        <v>531</v>
      </c>
      <c r="D193" s="153">
        <f>+GETPIVOTDATA("Suma de Febrero",$A$17,"Año",2020)</f>
        <v>352575219607.16998</v>
      </c>
      <c r="E193" s="170">
        <f t="shared" ref="E193:E200" si="12">+SUM(D182:D193)</f>
        <v>4925902900203.5693</v>
      </c>
      <c r="F193" s="170">
        <f t="shared" ref="F193:F203" si="13">+D193/1000000</f>
        <v>352575.21960716997</v>
      </c>
      <c r="G193" s="171">
        <f t="shared" ref="G193:G203" si="14">+E193/E181-1</f>
        <v>5.3986131084793776E-2</v>
      </c>
      <c r="H193" s="102"/>
      <c r="I193" s="54">
        <f>+I192-I191</f>
        <v>-460079.55336231971</v>
      </c>
      <c r="J193" s="101"/>
    </row>
    <row r="194" spans="1:14" x14ac:dyDescent="0.25">
      <c r="A194" s="78">
        <v>43891</v>
      </c>
      <c r="B194" s="5">
        <v>2020</v>
      </c>
      <c r="C194" s="9" t="s">
        <v>530</v>
      </c>
      <c r="D194" s="153">
        <f>+GETPIVOTDATA("Suma de Marzo",$A$17,"Año",2020)</f>
        <v>496420455583.21997</v>
      </c>
      <c r="E194" s="170">
        <f>+SUM(D183:D194)</f>
        <v>4947768220614.5596</v>
      </c>
      <c r="F194" s="170">
        <f t="shared" si="13"/>
        <v>496420.45558322</v>
      </c>
      <c r="G194" s="171">
        <f>+E194/E182-1</f>
        <v>5.583039345658336E-2</v>
      </c>
      <c r="H194" s="102"/>
      <c r="I194" s="24"/>
      <c r="J194" s="101"/>
    </row>
    <row r="195" spans="1:14" x14ac:dyDescent="0.25">
      <c r="A195" s="78">
        <v>43922</v>
      </c>
      <c r="B195" s="5">
        <v>2020</v>
      </c>
      <c r="C195" s="9" t="s">
        <v>529</v>
      </c>
      <c r="D195" s="153">
        <f>+GETPIVOTDATA("Suma de Abril",$A$17,"Año",2020)</f>
        <v>267112783880.09998</v>
      </c>
      <c r="E195" s="170">
        <f t="shared" si="12"/>
        <v>4865969510201.3887</v>
      </c>
      <c r="F195" s="170">
        <f>+D195/1000000</f>
        <v>267112.7838801</v>
      </c>
      <c r="G195" s="171">
        <f>+E195/E183-1</f>
        <v>3.8812529016454711E-2</v>
      </c>
      <c r="H195" s="102"/>
      <c r="I195" s="24"/>
      <c r="J195" s="102"/>
      <c r="N195" s="17"/>
    </row>
    <row r="196" spans="1:14" x14ac:dyDescent="0.25">
      <c r="A196" s="78">
        <v>43952</v>
      </c>
      <c r="B196" s="5">
        <v>2020</v>
      </c>
      <c r="C196" s="9" t="s">
        <v>528</v>
      </c>
      <c r="D196" s="153">
        <f>+GETPIVOTDATA("Suma de Mayo",$A$17,"Año",2020)</f>
        <v>213855805763.61996</v>
      </c>
      <c r="E196" s="170">
        <f t="shared" si="12"/>
        <v>4774456357341.999</v>
      </c>
      <c r="F196" s="170">
        <f t="shared" si="13"/>
        <v>213855.80576361995</v>
      </c>
      <c r="G196" s="171">
        <f>+E196/E184-1</f>
        <v>1.1272902393814066E-2</v>
      </c>
      <c r="H196" s="102"/>
      <c r="I196" s="24"/>
      <c r="J196" s="102"/>
      <c r="N196" s="17"/>
    </row>
    <row r="197" spans="1:14" x14ac:dyDescent="0.25">
      <c r="A197" s="78">
        <v>43983</v>
      </c>
      <c r="B197" s="5">
        <v>2020</v>
      </c>
      <c r="C197" s="9" t="s">
        <v>527</v>
      </c>
      <c r="D197" s="153">
        <f>+GETPIVOTDATA("Suma de Junio",$A$17,"Año",2020)</f>
        <v>268898415986.01004</v>
      </c>
      <c r="E197" s="170">
        <f t="shared" si="12"/>
        <v>4620815661845.4902</v>
      </c>
      <c r="F197" s="170">
        <f t="shared" si="13"/>
        <v>268898.41598601005</v>
      </c>
      <c r="G197" s="171">
        <f t="shared" si="14"/>
        <v>-2.2197303456223727E-2</v>
      </c>
      <c r="H197" s="103">
        <f>+SUM(F192:F201)</f>
        <v>3377098.7732409304</v>
      </c>
      <c r="I197" s="24"/>
      <c r="J197" s="109"/>
    </row>
    <row r="198" spans="1:14" x14ac:dyDescent="0.25">
      <c r="A198" s="78">
        <v>44013</v>
      </c>
      <c r="B198" s="5">
        <v>2020</v>
      </c>
      <c r="C198" s="9" t="s">
        <v>526</v>
      </c>
      <c r="D198" s="153">
        <f>+GETPIVOTDATA("Suma de Julio",$A$17,"Año",2020)</f>
        <v>292719840713.69995</v>
      </c>
      <c r="E198" s="170">
        <f t="shared" si="12"/>
        <v>4588348303783.9307</v>
      </c>
      <c r="F198" s="170">
        <f t="shared" si="13"/>
        <v>292719.84071369993</v>
      </c>
      <c r="G198" s="171">
        <f>+E198/E186-1</f>
        <v>-2.875700805960324E-2</v>
      </c>
      <c r="H198" s="103">
        <f>+H197+F201</f>
        <v>3724054.7154402705</v>
      </c>
      <c r="I198" s="24"/>
      <c r="J198" s="101"/>
      <c r="N198" s="17"/>
    </row>
    <row r="199" spans="1:14" x14ac:dyDescent="0.25">
      <c r="A199" s="78">
        <v>44044</v>
      </c>
      <c r="B199" s="5">
        <v>2020</v>
      </c>
      <c r="C199" s="9" t="s">
        <v>525</v>
      </c>
      <c r="D199" s="153">
        <f>+GETPIVOTDATA("Suma de Agosto",$A$17,"Año",2020)</f>
        <v>295586958971.72998</v>
      </c>
      <c r="E199" s="170">
        <f t="shared" si="12"/>
        <v>4546607163965.5293</v>
      </c>
      <c r="F199" s="170">
        <f>+D199/1000000</f>
        <v>295586.95897172997</v>
      </c>
      <c r="G199" s="171">
        <f>+E199/E187-1</f>
        <v>-4.9123540561911816E-2</v>
      </c>
      <c r="H199" s="102"/>
      <c r="I199" s="24"/>
      <c r="J199" s="109"/>
      <c r="L199" s="17"/>
    </row>
    <row r="200" spans="1:14" x14ac:dyDescent="0.25">
      <c r="A200" s="78">
        <v>44075</v>
      </c>
      <c r="B200" s="5">
        <v>2020</v>
      </c>
      <c r="C200" s="9" t="s">
        <v>524</v>
      </c>
      <c r="D200" s="153">
        <f>+GETPIVOTDATA("Suma de Setiembre",$A$17,"Año",2020)</f>
        <v>400288955889.50995</v>
      </c>
      <c r="E200" s="170">
        <f t="shared" si="12"/>
        <v>4497345741578.3008</v>
      </c>
      <c r="F200" s="170">
        <f>+D200/1000000</f>
        <v>400288.95588950993</v>
      </c>
      <c r="G200" s="171">
        <f t="shared" si="14"/>
        <v>-6.9327211131173794E-2</v>
      </c>
      <c r="H200" s="102"/>
      <c r="I200" s="77"/>
      <c r="J200" s="102"/>
      <c r="L200" s="17"/>
    </row>
    <row r="201" spans="1:14" x14ac:dyDescent="0.25">
      <c r="A201" s="78">
        <v>44105</v>
      </c>
      <c r="B201" s="5">
        <v>2020</v>
      </c>
      <c r="C201" s="9" t="s">
        <v>523</v>
      </c>
      <c r="D201" s="153">
        <f>+GETPIVOTDATA("Suma de Octubre",$A$17,"Año",2020)</f>
        <v>346955942199.33997</v>
      </c>
      <c r="E201" s="170">
        <f>+SUM(D190:D201)</f>
        <v>4429490162484.5508</v>
      </c>
      <c r="F201" s="170">
        <f>+D201/1000000</f>
        <v>346955.94219933997</v>
      </c>
      <c r="G201" s="171">
        <f t="shared" si="14"/>
        <v>-9.7573299940496683E-2</v>
      </c>
      <c r="H201" s="109"/>
      <c r="I201" s="102"/>
      <c r="J201" s="102"/>
      <c r="K201" s="24"/>
    </row>
    <row r="202" spans="1:14" x14ac:dyDescent="0.25">
      <c r="A202" s="78">
        <v>44136</v>
      </c>
      <c r="B202" s="5">
        <v>2020</v>
      </c>
      <c r="C202" s="9" t="s">
        <v>522</v>
      </c>
      <c r="D202" s="153">
        <f>+GETPIVOTDATA("Suma de Noviembre",$A$17,"Año",2020)</f>
        <v>327012109592.53992</v>
      </c>
      <c r="E202" s="170">
        <f>+SUM(D191:D202)</f>
        <v>4388932021697.3696</v>
      </c>
      <c r="F202" s="170">
        <f t="shared" si="13"/>
        <v>327012.1095925399</v>
      </c>
      <c r="G202" s="171">
        <f t="shared" si="14"/>
        <v>-0.1105885081654413</v>
      </c>
      <c r="H202" s="109">
        <v>221078.5</v>
      </c>
      <c r="I202" s="103">
        <v>301236.90000000002</v>
      </c>
      <c r="J202" s="103">
        <v>331887.40000000002</v>
      </c>
      <c r="L202" s="17"/>
    </row>
    <row r="203" spans="1:14" x14ac:dyDescent="0.25">
      <c r="A203" s="78">
        <v>44166</v>
      </c>
      <c r="B203" s="5">
        <v>2020</v>
      </c>
      <c r="C203" s="9" t="s">
        <v>521</v>
      </c>
      <c r="D203" s="153">
        <f>+GETPIVOTDATA("Suma de Diciembre",$A$17,"Año",2020)</f>
        <v>18848548711.490002</v>
      </c>
      <c r="E203" s="170">
        <f>+SUM(D192:D203)</f>
        <v>3722959431544.9595</v>
      </c>
      <c r="F203" s="170">
        <f t="shared" si="13"/>
        <v>18848.548711490002</v>
      </c>
      <c r="G203" s="171">
        <f t="shared" si="14"/>
        <v>-0.23859160459886286</v>
      </c>
      <c r="H203" s="109">
        <v>336419.6</v>
      </c>
      <c r="I203" s="103">
        <v>632685.30000000005</v>
      </c>
      <c r="J203" s="103">
        <v>636434.80000000005</v>
      </c>
      <c r="L203" s="17"/>
    </row>
    <row r="204" spans="1:14" x14ac:dyDescent="0.25">
      <c r="A204" s="101"/>
      <c r="B204" s="101"/>
      <c r="C204" s="101"/>
      <c r="D204" s="101"/>
      <c r="E204" s="101"/>
      <c r="F204" s="101"/>
      <c r="G204" s="101"/>
      <c r="H204" s="109"/>
      <c r="I204" s="109">
        <f>+H197+I202+I203</f>
        <v>4311020.9732409306</v>
      </c>
      <c r="J204" s="103">
        <f>+H197+J202+J203</f>
        <v>4345420.9732409306</v>
      </c>
      <c r="L204" s="17"/>
    </row>
    <row r="205" spans="1:14" x14ac:dyDescent="0.25">
      <c r="A205" s="101"/>
      <c r="B205" s="101"/>
      <c r="C205" s="101"/>
      <c r="D205" s="101"/>
      <c r="E205" s="101"/>
      <c r="F205" s="109">
        <f>+SUM(F192:F201)</f>
        <v>3377098.7732409304</v>
      </c>
      <c r="G205" s="109"/>
      <c r="H205" s="109"/>
      <c r="I205" s="103">
        <f>+I204-60000-100000</f>
        <v>4151020.9732409306</v>
      </c>
      <c r="J205" s="103"/>
      <c r="L205" s="17"/>
    </row>
    <row r="206" spans="1:14" x14ac:dyDescent="0.25">
      <c r="A206" s="101"/>
      <c r="B206" s="101"/>
      <c r="C206" s="101"/>
      <c r="D206" s="101"/>
      <c r="E206" s="101"/>
      <c r="F206" s="109">
        <f>+F199</f>
        <v>295586.95897172997</v>
      </c>
      <c r="G206" s="101"/>
      <c r="H206" s="109"/>
      <c r="I206" s="111"/>
      <c r="J206" s="111"/>
      <c r="L206" s="17"/>
    </row>
    <row r="207" spans="1:14" x14ac:dyDescent="0.25">
      <c r="A207" s="101"/>
      <c r="B207" s="101"/>
      <c r="C207" s="101"/>
      <c r="D207" s="101"/>
      <c r="E207" s="101"/>
      <c r="F207" s="109">
        <f>+F200</f>
        <v>400288.95588950993</v>
      </c>
      <c r="G207" s="101"/>
      <c r="H207" s="109"/>
      <c r="I207" s="111"/>
      <c r="J207" s="111"/>
      <c r="L207" s="17"/>
    </row>
    <row r="208" spans="1:14" x14ac:dyDescent="0.25">
      <c r="A208" s="101"/>
      <c r="B208" s="101"/>
      <c r="C208" s="101"/>
      <c r="D208" s="101"/>
      <c r="E208" s="101"/>
      <c r="F208" s="109">
        <f>+F205+F206+F207</f>
        <v>4072974.6881021704</v>
      </c>
      <c r="G208" s="101"/>
      <c r="H208" s="101"/>
      <c r="I208" s="103">
        <f>+SUM(F192:F201)+H202+H203</f>
        <v>3934596.8732409305</v>
      </c>
      <c r="J208" s="101"/>
      <c r="L208" s="17"/>
    </row>
    <row r="209" spans="1:14" x14ac:dyDescent="0.25">
      <c r="A209" s="101"/>
      <c r="B209" s="101"/>
      <c r="C209" s="101"/>
      <c r="D209" s="101"/>
      <c r="E209" s="101"/>
      <c r="F209" s="101"/>
      <c r="G209" s="101"/>
      <c r="H209" s="109">
        <f>+I209-H198</f>
        <v>-2095382.7154402705</v>
      </c>
      <c r="I209" s="103">
        <v>1628672</v>
      </c>
      <c r="J209" s="101"/>
    </row>
    <row r="210" spans="1:14" x14ac:dyDescent="0.25">
      <c r="A210" s="101"/>
      <c r="B210" s="101"/>
      <c r="C210" s="101"/>
      <c r="D210" s="101"/>
      <c r="E210" s="101"/>
      <c r="F210" s="101"/>
      <c r="G210" s="101"/>
      <c r="H210" s="109">
        <f>+H209-F191</f>
        <v>-2780203.8543041702</v>
      </c>
      <c r="I210" s="103">
        <f>+I208+I209</f>
        <v>5563268.873240931</v>
      </c>
      <c r="J210" s="101"/>
    </row>
    <row r="211" spans="1:14" x14ac:dyDescent="0.25">
      <c r="A211" s="101"/>
      <c r="B211" s="101"/>
      <c r="C211" s="101"/>
      <c r="D211" s="101"/>
      <c r="E211" s="101"/>
      <c r="F211" s="101"/>
      <c r="G211" s="101"/>
      <c r="H211" s="101"/>
      <c r="I211" s="54">
        <f>+I210-60000</f>
        <v>5503268.873240931</v>
      </c>
      <c r="J211" s="101"/>
    </row>
    <row r="212" spans="1:14" x14ac:dyDescent="0.25">
      <c r="A212" s="101"/>
      <c r="B212" s="101"/>
      <c r="C212" s="101"/>
      <c r="D212" s="101"/>
      <c r="E212" s="101"/>
      <c r="F212" s="101"/>
      <c r="G212" s="101"/>
      <c r="H212" s="101"/>
      <c r="I212" s="103">
        <v>4081000</v>
      </c>
      <c r="J212" s="101"/>
    </row>
    <row r="213" spans="1:14" x14ac:dyDescent="0.25">
      <c r="A213" s="101"/>
      <c r="B213" s="101"/>
      <c r="C213" s="101"/>
      <c r="D213" s="101"/>
      <c r="E213" s="101"/>
      <c r="F213" s="101"/>
      <c r="G213" s="101"/>
      <c r="H213" s="101"/>
      <c r="I213" s="102"/>
      <c r="J213" s="103"/>
      <c r="L213" s="177"/>
    </row>
    <row r="214" spans="1:14" x14ac:dyDescent="0.25">
      <c r="A214" s="101"/>
      <c r="B214" s="101"/>
      <c r="C214" s="101"/>
      <c r="D214" s="101"/>
      <c r="E214" s="101"/>
      <c r="F214" s="101"/>
      <c r="G214" s="101"/>
      <c r="H214" s="101"/>
      <c r="I214" s="103">
        <v>100000</v>
      </c>
      <c r="J214" s="103"/>
      <c r="K214" s="77"/>
      <c r="L214" s="77"/>
      <c r="M214" s="178"/>
    </row>
    <row r="215" spans="1:14" x14ac:dyDescent="0.25">
      <c r="A215" s="101"/>
      <c r="B215" s="101"/>
      <c r="C215" s="101"/>
      <c r="D215" s="101"/>
      <c r="E215" s="101"/>
      <c r="F215" s="101"/>
      <c r="G215" s="101"/>
      <c r="H215" s="101"/>
      <c r="I215" s="103">
        <v>35000000</v>
      </c>
      <c r="J215" s="103"/>
      <c r="K215" s="77"/>
      <c r="L215" s="77"/>
      <c r="M215" s="178"/>
      <c r="N215" s="179"/>
    </row>
    <row r="216" spans="1:14" x14ac:dyDescent="0.25">
      <c r="A216" s="101"/>
      <c r="B216" s="101"/>
      <c r="C216" s="101"/>
      <c r="D216" s="101"/>
      <c r="E216" s="101"/>
      <c r="F216" s="101"/>
      <c r="G216" s="101"/>
      <c r="H216" s="101"/>
      <c r="I216" s="102">
        <f>+I214/I215</f>
        <v>2.8571428571428571E-3</v>
      </c>
      <c r="J216" s="103"/>
      <c r="K216" s="77"/>
      <c r="L216" s="77"/>
      <c r="M216" s="178"/>
      <c r="N216" s="179"/>
    </row>
    <row r="217" spans="1:14" x14ac:dyDescent="0.25">
      <c r="A217" s="101"/>
      <c r="B217" s="101"/>
      <c r="C217" s="101"/>
      <c r="D217" s="101"/>
      <c r="E217" s="101"/>
      <c r="F217" s="101"/>
      <c r="G217" s="101"/>
      <c r="H217" s="101"/>
      <c r="I217" s="101"/>
      <c r="J217" s="103"/>
      <c r="K217" s="77"/>
      <c r="L217" s="77"/>
      <c r="M217" s="178"/>
      <c r="N217" s="179"/>
    </row>
    <row r="218" spans="1:14" x14ac:dyDescent="0.25">
      <c r="A218" s="101"/>
      <c r="B218" s="101"/>
      <c r="C218" s="101"/>
      <c r="D218" s="101"/>
      <c r="E218" s="101"/>
      <c r="F218" s="101"/>
      <c r="G218" s="101"/>
      <c r="H218" s="101"/>
      <c r="I218" s="101"/>
      <c r="J218" s="103"/>
      <c r="K218" s="77"/>
      <c r="L218" s="77"/>
      <c r="M218" s="178"/>
      <c r="N218" s="179"/>
    </row>
    <row r="219" spans="1:14" x14ac:dyDescent="0.25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L219" s="77"/>
      <c r="N219" s="179"/>
    </row>
    <row r="220" spans="1:14" x14ac:dyDescent="0.25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</row>
    <row r="221" spans="1:14" x14ac:dyDescent="0.25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L221" s="77"/>
      <c r="M221" s="119"/>
    </row>
    <row r="222" spans="1:14" x14ac:dyDescent="0.25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L222" s="77"/>
    </row>
    <row r="223" spans="1:14" x14ac:dyDescent="0.25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L223" s="17"/>
      <c r="M223" s="119"/>
    </row>
    <row r="224" spans="1:14" x14ac:dyDescent="0.25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x14ac:dyDescent="0.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x14ac:dyDescent="0.25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x14ac:dyDescent="0.25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x14ac:dyDescent="0.25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x14ac:dyDescent="0.25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x14ac:dyDescent="0.25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x14ac:dyDescent="0.25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x14ac:dyDescent="0.25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x14ac:dyDescent="0.25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x14ac:dyDescent="0.25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x14ac:dyDescent="0.2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x14ac:dyDescent="0.25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x14ac:dyDescent="0.25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x14ac:dyDescent="0.25">
      <c r="I238" s="101"/>
      <c r="J238" s="101"/>
    </row>
    <row r="239" spans="1:10" x14ac:dyDescent="0.25">
      <c r="I239" s="101"/>
      <c r="J239" s="101"/>
    </row>
    <row r="240" spans="1:10" x14ac:dyDescent="0.25">
      <c r="I240" s="101"/>
      <c r="J240" s="101"/>
    </row>
    <row r="241" spans="9:10" x14ac:dyDescent="0.25">
      <c r="I241" s="101"/>
      <c r="J241" s="101"/>
    </row>
    <row r="242" spans="9:10" x14ac:dyDescent="0.25">
      <c r="I242" s="101"/>
      <c r="J242" s="101"/>
    </row>
    <row r="243" spans="9:10" x14ac:dyDescent="0.25">
      <c r="I243" s="101"/>
      <c r="J243" s="101"/>
    </row>
    <row r="244" spans="9:10" x14ac:dyDescent="0.25">
      <c r="I244" s="101"/>
      <c r="J244" s="101"/>
    </row>
    <row r="245" spans="9:10" x14ac:dyDescent="0.25">
      <c r="I245" s="101"/>
      <c r="J245" s="101"/>
    </row>
    <row r="246" spans="9:10" x14ac:dyDescent="0.25">
      <c r="I246" s="101"/>
      <c r="J246" s="101"/>
    </row>
    <row r="247" spans="9:10" x14ac:dyDescent="0.25">
      <c r="I247" s="101"/>
      <c r="J247" s="101"/>
    </row>
    <row r="248" spans="9:10" x14ac:dyDescent="0.25">
      <c r="I248" s="101"/>
      <c r="J248" s="101"/>
    </row>
    <row r="249" spans="9:10" x14ac:dyDescent="0.25">
      <c r="I249" s="101"/>
      <c r="J249" s="101"/>
    </row>
    <row r="250" spans="9:10" x14ac:dyDescent="0.25">
      <c r="I250" s="101"/>
      <c r="J250" s="101"/>
    </row>
    <row r="251" spans="9:10" x14ac:dyDescent="0.25">
      <c r="I251" s="101"/>
      <c r="J251" s="101"/>
    </row>
    <row r="252" spans="9:10" x14ac:dyDescent="0.25">
      <c r="I252" s="101"/>
      <c r="J252" s="101"/>
    </row>
    <row r="253" spans="9:10" x14ac:dyDescent="0.25">
      <c r="I253" s="101"/>
      <c r="J253" s="101"/>
    </row>
    <row r="254" spans="9:10" x14ac:dyDescent="0.25">
      <c r="I254" s="101"/>
      <c r="J254" s="101"/>
    </row>
    <row r="255" spans="9:10" x14ac:dyDescent="0.25">
      <c r="I255" s="101"/>
      <c r="J255" s="101"/>
    </row>
    <row r="256" spans="9:10" x14ac:dyDescent="0.25">
      <c r="I256" s="101"/>
      <c r="J256" s="101"/>
    </row>
    <row r="257" spans="9:10" x14ac:dyDescent="0.25">
      <c r="I257" s="101"/>
      <c r="J257" s="101"/>
    </row>
    <row r="258" spans="9:10" x14ac:dyDescent="0.25">
      <c r="I258" s="101"/>
      <c r="J258" s="101"/>
    </row>
    <row r="259" spans="9:10" x14ac:dyDescent="0.25">
      <c r="I259" s="101"/>
      <c r="J259" s="101"/>
    </row>
    <row r="260" spans="9:10" x14ac:dyDescent="0.25">
      <c r="I260" s="101"/>
      <c r="J260" s="101"/>
    </row>
    <row r="261" spans="9:10" x14ac:dyDescent="0.25">
      <c r="I261" s="101"/>
      <c r="J261" s="101"/>
    </row>
    <row r="262" spans="9:10" x14ac:dyDescent="0.25">
      <c r="I262" s="101"/>
      <c r="J262" s="101"/>
    </row>
    <row r="263" spans="9:10" x14ac:dyDescent="0.25">
      <c r="I263" s="101"/>
      <c r="J263" s="101"/>
    </row>
    <row r="264" spans="9:10" x14ac:dyDescent="0.25">
      <c r="I264" s="101"/>
      <c r="J264" s="101"/>
    </row>
    <row r="265" spans="9:10" x14ac:dyDescent="0.25">
      <c r="I265" s="101"/>
      <c r="J265" s="101"/>
    </row>
    <row r="266" spans="9:10" x14ac:dyDescent="0.25">
      <c r="I266" s="101"/>
      <c r="J266" s="101"/>
    </row>
    <row r="267" spans="9:10" x14ac:dyDescent="0.25">
      <c r="I267" s="101"/>
      <c r="J267" s="101"/>
    </row>
    <row r="268" spans="9:10" x14ac:dyDescent="0.25">
      <c r="I268" s="101"/>
      <c r="J268" s="101"/>
    </row>
    <row r="269" spans="9:10" x14ac:dyDescent="0.25">
      <c r="I269" s="101"/>
      <c r="J269" s="101"/>
    </row>
    <row r="270" spans="9:10" x14ac:dyDescent="0.25">
      <c r="I270" s="101"/>
      <c r="J270" s="101"/>
    </row>
    <row r="271" spans="9:10" x14ac:dyDescent="0.25">
      <c r="I271" s="101"/>
      <c r="J271" s="101"/>
    </row>
    <row r="272" spans="9:10" x14ac:dyDescent="0.25">
      <c r="I272" s="101"/>
      <c r="J272" s="101"/>
    </row>
    <row r="273" spans="9:10" x14ac:dyDescent="0.25">
      <c r="I273" s="101"/>
      <c r="J273" s="101"/>
    </row>
    <row r="274" spans="9:10" x14ac:dyDescent="0.25">
      <c r="I274" s="101"/>
      <c r="J274" s="101"/>
    </row>
    <row r="275" spans="9:10" x14ac:dyDescent="0.25">
      <c r="I275" s="101"/>
      <c r="J275" s="101"/>
    </row>
    <row r="276" spans="9:10" x14ac:dyDescent="0.25">
      <c r="I276" s="101"/>
      <c r="J276" s="101"/>
    </row>
    <row r="277" spans="9:10" x14ac:dyDescent="0.25">
      <c r="I277" s="101"/>
      <c r="J277" s="101"/>
    </row>
    <row r="278" spans="9:10" x14ac:dyDescent="0.25">
      <c r="I278" s="101"/>
      <c r="J278" s="101"/>
    </row>
    <row r="279" spans="9:10" x14ac:dyDescent="0.25">
      <c r="I279" s="101"/>
      <c r="J279" s="101"/>
    </row>
    <row r="280" spans="9:10" x14ac:dyDescent="0.25">
      <c r="I280" s="101"/>
      <c r="J280" s="101"/>
    </row>
    <row r="281" spans="9:10" x14ac:dyDescent="0.25">
      <c r="I281" s="101"/>
      <c r="J281" s="101"/>
    </row>
    <row r="282" spans="9:10" x14ac:dyDescent="0.25">
      <c r="I282" s="101"/>
      <c r="J282" s="101"/>
    </row>
    <row r="283" spans="9:10" x14ac:dyDescent="0.25">
      <c r="I283" s="101"/>
      <c r="J283" s="101"/>
    </row>
    <row r="284" spans="9:10" x14ac:dyDescent="0.25">
      <c r="I284" s="101"/>
      <c r="J284" s="101"/>
    </row>
    <row r="285" spans="9:10" x14ac:dyDescent="0.25">
      <c r="I285" s="101"/>
      <c r="J285" s="101"/>
    </row>
    <row r="286" spans="9:10" x14ac:dyDescent="0.25">
      <c r="I286" s="101"/>
      <c r="J286" s="101"/>
    </row>
    <row r="287" spans="9:10" x14ac:dyDescent="0.25">
      <c r="I287" s="101"/>
      <c r="J287" s="101"/>
    </row>
    <row r="288" spans="9:10" x14ac:dyDescent="0.25">
      <c r="I288" s="101"/>
      <c r="J288" s="101"/>
    </row>
    <row r="289" spans="9:10" x14ac:dyDescent="0.25">
      <c r="I289" s="101"/>
      <c r="J289" s="101"/>
    </row>
    <row r="290" spans="9:10" x14ac:dyDescent="0.25">
      <c r="I290" s="101"/>
      <c r="J290" s="101"/>
    </row>
    <row r="291" spans="9:10" x14ac:dyDescent="0.25">
      <c r="I291" s="101"/>
      <c r="J291" s="101"/>
    </row>
    <row r="292" spans="9:10" x14ac:dyDescent="0.25">
      <c r="I292" s="101"/>
      <c r="J292" s="101"/>
    </row>
    <row r="293" spans="9:10" x14ac:dyDescent="0.25">
      <c r="I293" s="101"/>
      <c r="J293" s="101"/>
    </row>
    <row r="294" spans="9:10" x14ac:dyDescent="0.25">
      <c r="I294" s="101"/>
      <c r="J294" s="101"/>
    </row>
    <row r="295" spans="9:10" x14ac:dyDescent="0.25">
      <c r="I295" s="101"/>
      <c r="J295" s="101"/>
    </row>
    <row r="296" spans="9:10" x14ac:dyDescent="0.25">
      <c r="I296" s="101"/>
      <c r="J296" s="101"/>
    </row>
    <row r="297" spans="9:10" x14ac:dyDescent="0.25">
      <c r="I297" s="101"/>
      <c r="J297" s="101"/>
    </row>
    <row r="298" spans="9:10" x14ac:dyDescent="0.25">
      <c r="I298" s="101"/>
      <c r="J298" s="101"/>
    </row>
    <row r="299" spans="9:10" x14ac:dyDescent="0.25">
      <c r="I299" s="101"/>
      <c r="J299" s="101"/>
    </row>
    <row r="300" spans="9:10" x14ac:dyDescent="0.25">
      <c r="I300" s="101"/>
      <c r="J300" s="101"/>
    </row>
    <row r="301" spans="9:10" x14ac:dyDescent="0.25">
      <c r="I301" s="101"/>
      <c r="J301" s="101"/>
    </row>
    <row r="302" spans="9:10" x14ac:dyDescent="0.25">
      <c r="I302" s="101"/>
      <c r="J302" s="101"/>
    </row>
    <row r="303" spans="9:10" x14ac:dyDescent="0.25">
      <c r="I303" s="101"/>
      <c r="J303" s="101"/>
    </row>
    <row r="304" spans="9:10" x14ac:dyDescent="0.25">
      <c r="I304" s="101"/>
      <c r="J304" s="101"/>
    </row>
    <row r="305" spans="9:10" x14ac:dyDescent="0.25">
      <c r="I305" s="101"/>
      <c r="J305" s="101"/>
    </row>
    <row r="306" spans="9:10" x14ac:dyDescent="0.25">
      <c r="I306" s="101"/>
      <c r="J306" s="101"/>
    </row>
    <row r="307" spans="9:10" x14ac:dyDescent="0.25">
      <c r="I307" s="101"/>
      <c r="J307" s="101"/>
    </row>
    <row r="308" spans="9:10" x14ac:dyDescent="0.25">
      <c r="I308" s="101"/>
      <c r="J308" s="101"/>
    </row>
    <row r="309" spans="9:10" x14ac:dyDescent="0.25">
      <c r="I309" s="101"/>
      <c r="J309" s="101"/>
    </row>
    <row r="310" spans="9:10" x14ac:dyDescent="0.25">
      <c r="I310" s="101"/>
      <c r="J310" s="101"/>
    </row>
    <row r="311" spans="9:10" x14ac:dyDescent="0.25">
      <c r="I311" s="101"/>
      <c r="J311" s="101"/>
    </row>
    <row r="312" spans="9:10" x14ac:dyDescent="0.25">
      <c r="I312" s="101"/>
      <c r="J312" s="101"/>
    </row>
    <row r="313" spans="9:10" x14ac:dyDescent="0.25">
      <c r="I313" s="101"/>
      <c r="J313" s="101"/>
    </row>
    <row r="314" spans="9:10" x14ac:dyDescent="0.25">
      <c r="I314" s="101"/>
      <c r="J314" s="101"/>
    </row>
    <row r="315" spans="9:10" x14ac:dyDescent="0.25">
      <c r="I315" s="101"/>
      <c r="J315" s="101"/>
    </row>
    <row r="316" spans="9:10" x14ac:dyDescent="0.25">
      <c r="I316" s="101"/>
      <c r="J316" s="101"/>
    </row>
    <row r="317" spans="9:10" x14ac:dyDescent="0.25">
      <c r="I317" s="101"/>
      <c r="J317" s="101"/>
    </row>
    <row r="318" spans="9:10" x14ac:dyDescent="0.25">
      <c r="I318" s="101"/>
      <c r="J318" s="101"/>
    </row>
    <row r="319" spans="9:10" x14ac:dyDescent="0.25">
      <c r="I319" s="101"/>
      <c r="J319" s="101"/>
    </row>
    <row r="320" spans="9:10" x14ac:dyDescent="0.25">
      <c r="I320" s="101"/>
      <c r="J320" s="101"/>
    </row>
    <row r="321" spans="9:10" x14ac:dyDescent="0.25">
      <c r="I321" s="101"/>
      <c r="J321" s="101"/>
    </row>
    <row r="322" spans="9:10" x14ac:dyDescent="0.25">
      <c r="I322" s="101"/>
      <c r="J322" s="101"/>
    </row>
    <row r="323" spans="9:10" x14ac:dyDescent="0.25">
      <c r="I323" s="101"/>
      <c r="J323" s="101"/>
    </row>
    <row r="324" spans="9:10" x14ac:dyDescent="0.25">
      <c r="I324" s="101"/>
      <c r="J324" s="101"/>
    </row>
    <row r="325" spans="9:10" x14ac:dyDescent="0.25">
      <c r="I325" s="101"/>
      <c r="J325" s="101"/>
    </row>
    <row r="326" spans="9:10" x14ac:dyDescent="0.25">
      <c r="I326" s="101"/>
      <c r="J326" s="101"/>
    </row>
    <row r="327" spans="9:10" x14ac:dyDescent="0.25">
      <c r="I327" s="101"/>
      <c r="J327" s="101"/>
    </row>
    <row r="328" spans="9:10" x14ac:dyDescent="0.25">
      <c r="I328" s="101"/>
      <c r="J328" s="101"/>
    </row>
    <row r="329" spans="9:10" x14ac:dyDescent="0.25">
      <c r="I329" s="101"/>
      <c r="J329" s="101"/>
    </row>
    <row r="330" spans="9:10" x14ac:dyDescent="0.25">
      <c r="I330" s="101"/>
      <c r="J330" s="101"/>
    </row>
    <row r="331" spans="9:10" x14ac:dyDescent="0.25">
      <c r="I331" s="101"/>
      <c r="J331" s="101"/>
    </row>
    <row r="332" spans="9:10" x14ac:dyDescent="0.25">
      <c r="I332" s="101"/>
      <c r="J332" s="101"/>
    </row>
    <row r="333" spans="9:10" x14ac:dyDescent="0.25">
      <c r="I333" s="101"/>
      <c r="J333" s="101"/>
    </row>
    <row r="334" spans="9:10" x14ac:dyDescent="0.25">
      <c r="I334" s="101"/>
      <c r="J334" s="101"/>
    </row>
    <row r="335" spans="9:10" x14ac:dyDescent="0.25">
      <c r="I335" s="101"/>
      <c r="J335" s="101"/>
    </row>
    <row r="336" spans="9:10" x14ac:dyDescent="0.25">
      <c r="I336" s="101"/>
      <c r="J336" s="101"/>
    </row>
    <row r="337" spans="9:10" x14ac:dyDescent="0.25">
      <c r="I337" s="101"/>
      <c r="J337" s="101"/>
    </row>
    <row r="338" spans="9:10" x14ac:dyDescent="0.25">
      <c r="I338" s="101"/>
      <c r="J338" s="101"/>
    </row>
    <row r="339" spans="9:10" x14ac:dyDescent="0.25">
      <c r="I339" s="101"/>
      <c r="J339" s="101"/>
    </row>
    <row r="340" spans="9:10" x14ac:dyDescent="0.25">
      <c r="I340" s="101"/>
      <c r="J340" s="101"/>
    </row>
    <row r="341" spans="9:10" x14ac:dyDescent="0.25">
      <c r="I341" s="101"/>
      <c r="J341" s="101"/>
    </row>
    <row r="342" spans="9:10" x14ac:dyDescent="0.25">
      <c r="I342" s="101"/>
      <c r="J342" s="101"/>
    </row>
    <row r="343" spans="9:10" x14ac:dyDescent="0.25">
      <c r="I343" s="101"/>
      <c r="J343" s="101"/>
    </row>
    <row r="344" spans="9:10" x14ac:dyDescent="0.25">
      <c r="I344" s="101"/>
      <c r="J344" s="101"/>
    </row>
    <row r="345" spans="9:10" x14ac:dyDescent="0.25">
      <c r="I345" s="101"/>
      <c r="J345" s="101"/>
    </row>
    <row r="346" spans="9:10" x14ac:dyDescent="0.25">
      <c r="I346" s="101"/>
      <c r="J346" s="101"/>
    </row>
    <row r="347" spans="9:10" x14ac:dyDescent="0.25">
      <c r="I347" s="101"/>
      <c r="J347" s="101"/>
    </row>
    <row r="348" spans="9:10" x14ac:dyDescent="0.25">
      <c r="I348" s="101"/>
      <c r="J348" s="101"/>
    </row>
    <row r="349" spans="9:10" x14ac:dyDescent="0.25">
      <c r="I349" s="101"/>
      <c r="J349" s="101"/>
    </row>
    <row r="350" spans="9:10" x14ac:dyDescent="0.25">
      <c r="I350" s="101"/>
      <c r="J350" s="101"/>
    </row>
    <row r="351" spans="9:10" x14ac:dyDescent="0.25">
      <c r="I351" s="101"/>
      <c r="J351" s="101"/>
    </row>
    <row r="352" spans="9:10" x14ac:dyDescent="0.25">
      <c r="I352" s="101"/>
      <c r="J352" s="101"/>
    </row>
    <row r="353" spans="9:10" x14ac:dyDescent="0.25">
      <c r="I353" s="101"/>
      <c r="J353" s="101"/>
    </row>
    <row r="354" spans="9:10" x14ac:dyDescent="0.25">
      <c r="I354" s="101"/>
      <c r="J354" s="101"/>
    </row>
    <row r="355" spans="9:10" x14ac:dyDescent="0.25">
      <c r="I355" s="101"/>
      <c r="J355" s="101"/>
    </row>
    <row r="356" spans="9:10" x14ac:dyDescent="0.25">
      <c r="I356" s="101"/>
      <c r="J356" s="101"/>
    </row>
  </sheetData>
  <mergeCells count="6">
    <mergeCell ref="A34:G34"/>
    <mergeCell ref="A1:D1"/>
    <mergeCell ref="A2:D2"/>
    <mergeCell ref="A3:D3"/>
    <mergeCell ref="A4:D4"/>
    <mergeCell ref="A5:D5"/>
  </mergeCell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F29"/>
  <sheetViews>
    <sheetView topLeftCell="A10" workbookViewId="0">
      <selection activeCell="A29" sqref="A29"/>
    </sheetView>
  </sheetViews>
  <sheetFormatPr baseColWidth="10" defaultRowHeight="15" x14ac:dyDescent="0.25"/>
  <cols>
    <col min="1" max="1" width="17.5703125" customWidth="1"/>
    <col min="2" max="2" width="20.5703125" customWidth="1"/>
    <col min="3" max="12" width="19.28515625" customWidth="1"/>
    <col min="13" max="13" width="17.7109375" customWidth="1"/>
    <col min="14" max="14" width="20.28515625" customWidth="1"/>
    <col min="15" max="15" width="23.5703125" customWidth="1"/>
    <col min="16" max="16" width="19.28515625" customWidth="1"/>
    <col min="17" max="17" width="22.140625" customWidth="1"/>
    <col min="18" max="18" width="21" customWidth="1"/>
    <col min="19" max="19" width="19.28515625" customWidth="1"/>
    <col min="20" max="20" width="23.5703125" customWidth="1"/>
    <col min="21" max="21" width="19.28515625" customWidth="1"/>
    <col min="22" max="22" width="22.140625" customWidth="1"/>
    <col min="23" max="23" width="21" customWidth="1"/>
    <col min="24" max="24" width="19.28515625" customWidth="1"/>
    <col min="25" max="25" width="23.5703125" customWidth="1"/>
    <col min="26" max="26" width="19.28515625" customWidth="1"/>
    <col min="27" max="27" width="22.140625" customWidth="1"/>
    <col min="28" max="28" width="21" customWidth="1"/>
    <col min="29" max="29" width="19.28515625" customWidth="1"/>
    <col min="30" max="30" width="23.5703125" customWidth="1"/>
    <col min="31" max="31" width="19.28515625" customWidth="1"/>
    <col min="32" max="32" width="22.140625" customWidth="1"/>
    <col min="33" max="33" width="21" customWidth="1"/>
    <col min="34" max="34" width="19.28515625" customWidth="1"/>
    <col min="35" max="35" width="23.5703125" customWidth="1"/>
    <col min="36" max="36" width="19.28515625" customWidth="1"/>
    <col min="37" max="37" width="22.140625" customWidth="1"/>
    <col min="38" max="38" width="21" customWidth="1"/>
    <col min="39" max="39" width="19.28515625" customWidth="1"/>
    <col min="40" max="40" width="23.5703125" customWidth="1"/>
    <col min="41" max="41" width="19.28515625" customWidth="1"/>
    <col min="42" max="42" width="22.140625" customWidth="1"/>
    <col min="43" max="43" width="21" customWidth="1"/>
    <col min="44" max="44" width="19.28515625" customWidth="1"/>
    <col min="45" max="45" width="23.5703125" customWidth="1"/>
    <col min="46" max="46" width="19.28515625" customWidth="1"/>
    <col min="47" max="47" width="22.140625" customWidth="1"/>
    <col min="48" max="48" width="21" customWidth="1"/>
    <col min="49" max="49" width="19.28515625" customWidth="1"/>
    <col min="50" max="50" width="23.5703125" customWidth="1"/>
    <col min="51" max="51" width="19.28515625" customWidth="1"/>
    <col min="52" max="52" width="22.140625" customWidth="1"/>
    <col min="53" max="53" width="21" customWidth="1"/>
    <col min="54" max="54" width="19.28515625" customWidth="1"/>
    <col min="55" max="55" width="23.5703125" customWidth="1"/>
    <col min="56" max="56" width="19.28515625" customWidth="1"/>
    <col min="57" max="57" width="22.140625" customWidth="1"/>
    <col min="58" max="58" width="21" customWidth="1"/>
    <col min="59" max="59" width="18.28515625" customWidth="1"/>
    <col min="60" max="60" width="23.5703125" customWidth="1"/>
    <col min="61" max="61" width="17.7109375" customWidth="1"/>
    <col min="62" max="62" width="20.28515625" customWidth="1"/>
    <col min="63" max="64" width="11" customWidth="1"/>
    <col min="65" max="66" width="8" customWidth="1"/>
    <col min="67" max="69" width="11" customWidth="1"/>
    <col min="70" max="70" width="8" customWidth="1"/>
    <col min="71" max="71" width="11" customWidth="1"/>
    <col min="72" max="72" width="8" customWidth="1"/>
    <col min="73" max="75" width="11" customWidth="1"/>
    <col min="76" max="76" width="8" customWidth="1"/>
    <col min="77" max="77" width="11" customWidth="1"/>
    <col min="78" max="78" width="10" customWidth="1"/>
    <col min="79" max="79" width="8" customWidth="1"/>
    <col min="80" max="80" width="11" customWidth="1"/>
    <col min="81" max="81" width="8" customWidth="1"/>
    <col min="82" max="82" width="11" customWidth="1"/>
    <col min="83" max="83" width="8" customWidth="1"/>
    <col min="84" max="84" width="11" customWidth="1"/>
    <col min="85" max="87" width="8" customWidth="1"/>
    <col min="88" max="88" width="11" customWidth="1"/>
    <col min="89" max="90" width="8" customWidth="1"/>
    <col min="91" max="92" width="10" customWidth="1"/>
    <col min="93" max="95" width="8" customWidth="1"/>
    <col min="96" max="98" width="11" customWidth="1"/>
    <col min="99" max="100" width="8" customWidth="1"/>
    <col min="101" max="102" width="11" customWidth="1"/>
    <col min="103" max="103" width="8" customWidth="1"/>
    <col min="104" max="105" width="10" customWidth="1"/>
    <col min="106" max="106" width="8" customWidth="1"/>
    <col min="107" max="107" width="11" customWidth="1"/>
    <col min="108" max="108" width="8" customWidth="1"/>
    <col min="109" max="110" width="11" customWidth="1"/>
    <col min="111" max="111" width="8" customWidth="1"/>
    <col min="112" max="112" width="11" customWidth="1"/>
    <col min="113" max="115" width="8" customWidth="1"/>
    <col min="116" max="117" width="11" customWidth="1"/>
    <col min="118" max="119" width="8" customWidth="1"/>
    <col min="120" max="120" width="11" customWidth="1"/>
    <col min="121" max="121" width="10" customWidth="1"/>
    <col min="122" max="122" width="8" customWidth="1"/>
    <col min="123" max="123" width="11" customWidth="1"/>
    <col min="124" max="124" width="10" customWidth="1"/>
    <col min="125" max="126" width="8" customWidth="1"/>
    <col min="127" max="128" width="11" customWidth="1"/>
    <col min="129" max="130" width="8" customWidth="1"/>
    <col min="131" max="131" width="11" customWidth="1"/>
    <col min="132" max="132" width="10" customWidth="1"/>
    <col min="133" max="138" width="11" customWidth="1"/>
    <col min="139" max="145" width="8" customWidth="1"/>
    <col min="146" max="146" width="11" customWidth="1"/>
    <col min="147" max="148" width="8" customWidth="1"/>
    <col min="149" max="151" width="11" customWidth="1"/>
    <col min="152" max="152" width="8" customWidth="1"/>
    <col min="153" max="155" width="11" customWidth="1"/>
    <col min="156" max="156" width="8" customWidth="1"/>
    <col min="157" max="157" width="11" customWidth="1"/>
    <col min="158" max="159" width="8" customWidth="1"/>
    <col min="160" max="160" width="11" customWidth="1"/>
    <col min="161" max="161" width="8" customWidth="1"/>
    <col min="162" max="163" width="11" customWidth="1"/>
    <col min="164" max="164" width="8" customWidth="1"/>
    <col min="165" max="165" width="11" customWidth="1"/>
    <col min="166" max="166" width="8" customWidth="1"/>
    <col min="167" max="167" width="11" customWidth="1"/>
    <col min="168" max="170" width="8" customWidth="1"/>
    <col min="171" max="172" width="11" customWidth="1"/>
    <col min="173" max="173" width="8" customWidth="1"/>
    <col min="174" max="174" width="11" customWidth="1"/>
    <col min="175" max="175" width="9" customWidth="1"/>
    <col min="176" max="176" width="11" customWidth="1"/>
    <col min="177" max="177" width="9" customWidth="1"/>
    <col min="178" max="178" width="12" bestFit="1" customWidth="1"/>
    <col min="179" max="181" width="9" customWidth="1"/>
    <col min="182" max="182" width="11" customWidth="1"/>
    <col min="183" max="185" width="9" customWidth="1"/>
    <col min="186" max="186" width="11" customWidth="1"/>
    <col min="187" max="187" width="12" bestFit="1" customWidth="1"/>
    <col min="188" max="188" width="9" customWidth="1"/>
    <col min="189" max="189" width="12" bestFit="1" customWidth="1"/>
    <col min="190" max="190" width="9" customWidth="1"/>
    <col min="191" max="191" width="12" bestFit="1" customWidth="1"/>
    <col min="192" max="192" width="9" customWidth="1"/>
    <col min="193" max="193" width="12" bestFit="1" customWidth="1"/>
    <col min="194" max="195" width="9" customWidth="1"/>
    <col min="196" max="196" width="12" bestFit="1" customWidth="1"/>
    <col min="197" max="199" width="9" customWidth="1"/>
    <col min="200" max="200" width="12" bestFit="1" customWidth="1"/>
    <col min="201" max="201" width="11" customWidth="1"/>
    <col min="202" max="202" width="9" customWidth="1"/>
    <col min="203" max="204" width="12" bestFit="1" customWidth="1"/>
    <col min="205" max="205" width="9" customWidth="1"/>
    <col min="206" max="206" width="12" bestFit="1" customWidth="1"/>
    <col min="207" max="209" width="9" customWidth="1"/>
    <col min="210" max="211" width="12" bestFit="1" customWidth="1"/>
    <col min="212" max="212" width="11" customWidth="1"/>
    <col min="213" max="215" width="12" bestFit="1" customWidth="1"/>
    <col min="216" max="216" width="11" customWidth="1"/>
    <col min="217" max="217" width="12" bestFit="1" customWidth="1"/>
    <col min="218" max="220" width="9" customWidth="1"/>
    <col min="221" max="222" width="12" bestFit="1" customWidth="1"/>
    <col min="223" max="223" width="9" customWidth="1"/>
    <col min="224" max="224" width="12" bestFit="1" customWidth="1"/>
    <col min="225" max="225" width="11" customWidth="1"/>
    <col min="226" max="226" width="12" bestFit="1" customWidth="1"/>
    <col min="227" max="232" width="9" customWidth="1"/>
    <col min="233" max="233" width="11" customWidth="1"/>
    <col min="234" max="234" width="9" customWidth="1"/>
    <col min="235" max="238" width="12" bestFit="1" customWidth="1"/>
    <col min="239" max="239" width="9" customWidth="1"/>
    <col min="240" max="240" width="12" bestFit="1" customWidth="1"/>
    <col min="241" max="241" width="9" customWidth="1"/>
    <col min="242" max="243" width="12" bestFit="1" customWidth="1"/>
    <col min="244" max="244" width="9" customWidth="1"/>
    <col min="245" max="252" width="12" bestFit="1" customWidth="1"/>
    <col min="253" max="253" width="9" customWidth="1"/>
    <col min="254" max="254" width="11" customWidth="1"/>
    <col min="255" max="256" width="9" customWidth="1"/>
    <col min="257" max="257" width="12" bestFit="1" customWidth="1"/>
    <col min="258" max="258" width="11" customWidth="1"/>
    <col min="259" max="260" width="9" customWidth="1"/>
    <col min="261" max="261" width="12" bestFit="1" customWidth="1"/>
    <col min="262" max="262" width="11" customWidth="1"/>
    <col min="263" max="264" width="12" bestFit="1" customWidth="1"/>
    <col min="265" max="267" width="9" customWidth="1"/>
    <col min="268" max="268" width="11" customWidth="1"/>
    <col min="269" max="270" width="9" customWidth="1"/>
    <col min="271" max="272" width="12" bestFit="1" customWidth="1"/>
    <col min="273" max="274" width="9" customWidth="1"/>
    <col min="275" max="282" width="12" bestFit="1" customWidth="1"/>
    <col min="283" max="283" width="11" customWidth="1"/>
    <col min="284" max="287" width="9" customWidth="1"/>
    <col min="288" max="288" width="12" bestFit="1" customWidth="1"/>
    <col min="289" max="289" width="9" customWidth="1"/>
    <col min="290" max="290" width="12" bestFit="1" customWidth="1"/>
    <col min="291" max="297" width="9" customWidth="1"/>
    <col min="298" max="303" width="12" bestFit="1" customWidth="1"/>
    <col min="304" max="304" width="9" customWidth="1"/>
    <col min="305" max="309" width="12" bestFit="1" customWidth="1"/>
    <col min="310" max="310" width="9" customWidth="1"/>
    <col min="311" max="311" width="12" bestFit="1" customWidth="1"/>
    <col min="312" max="313" width="9" customWidth="1"/>
    <col min="314" max="314" width="12" bestFit="1" customWidth="1"/>
    <col min="315" max="315" width="9" customWidth="1"/>
    <col min="316" max="319" width="12" bestFit="1" customWidth="1"/>
    <col min="320" max="320" width="9" customWidth="1"/>
    <col min="321" max="321" width="12" bestFit="1" customWidth="1"/>
    <col min="322" max="322" width="9" customWidth="1"/>
    <col min="323" max="324" width="12" bestFit="1" customWidth="1"/>
    <col min="325" max="325" width="9" customWidth="1"/>
    <col min="326" max="326" width="12" bestFit="1" customWidth="1"/>
    <col min="327" max="329" width="9" customWidth="1"/>
    <col min="330" max="330" width="11" customWidth="1"/>
    <col min="331" max="331" width="9" customWidth="1"/>
    <col min="332" max="335" width="12" bestFit="1" customWidth="1"/>
    <col min="336" max="339" width="9" customWidth="1"/>
    <col min="340" max="341" width="12" bestFit="1" customWidth="1"/>
    <col min="342" max="342" width="11" customWidth="1"/>
    <col min="343" max="343" width="9" customWidth="1"/>
    <col min="344" max="344" width="12" bestFit="1" customWidth="1"/>
    <col min="345" max="346" width="9" customWidth="1"/>
    <col min="347" max="347" width="12" bestFit="1" customWidth="1"/>
    <col min="348" max="348" width="9" customWidth="1"/>
    <col min="349" max="349" width="11" customWidth="1"/>
    <col min="350" max="350" width="9" customWidth="1"/>
    <col min="351" max="351" width="12" bestFit="1" customWidth="1"/>
    <col min="352" max="353" width="9" customWidth="1"/>
    <col min="354" max="354" width="12" bestFit="1" customWidth="1"/>
    <col min="355" max="355" width="11" customWidth="1"/>
    <col min="356" max="356" width="9" customWidth="1"/>
    <col min="357" max="357" width="12" bestFit="1" customWidth="1"/>
    <col min="358" max="358" width="11" customWidth="1"/>
    <col min="359" max="359" width="9" customWidth="1"/>
    <col min="360" max="360" width="12" bestFit="1" customWidth="1"/>
    <col min="361" max="361" width="9" customWidth="1"/>
    <col min="362" max="368" width="12" bestFit="1" customWidth="1"/>
    <col min="369" max="370" width="9" customWidth="1"/>
    <col min="371" max="371" width="12" bestFit="1" customWidth="1"/>
    <col min="372" max="372" width="9" customWidth="1"/>
    <col min="373" max="374" width="12" bestFit="1" customWidth="1"/>
    <col min="375" max="375" width="9" customWidth="1"/>
    <col min="376" max="378" width="12" bestFit="1" customWidth="1"/>
    <col min="379" max="379" width="9" customWidth="1"/>
    <col min="380" max="385" width="12" bestFit="1" customWidth="1"/>
    <col min="386" max="386" width="9" customWidth="1"/>
    <col min="387" max="387" width="12" bestFit="1" customWidth="1"/>
    <col min="388" max="388" width="9" customWidth="1"/>
    <col min="389" max="390" width="12" bestFit="1" customWidth="1"/>
    <col min="391" max="391" width="11" customWidth="1"/>
    <col min="392" max="399" width="12" bestFit="1" customWidth="1"/>
    <col min="400" max="401" width="9" customWidth="1"/>
    <col min="402" max="405" width="12" bestFit="1" customWidth="1"/>
    <col min="406" max="406" width="9" customWidth="1"/>
    <col min="407" max="407" width="12" bestFit="1" customWidth="1"/>
    <col min="408" max="408" width="11" customWidth="1"/>
    <col min="409" max="411" width="9" customWidth="1"/>
    <col min="412" max="413" width="12" bestFit="1" customWidth="1"/>
    <col min="414" max="414" width="9" customWidth="1"/>
    <col min="415" max="417" width="12" bestFit="1" customWidth="1"/>
    <col min="418" max="418" width="11" customWidth="1"/>
    <col min="419" max="419" width="9" customWidth="1"/>
    <col min="420" max="420" width="12" bestFit="1" customWidth="1"/>
    <col min="421" max="422" width="9" customWidth="1"/>
    <col min="423" max="425" width="12" bestFit="1" customWidth="1"/>
    <col min="426" max="427" width="10" customWidth="1"/>
    <col min="428" max="443" width="12" bestFit="1" customWidth="1"/>
    <col min="444" max="444" width="10" customWidth="1"/>
    <col min="445" max="449" width="12" bestFit="1" customWidth="1"/>
    <col min="450" max="451" width="10" customWidth="1"/>
    <col min="452" max="455" width="12" bestFit="1" customWidth="1"/>
    <col min="456" max="456" width="10" customWidth="1"/>
    <col min="457" max="458" width="12" bestFit="1" customWidth="1"/>
    <col min="459" max="459" width="10" customWidth="1"/>
    <col min="460" max="460" width="12" bestFit="1" customWidth="1"/>
    <col min="461" max="462" width="10" customWidth="1"/>
    <col min="463" max="464" width="12" bestFit="1" customWidth="1"/>
    <col min="465" max="465" width="10" customWidth="1"/>
    <col min="466" max="466" width="12" bestFit="1" customWidth="1"/>
    <col min="467" max="467" width="10" customWidth="1"/>
    <col min="468" max="468" width="12" bestFit="1" customWidth="1"/>
    <col min="469" max="469" width="10" customWidth="1"/>
    <col min="470" max="470" width="12" bestFit="1" customWidth="1"/>
    <col min="471" max="471" width="10" customWidth="1"/>
    <col min="472" max="474" width="12" bestFit="1" customWidth="1"/>
    <col min="475" max="476" width="10" customWidth="1"/>
    <col min="477" max="479" width="12" bestFit="1" customWidth="1"/>
    <col min="480" max="480" width="10" customWidth="1"/>
    <col min="481" max="481" width="12" bestFit="1" customWidth="1"/>
    <col min="482" max="482" width="10" customWidth="1"/>
    <col min="483" max="487" width="12" bestFit="1" customWidth="1"/>
    <col min="488" max="488" width="10" customWidth="1"/>
    <col min="489" max="489" width="12" bestFit="1" customWidth="1"/>
    <col min="490" max="490" width="10" customWidth="1"/>
    <col min="491" max="494" width="12" bestFit="1" customWidth="1"/>
    <col min="495" max="495" width="10" customWidth="1"/>
    <col min="496" max="496" width="12" bestFit="1" customWidth="1"/>
    <col min="497" max="497" width="10" customWidth="1"/>
    <col min="498" max="504" width="12" bestFit="1" customWidth="1"/>
    <col min="505" max="505" width="10" customWidth="1"/>
    <col min="506" max="506" width="12" bestFit="1" customWidth="1"/>
    <col min="507" max="507" width="10" customWidth="1"/>
    <col min="508" max="509" width="12" bestFit="1" customWidth="1"/>
    <col min="510" max="510" width="10" customWidth="1"/>
    <col min="511" max="513" width="12" bestFit="1" customWidth="1"/>
    <col min="514" max="515" width="10" customWidth="1"/>
    <col min="516" max="516" width="12" bestFit="1" customWidth="1"/>
    <col min="517" max="517" width="10" customWidth="1"/>
    <col min="518" max="519" width="12" bestFit="1" customWidth="1"/>
    <col min="520" max="520" width="10" customWidth="1"/>
    <col min="521" max="528" width="12" bestFit="1" customWidth="1"/>
    <col min="529" max="530" width="10" customWidth="1"/>
    <col min="531" max="534" width="12" bestFit="1" customWidth="1"/>
    <col min="535" max="535" width="10" customWidth="1"/>
    <col min="536" max="537" width="12" bestFit="1" customWidth="1"/>
    <col min="538" max="538" width="10" customWidth="1"/>
    <col min="539" max="550" width="12" bestFit="1" customWidth="1"/>
    <col min="551" max="551" width="10" customWidth="1"/>
    <col min="552" max="556" width="12" bestFit="1" customWidth="1"/>
    <col min="557" max="557" width="10" customWidth="1"/>
    <col min="558" max="559" width="12" bestFit="1" customWidth="1"/>
    <col min="560" max="560" width="10" customWidth="1"/>
    <col min="561" max="566" width="12" bestFit="1" customWidth="1"/>
    <col min="567" max="568" width="10" customWidth="1"/>
    <col min="569" max="569" width="12" bestFit="1" customWidth="1"/>
    <col min="570" max="570" width="10" customWidth="1"/>
    <col min="571" max="572" width="12" bestFit="1" customWidth="1"/>
    <col min="573" max="573" width="10" customWidth="1"/>
    <col min="574" max="577" width="12" bestFit="1" customWidth="1"/>
    <col min="578" max="579" width="10" customWidth="1"/>
    <col min="580" max="581" width="12" bestFit="1" customWidth="1"/>
    <col min="582" max="583" width="10" customWidth="1"/>
    <col min="584" max="586" width="12" bestFit="1" customWidth="1"/>
    <col min="587" max="587" width="10" customWidth="1"/>
    <col min="588" max="593" width="12" bestFit="1" customWidth="1"/>
    <col min="594" max="597" width="10" customWidth="1"/>
    <col min="598" max="604" width="12" bestFit="1" customWidth="1"/>
    <col min="605" max="605" width="10" customWidth="1"/>
    <col min="606" max="612" width="12" bestFit="1" customWidth="1"/>
    <col min="613" max="613" width="10" customWidth="1"/>
    <col min="614" max="615" width="12" bestFit="1" customWidth="1"/>
    <col min="616" max="616" width="10" customWidth="1"/>
    <col min="617" max="617" width="12" bestFit="1" customWidth="1"/>
    <col min="618" max="619" width="10" customWidth="1"/>
    <col min="620" max="621" width="12" bestFit="1" customWidth="1"/>
    <col min="622" max="623" width="10" customWidth="1"/>
    <col min="624" max="624" width="12" bestFit="1" customWidth="1"/>
    <col min="625" max="628" width="10" customWidth="1"/>
    <col min="629" max="632" width="12" bestFit="1" customWidth="1"/>
    <col min="633" max="633" width="10" customWidth="1"/>
    <col min="634" max="634" width="12" bestFit="1" customWidth="1"/>
    <col min="635" max="635" width="10" customWidth="1"/>
    <col min="636" max="636" width="12" bestFit="1" customWidth="1"/>
    <col min="637" max="639" width="10" customWidth="1"/>
    <col min="640" max="648" width="12" bestFit="1" customWidth="1"/>
    <col min="649" max="649" width="10" customWidth="1"/>
    <col min="650" max="652" width="12" bestFit="1" customWidth="1"/>
    <col min="653" max="654" width="10" customWidth="1"/>
    <col min="655" max="655" width="12" bestFit="1" customWidth="1"/>
    <col min="656" max="656" width="10" customWidth="1"/>
    <col min="657" max="658" width="12" bestFit="1" customWidth="1"/>
    <col min="659" max="660" width="10" customWidth="1"/>
    <col min="661" max="661" width="12" bestFit="1" customWidth="1"/>
    <col min="662" max="662" width="10" customWidth="1"/>
    <col min="663" max="667" width="12" bestFit="1" customWidth="1"/>
    <col min="668" max="670" width="10" customWidth="1"/>
    <col min="671" max="671" width="12" bestFit="1" customWidth="1"/>
    <col min="672" max="672" width="10" customWidth="1"/>
    <col min="673" max="673" width="12" bestFit="1" customWidth="1"/>
    <col min="674" max="674" width="10" customWidth="1"/>
    <col min="675" max="676" width="12" bestFit="1" customWidth="1"/>
    <col min="677" max="680" width="10" customWidth="1"/>
    <col min="681" max="682" width="12" bestFit="1" customWidth="1"/>
    <col min="683" max="686" width="10" customWidth="1"/>
    <col min="687" max="687" width="12" bestFit="1" customWidth="1"/>
    <col min="688" max="688" width="10" customWidth="1"/>
    <col min="689" max="691" width="12" bestFit="1" customWidth="1"/>
    <col min="692" max="692" width="10" customWidth="1"/>
    <col min="693" max="696" width="12" bestFit="1" customWidth="1"/>
    <col min="697" max="697" width="10" customWidth="1"/>
    <col min="698" max="698" width="12" bestFit="1" customWidth="1"/>
    <col min="699" max="699" width="10" customWidth="1"/>
    <col min="700" max="703" width="12" bestFit="1" customWidth="1"/>
    <col min="704" max="704" width="10" customWidth="1"/>
    <col min="705" max="707" width="12" bestFit="1" customWidth="1"/>
    <col min="708" max="709" width="10" customWidth="1"/>
    <col min="710" max="711" width="12" bestFit="1" customWidth="1"/>
    <col min="712" max="712" width="10" customWidth="1"/>
    <col min="713" max="713" width="12" bestFit="1" customWidth="1"/>
    <col min="714" max="981" width="11" customWidth="1"/>
    <col min="982" max="1238" width="12" bestFit="1" customWidth="1"/>
    <col min="1239" max="1239" width="11" customWidth="1"/>
    <col min="1240" max="1243" width="12" bestFit="1" customWidth="1"/>
    <col min="1244" max="1244" width="8" customWidth="1"/>
    <col min="1245" max="1267" width="12" bestFit="1" customWidth="1"/>
    <col min="1268" max="1268" width="11" customWidth="1"/>
    <col min="1269" max="1270" width="12" bestFit="1" customWidth="1"/>
    <col min="1271" max="1271" width="11" customWidth="1"/>
    <col min="1272" max="1304" width="12" bestFit="1" customWidth="1"/>
    <col min="1305" max="1305" width="10" customWidth="1"/>
    <col min="1306" max="1307" width="12" bestFit="1" customWidth="1"/>
    <col min="1308" max="1308" width="11" customWidth="1"/>
    <col min="1309" max="1309" width="12" bestFit="1" customWidth="1"/>
    <col min="1310" max="1310" width="11" customWidth="1"/>
    <col min="1311" max="1315" width="12" bestFit="1" customWidth="1"/>
    <col min="1316" max="1316" width="11" customWidth="1"/>
    <col min="1317" max="1318" width="12" bestFit="1" customWidth="1"/>
    <col min="1319" max="1319" width="11" customWidth="1"/>
    <col min="1320" max="1324" width="12" bestFit="1" customWidth="1"/>
    <col min="1325" max="1325" width="12.5703125" bestFit="1" customWidth="1"/>
  </cols>
  <sheetData>
    <row r="1" spans="1:6" x14ac:dyDescent="0.25">
      <c r="A1" s="198" t="s">
        <v>1098</v>
      </c>
      <c r="B1" s="199"/>
      <c r="C1" s="199"/>
      <c r="D1" s="199"/>
      <c r="E1" s="199"/>
      <c r="F1" s="32"/>
    </row>
    <row r="2" spans="1:6" x14ac:dyDescent="0.25">
      <c r="A2" s="201" t="s">
        <v>1099</v>
      </c>
      <c r="B2" s="202"/>
      <c r="C2" s="202"/>
      <c r="D2" s="202"/>
      <c r="E2" s="202"/>
      <c r="F2" s="35"/>
    </row>
    <row r="3" spans="1:6" x14ac:dyDescent="0.25">
      <c r="A3" s="201" t="s">
        <v>1100</v>
      </c>
      <c r="B3" s="202"/>
      <c r="C3" s="202"/>
      <c r="D3" s="202"/>
      <c r="E3" s="202"/>
      <c r="F3" s="35"/>
    </row>
    <row r="4" spans="1:6" x14ac:dyDescent="0.25">
      <c r="A4" s="201" t="s">
        <v>1269</v>
      </c>
      <c r="B4" s="202"/>
      <c r="C4" s="202"/>
      <c r="D4" s="202"/>
      <c r="E4" s="202"/>
      <c r="F4" s="35"/>
    </row>
    <row r="5" spans="1:6" x14ac:dyDescent="0.25">
      <c r="A5" s="201" t="s">
        <v>1101</v>
      </c>
      <c r="B5" s="202"/>
      <c r="C5" s="202"/>
      <c r="D5" s="202"/>
      <c r="E5" s="202"/>
      <c r="F5" s="35"/>
    </row>
    <row r="6" spans="1:6" x14ac:dyDescent="0.25">
      <c r="A6" s="49"/>
      <c r="B6" s="50"/>
      <c r="C6" s="50"/>
      <c r="D6" s="50"/>
      <c r="E6" s="50"/>
      <c r="F6" s="38"/>
    </row>
    <row r="9" spans="1:6" x14ac:dyDescent="0.25">
      <c r="A9" s="15" t="s">
        <v>540</v>
      </c>
      <c r="B9" t="s">
        <v>55</v>
      </c>
    </row>
    <row r="10" spans="1:6" x14ac:dyDescent="0.25">
      <c r="A10" s="15" t="s">
        <v>539</v>
      </c>
      <c r="B10" t="s">
        <v>232</v>
      </c>
    </row>
    <row r="12" spans="1:6" x14ac:dyDescent="0.25">
      <c r="A12" s="15" t="s">
        <v>794</v>
      </c>
      <c r="B12" t="s">
        <v>1102</v>
      </c>
      <c r="C12" s="51" t="s">
        <v>1104</v>
      </c>
      <c r="D12" s="51" t="s">
        <v>1103</v>
      </c>
      <c r="E12" s="51" t="s">
        <v>1105</v>
      </c>
    </row>
    <row r="13" spans="1:6" x14ac:dyDescent="0.25">
      <c r="A13" s="16">
        <v>2007</v>
      </c>
      <c r="B13" s="17">
        <v>2028941824871.5103</v>
      </c>
      <c r="C13" s="17">
        <f>+GETPIVOTDATA("Acumulado",$A$12,"Año",2007)/1000000</f>
        <v>2028941.8248715103</v>
      </c>
      <c r="D13" s="17">
        <f>+PIB!G28</f>
        <v>13816350.7581544</v>
      </c>
      <c r="E13" s="52">
        <f>+C13/$D$13</f>
        <v>0.14685077560542029</v>
      </c>
    </row>
    <row r="14" spans="1:6" x14ac:dyDescent="0.25">
      <c r="A14" s="16">
        <v>2008</v>
      </c>
      <c r="B14" s="17">
        <v>2408578625118.2002</v>
      </c>
      <c r="C14" s="17">
        <f>+GETPIVOTDATA("Acumulado",$A$12,"Año",2008)/1000000</f>
        <v>2408578.6251182002</v>
      </c>
      <c r="D14" s="17">
        <f>+PIB!G29</f>
        <v>16109612.0386537</v>
      </c>
      <c r="E14" s="52">
        <f>+C14/D14</f>
        <v>0.14951189509337731</v>
      </c>
    </row>
    <row r="15" spans="1:6" x14ac:dyDescent="0.25">
      <c r="A15" s="16">
        <v>2009</v>
      </c>
      <c r="B15" s="17">
        <v>2262289943224.6606</v>
      </c>
      <c r="C15" s="17">
        <f>+GETPIVOTDATA("Acumulado",$A$12,"Año",2009)/1000000</f>
        <v>2262289.9432246606</v>
      </c>
      <c r="D15" s="17">
        <f>+PIB!G30</f>
        <v>17521034.883488301</v>
      </c>
      <c r="E15" s="52">
        <f t="shared" ref="E15:E26" si="0">+C15/D15</f>
        <v>0.12911851145029263</v>
      </c>
    </row>
    <row r="16" spans="1:6" x14ac:dyDescent="0.25">
      <c r="A16" s="16">
        <v>2010</v>
      </c>
      <c r="B16" s="17">
        <v>2491652065547.0498</v>
      </c>
      <c r="C16" s="17">
        <f>+GETPIVOTDATA("Acumulado",$A$12,"Año",2010)/1000000</f>
        <v>2491652.06554705</v>
      </c>
      <c r="D16" s="17">
        <f>+PIB!G31</f>
        <v>19596936.678134698</v>
      </c>
      <c r="E16" s="52">
        <f t="shared" si="0"/>
        <v>0.12714497711915931</v>
      </c>
    </row>
    <row r="17" spans="1:5" x14ac:dyDescent="0.25">
      <c r="A17" s="16">
        <v>2011</v>
      </c>
      <c r="B17" s="17">
        <v>2769332912317.9302</v>
      </c>
      <c r="C17" s="17">
        <f>+GETPIVOTDATA("Acumulado",$A$12,"Año",2011)/1000000</f>
        <v>2769332.9123179303</v>
      </c>
      <c r="D17" s="17">
        <f>+PIB!G32</f>
        <v>21370733.293318301</v>
      </c>
      <c r="E17" s="52">
        <f t="shared" si="0"/>
        <v>0.12958530127666607</v>
      </c>
    </row>
    <row r="18" spans="1:5" x14ac:dyDescent="0.25">
      <c r="A18" s="16">
        <v>2012</v>
      </c>
      <c r="B18" s="17">
        <v>3007922214714.3101</v>
      </c>
      <c r="C18" s="17">
        <f>+GETPIVOTDATA("Acumulado",$A$12,"Año",2012)/1000000</f>
        <v>3007922.2147143101</v>
      </c>
      <c r="D18" s="17">
        <f>+PIB!G33</f>
        <v>23371405.924451798</v>
      </c>
      <c r="E18" s="52">
        <f t="shared" si="0"/>
        <v>0.12870095296951478</v>
      </c>
    </row>
    <row r="19" spans="1:5" x14ac:dyDescent="0.25">
      <c r="A19" s="16">
        <v>2013</v>
      </c>
      <c r="B19" s="17">
        <v>3292308841278.8091</v>
      </c>
      <c r="C19" s="17">
        <f>+GETPIVOTDATA("Acumulado",$A$12,"Año",2013)/1000000</f>
        <v>3292308.8412788091</v>
      </c>
      <c r="D19" s="17">
        <f>+PIB!G34</f>
        <v>24860943.501263201</v>
      </c>
      <c r="E19" s="52">
        <f t="shared" si="0"/>
        <v>0.13242895794005263</v>
      </c>
    </row>
    <row r="20" spans="1:5" x14ac:dyDescent="0.25">
      <c r="A20" s="16">
        <v>2014</v>
      </c>
      <c r="B20" s="17">
        <v>3522442491589.5293</v>
      </c>
      <c r="C20" s="17">
        <f>+GETPIVOTDATA("Acumulado",$A$12,"Año",2014)/1000000</f>
        <v>3522442.4915895294</v>
      </c>
      <c r="D20" s="17">
        <f>+PIB!G35</f>
        <v>27226883.441270299</v>
      </c>
      <c r="E20" s="52">
        <f t="shared" si="0"/>
        <v>0.12937369417207106</v>
      </c>
    </row>
    <row r="21" spans="1:5" x14ac:dyDescent="0.25">
      <c r="A21" s="16">
        <v>2015</v>
      </c>
      <c r="B21" s="17">
        <v>3861913115665.5786</v>
      </c>
      <c r="C21" s="17">
        <f>+GETPIVOTDATA("Acumulado",$A$12,"Año",2015)/1000000</f>
        <v>3861913.1156655787</v>
      </c>
      <c r="D21" s="17">
        <f>+PIB!G36</f>
        <v>29281373.309193902</v>
      </c>
      <c r="E21" s="52">
        <f t="shared" si="0"/>
        <v>0.13188975376551063</v>
      </c>
    </row>
    <row r="22" spans="1:5" x14ac:dyDescent="0.25">
      <c r="A22" s="16">
        <v>2016</v>
      </c>
      <c r="B22" s="17">
        <v>4167739803943.5908</v>
      </c>
      <c r="C22" s="17">
        <f>+GETPIVOTDATA("Acumulado",$A$12,"Año",2016)/1000000</f>
        <v>4167739.8039435907</v>
      </c>
      <c r="D22" s="17">
        <f>+PIB!G37</f>
        <v>31136210.503821</v>
      </c>
      <c r="E22" s="52">
        <f t="shared" si="0"/>
        <v>0.1338550753770158</v>
      </c>
    </row>
    <row r="23" spans="1:5" x14ac:dyDescent="0.25">
      <c r="A23" s="16">
        <v>2017</v>
      </c>
      <c r="B23" s="17">
        <v>4390868830840.21</v>
      </c>
      <c r="C23" s="17">
        <f>+GETPIVOTDATA("Acumulado",$A$12,"Año",2017)/1000000</f>
        <v>4390868.8308402095</v>
      </c>
      <c r="D23" s="17">
        <f>+PIB!G38</f>
        <v>33189220.551510502</v>
      </c>
      <c r="E23" s="52">
        <f t="shared" si="0"/>
        <v>0.13229804008278745</v>
      </c>
    </row>
    <row r="24" spans="1:5" x14ac:dyDescent="0.25">
      <c r="A24" s="16">
        <v>2018</v>
      </c>
      <c r="B24" s="17">
        <v>4567131639119.2803</v>
      </c>
      <c r="C24" s="17">
        <f>+GETPIVOTDATA("Acumulado",$A$12,"Año",2018)/1000000</f>
        <v>4567131.6391192805</v>
      </c>
      <c r="D24" s="17">
        <f>+PIB!G39</f>
        <v>34937935.887081303</v>
      </c>
      <c r="E24" s="52">
        <f t="shared" si="0"/>
        <v>0.13072127826555516</v>
      </c>
    </row>
    <row r="25" spans="1:5" x14ac:dyDescent="0.25">
      <c r="A25" s="16">
        <v>2019</v>
      </c>
      <c r="B25" s="17">
        <v>4889569715846.8701</v>
      </c>
      <c r="C25" s="17">
        <f>+GETPIVOTDATA("Acumulado",$A$12,"Año",2019)/1000000</f>
        <v>4889569.7158468701</v>
      </c>
      <c r="D25" s="17">
        <f>+PIB!G40</f>
        <v>36295619.711840503</v>
      </c>
      <c r="E25" s="52">
        <f t="shared" si="0"/>
        <v>0.13471514619853081</v>
      </c>
    </row>
    <row r="26" spans="1:5" x14ac:dyDescent="0.25">
      <c r="A26" s="16">
        <v>2020</v>
      </c>
      <c r="B26" s="17">
        <v>3722959431544.96</v>
      </c>
      <c r="C26" s="17">
        <f>+GETPIVOTDATA("Acumulado",$A$12,"Año",2020)/1000000</f>
        <v>3722959.43154496</v>
      </c>
      <c r="D26" s="17">
        <f>+PIB!G41</f>
        <v>34859047.116019197</v>
      </c>
      <c r="E26" s="52">
        <f t="shared" si="0"/>
        <v>0.10680037865504659</v>
      </c>
    </row>
    <row r="27" spans="1:5" x14ac:dyDescent="0.25">
      <c r="A27" s="16" t="s">
        <v>795</v>
      </c>
      <c r="B27" s="17">
        <v>47383651455622.484</v>
      </c>
    </row>
    <row r="29" spans="1:5" x14ac:dyDescent="0.25">
      <c r="D29" s="52"/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O59"/>
  <sheetViews>
    <sheetView topLeftCell="A4" zoomScale="75" zoomScaleNormal="75" workbookViewId="0">
      <selection activeCell="B26" sqref="B26"/>
    </sheetView>
  </sheetViews>
  <sheetFormatPr baseColWidth="10" defaultRowHeight="15" x14ac:dyDescent="0.25"/>
  <cols>
    <col min="1" max="1" width="79.5703125" customWidth="1"/>
    <col min="2" max="2" width="23.42578125" customWidth="1"/>
    <col min="3" max="15" width="13.140625" customWidth="1"/>
  </cols>
  <sheetData>
    <row r="1" spans="1:15" x14ac:dyDescent="0.25">
      <c r="A1" s="198" t="s">
        <v>1098</v>
      </c>
      <c r="B1" s="199"/>
      <c r="C1" s="199"/>
      <c r="D1" s="199"/>
      <c r="E1" s="199"/>
      <c r="F1" s="199"/>
      <c r="G1" s="32"/>
      <c r="H1" s="101"/>
      <c r="I1" s="101"/>
      <c r="J1" s="101"/>
      <c r="K1" s="101"/>
      <c r="L1" s="101"/>
      <c r="M1" s="101"/>
    </row>
    <row r="2" spans="1:15" x14ac:dyDescent="0.25">
      <c r="A2" s="201" t="s">
        <v>1099</v>
      </c>
      <c r="B2" s="202"/>
      <c r="C2" s="202"/>
      <c r="D2" s="202"/>
      <c r="E2" s="202"/>
      <c r="F2" s="202"/>
      <c r="G2" s="35"/>
      <c r="H2" s="101"/>
      <c r="I2" s="101"/>
      <c r="J2" s="101"/>
      <c r="K2" s="101"/>
      <c r="L2" s="101"/>
      <c r="M2" s="101"/>
    </row>
    <row r="3" spans="1:15" x14ac:dyDescent="0.25">
      <c r="A3" s="201" t="s">
        <v>1100</v>
      </c>
      <c r="B3" s="202"/>
      <c r="C3" s="202"/>
      <c r="D3" s="202"/>
      <c r="E3" s="202"/>
      <c r="F3" s="202"/>
      <c r="G3" s="35"/>
      <c r="H3" s="101"/>
      <c r="I3" s="101"/>
      <c r="J3" s="101"/>
      <c r="K3" s="101"/>
      <c r="L3" s="101"/>
      <c r="M3" s="101"/>
    </row>
    <row r="4" spans="1:15" x14ac:dyDescent="0.25">
      <c r="A4" s="201" t="s">
        <v>1256</v>
      </c>
      <c r="B4" s="202"/>
      <c r="C4" s="202"/>
      <c r="D4" s="202"/>
      <c r="E4" s="202"/>
      <c r="F4" s="202"/>
      <c r="G4" s="35"/>
      <c r="H4" s="101"/>
      <c r="I4" s="101"/>
      <c r="J4" s="101"/>
      <c r="K4" s="101"/>
      <c r="L4" s="101"/>
      <c r="M4" s="101"/>
    </row>
    <row r="5" spans="1:15" x14ac:dyDescent="0.25">
      <c r="A5" s="209" t="s">
        <v>1101</v>
      </c>
      <c r="B5" s="210"/>
      <c r="C5" s="210"/>
      <c r="D5" s="210"/>
      <c r="E5" s="210"/>
      <c r="F5" s="210"/>
      <c r="G5" s="38"/>
      <c r="H5" s="101"/>
      <c r="I5" s="101"/>
      <c r="J5" s="101"/>
      <c r="K5" s="101"/>
      <c r="L5" s="101"/>
      <c r="M5" s="101"/>
    </row>
    <row r="6" spans="1:15" x14ac:dyDescent="0.25">
      <c r="A6" s="59"/>
      <c r="B6" s="59"/>
      <c r="C6" s="59"/>
      <c r="D6" s="59"/>
      <c r="E6" s="59"/>
      <c r="F6" s="59"/>
      <c r="G6" s="34"/>
      <c r="H6" s="101"/>
      <c r="I6" s="101"/>
      <c r="J6" s="101"/>
      <c r="K6" s="101"/>
      <c r="L6" s="101"/>
      <c r="M6" s="101"/>
    </row>
    <row r="7" spans="1:15" x14ac:dyDescent="0.25">
      <c r="A7" s="15" t="s">
        <v>540</v>
      </c>
      <c r="B7" t="s">
        <v>55</v>
      </c>
      <c r="C7" s="34"/>
      <c r="D7" s="34"/>
      <c r="E7" s="34"/>
      <c r="F7" s="34"/>
      <c r="G7" s="101"/>
      <c r="H7" s="101"/>
      <c r="I7" s="101"/>
      <c r="J7" s="101"/>
      <c r="K7" s="101"/>
      <c r="L7" s="101"/>
      <c r="M7" s="101"/>
    </row>
    <row r="8" spans="1:15" x14ac:dyDescent="0.25">
      <c r="A8" s="15" t="s">
        <v>539</v>
      </c>
      <c r="B8" t="s">
        <v>232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</row>
    <row r="9" spans="1:15" x14ac:dyDescent="0.25">
      <c r="A9" s="101"/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</row>
    <row r="10" spans="1:15" x14ac:dyDescent="0.25">
      <c r="A10" s="15" t="s">
        <v>1108</v>
      </c>
      <c r="B10" s="15" t="s">
        <v>1109</v>
      </c>
    </row>
    <row r="11" spans="1:15" x14ac:dyDescent="0.25">
      <c r="A11" s="15" t="s">
        <v>794</v>
      </c>
      <c r="B11">
        <v>2007</v>
      </c>
      <c r="C11">
        <v>2008</v>
      </c>
      <c r="D11">
        <v>2009</v>
      </c>
      <c r="E11">
        <v>2010</v>
      </c>
      <c r="F11">
        <v>2011</v>
      </c>
      <c r="G11">
        <v>2012</v>
      </c>
      <c r="H11">
        <v>2013</v>
      </c>
      <c r="I11">
        <v>2014</v>
      </c>
      <c r="J11">
        <v>2015</v>
      </c>
      <c r="K11">
        <v>2016</v>
      </c>
      <c r="L11">
        <v>2017</v>
      </c>
      <c r="M11">
        <v>2018</v>
      </c>
      <c r="N11">
        <v>2019</v>
      </c>
      <c r="O11">
        <v>2020</v>
      </c>
    </row>
    <row r="12" spans="1:15" x14ac:dyDescent="0.25">
      <c r="A12" s="61" t="s">
        <v>336</v>
      </c>
      <c r="B12" s="62">
        <v>531551.76660393004</v>
      </c>
      <c r="C12" s="62">
        <v>689224.63711429993</v>
      </c>
      <c r="D12" s="62">
        <v>687420.23439279001</v>
      </c>
      <c r="E12" s="62">
        <v>748093.58276808995</v>
      </c>
      <c r="F12" s="62">
        <v>828692.33210570982</v>
      </c>
      <c r="G12" s="62">
        <v>891668.38359978003</v>
      </c>
      <c r="H12" s="62">
        <v>1014439.2038488899</v>
      </c>
      <c r="I12" s="62">
        <v>1091470.0777788199</v>
      </c>
      <c r="J12" s="62">
        <v>1247308.4302087901</v>
      </c>
      <c r="K12" s="62">
        <v>1416217.7939102803</v>
      </c>
      <c r="L12" s="62">
        <v>1562063.0483265098</v>
      </c>
      <c r="M12" s="62">
        <v>1699258.4059937201</v>
      </c>
      <c r="N12" s="62">
        <v>1854866.3168698498</v>
      </c>
      <c r="O12" s="62">
        <v>1425509.2903452299</v>
      </c>
    </row>
    <row r="13" spans="1:15" hidden="1" x14ac:dyDescent="0.25">
      <c r="A13" s="16" t="s">
        <v>272</v>
      </c>
      <c r="B13" s="17">
        <v>1245460.8540179201</v>
      </c>
      <c r="C13" s="17">
        <v>1422875.2976903</v>
      </c>
      <c r="D13" s="17">
        <v>1312095.8147048701</v>
      </c>
      <c r="E13" s="17">
        <v>1444359.3003238605</v>
      </c>
      <c r="F13" s="17">
        <v>1626367.10584751</v>
      </c>
      <c r="G13" s="17">
        <v>1752612.8684779503</v>
      </c>
      <c r="H13" s="17">
        <v>1867290.3681111701</v>
      </c>
      <c r="I13" s="17">
        <v>1973752.6582939599</v>
      </c>
      <c r="J13" s="17">
        <v>2135941.2438651603</v>
      </c>
      <c r="K13" s="17">
        <v>2262831.4750757501</v>
      </c>
      <c r="L13" s="17">
        <v>2324463.1658506701</v>
      </c>
      <c r="M13" s="17">
        <v>2347103.16422323</v>
      </c>
      <c r="N13" s="17">
        <v>2501212.8659790503</v>
      </c>
      <c r="O13" s="17">
        <v>2022460.7959061805</v>
      </c>
    </row>
    <row r="14" spans="1:15" hidden="1" x14ac:dyDescent="0.25">
      <c r="A14" s="21" t="s">
        <v>301</v>
      </c>
      <c r="B14" s="17">
        <v>951493.25241243991</v>
      </c>
      <c r="C14" s="17">
        <v>1100988.5904947801</v>
      </c>
      <c r="D14" s="17">
        <v>947981.72363765992</v>
      </c>
      <c r="E14" s="17">
        <v>1067131.98839765</v>
      </c>
      <c r="F14" s="17">
        <v>1204239.0786137099</v>
      </c>
      <c r="G14" s="17">
        <v>1310840.4737430701</v>
      </c>
      <c r="H14" s="17">
        <v>1353149.3705742899</v>
      </c>
      <c r="I14" s="17">
        <v>1462635.3359476898</v>
      </c>
      <c r="J14" s="17">
        <v>1560664.8035174599</v>
      </c>
      <c r="K14" s="17">
        <v>1669675.0245653498</v>
      </c>
      <c r="L14" s="17">
        <v>1697122.5154391599</v>
      </c>
      <c r="M14" s="17">
        <v>1708820.13300145</v>
      </c>
      <c r="N14" s="17">
        <v>1832437.8864881801</v>
      </c>
      <c r="O14" s="17">
        <v>1524824.8183484401</v>
      </c>
    </row>
    <row r="15" spans="1:15" x14ac:dyDescent="0.25">
      <c r="A15" s="63" t="s">
        <v>308</v>
      </c>
      <c r="B15" s="62">
        <v>797850.34806324996</v>
      </c>
      <c r="C15" s="62">
        <v>936720.9369953</v>
      </c>
      <c r="D15" s="62">
        <v>830537.90536243992</v>
      </c>
      <c r="E15" s="62">
        <v>920297.73456466</v>
      </c>
      <c r="F15" s="62">
        <v>1029811.12734746</v>
      </c>
      <c r="G15" s="62">
        <v>1122977.9244156999</v>
      </c>
      <c r="H15" s="62">
        <v>1176744.792895</v>
      </c>
      <c r="I15" s="62">
        <v>1266797.5751281001</v>
      </c>
      <c r="J15" s="62">
        <v>1336074.8360045601</v>
      </c>
      <c r="K15" s="62">
        <v>1414358.2629724098</v>
      </c>
      <c r="L15" s="62">
        <v>1453347.8617203999</v>
      </c>
      <c r="M15" s="62">
        <v>1487620.0026040401</v>
      </c>
      <c r="N15" s="62">
        <v>1634985.9379989102</v>
      </c>
      <c r="O15" s="62">
        <v>1405376.4633154101</v>
      </c>
    </row>
    <row r="16" spans="1:15" hidden="1" x14ac:dyDescent="0.25">
      <c r="A16" s="64" t="s">
        <v>307</v>
      </c>
      <c r="B16" s="17">
        <v>410802.85644045001</v>
      </c>
      <c r="C16" s="17">
        <v>494492.85185994999</v>
      </c>
      <c r="D16" s="17">
        <v>378934.36394129996</v>
      </c>
      <c r="E16" s="17">
        <v>433697.56160877005</v>
      </c>
      <c r="F16" s="17">
        <v>504639.24287578004</v>
      </c>
      <c r="G16" s="17">
        <v>538340.01918258006</v>
      </c>
      <c r="H16" s="17">
        <v>544893.49439673999</v>
      </c>
      <c r="I16" s="17">
        <v>616854.52754621999</v>
      </c>
      <c r="J16" s="17">
        <v>635579.71482727001</v>
      </c>
      <c r="K16" s="17">
        <v>674479.61027582991</v>
      </c>
      <c r="L16" s="17">
        <v>698263.06505207997</v>
      </c>
      <c r="M16" s="17">
        <v>708203.65607560996</v>
      </c>
      <c r="N16" s="17">
        <v>676235.81942060997</v>
      </c>
      <c r="O16" s="17">
        <v>520121.50619747996</v>
      </c>
    </row>
    <row r="17" spans="1:15" hidden="1" x14ac:dyDescent="0.25">
      <c r="A17" s="64" t="s">
        <v>311</v>
      </c>
      <c r="B17" s="17">
        <v>387047.49162280001</v>
      </c>
      <c r="C17" s="17">
        <v>442228.08513535</v>
      </c>
      <c r="D17" s="17">
        <v>451603.54142114002</v>
      </c>
      <c r="E17" s="17">
        <v>486600.17295589001</v>
      </c>
      <c r="F17" s="17">
        <v>525171.88447168004</v>
      </c>
      <c r="G17" s="17">
        <v>584637.90523311996</v>
      </c>
      <c r="H17" s="17">
        <v>631851.29849825997</v>
      </c>
      <c r="I17" s="17">
        <v>649943.04758188</v>
      </c>
      <c r="J17" s="17">
        <v>700495.12117728998</v>
      </c>
      <c r="K17" s="17">
        <v>739878.65269657993</v>
      </c>
      <c r="L17" s="17">
        <v>755084.79666831996</v>
      </c>
      <c r="M17" s="17">
        <v>779416.34652843</v>
      </c>
      <c r="N17" s="17">
        <v>958750.1185783</v>
      </c>
      <c r="O17" s="17">
        <v>885254.95711793005</v>
      </c>
    </row>
    <row r="18" spans="1:15" x14ac:dyDescent="0.25">
      <c r="A18" s="63" t="s">
        <v>300</v>
      </c>
      <c r="B18" s="62">
        <v>153642.90434919001</v>
      </c>
      <c r="C18" s="62">
        <v>164267.65349948002</v>
      </c>
      <c r="D18" s="62">
        <v>117443.81827522001</v>
      </c>
      <c r="E18" s="62">
        <v>146834.25383298998</v>
      </c>
      <c r="F18" s="62">
        <v>174427.95126624999</v>
      </c>
      <c r="G18" s="62">
        <v>187862.54932736998</v>
      </c>
      <c r="H18" s="62">
        <v>176404.57767929</v>
      </c>
      <c r="I18" s="62">
        <v>195837.76081959001</v>
      </c>
      <c r="J18" s="62">
        <v>224589.96751289998</v>
      </c>
      <c r="K18" s="62">
        <v>255316.76159293999</v>
      </c>
      <c r="L18" s="62">
        <v>243774.65371876</v>
      </c>
      <c r="M18" s="62">
        <v>221200.13039741002</v>
      </c>
      <c r="N18" s="62">
        <v>197451.94848927</v>
      </c>
      <c r="O18" s="62">
        <v>119448.35503303001</v>
      </c>
    </row>
    <row r="19" spans="1:15" hidden="1" x14ac:dyDescent="0.25">
      <c r="A19" s="64" t="s">
        <v>299</v>
      </c>
      <c r="B19" s="17">
        <v>133590.71665598001</v>
      </c>
      <c r="C19" s="17">
        <v>141444.88996695002</v>
      </c>
      <c r="D19" s="17">
        <v>92748.920215009988</v>
      </c>
      <c r="E19" s="17">
        <v>122110.6332851</v>
      </c>
      <c r="F19" s="17">
        <v>148387.76390307999</v>
      </c>
      <c r="G19" s="17">
        <v>161941.07417351002</v>
      </c>
      <c r="H19" s="17">
        <v>154214.28005160001</v>
      </c>
      <c r="I19" s="17">
        <v>174218.75940345999</v>
      </c>
      <c r="J19" s="17">
        <v>203109.27078267999</v>
      </c>
      <c r="K19" s="17">
        <v>232686.85913589998</v>
      </c>
      <c r="L19" s="17">
        <v>221634.16650590999</v>
      </c>
      <c r="M19" s="17">
        <v>201774.01690817002</v>
      </c>
      <c r="N19" s="17">
        <v>187261.0109129</v>
      </c>
      <c r="O19" s="17">
        <v>112470.53948902999</v>
      </c>
    </row>
    <row r="20" spans="1:15" hidden="1" x14ac:dyDescent="0.25">
      <c r="A20" s="64" t="s">
        <v>304</v>
      </c>
      <c r="B20" s="17">
        <v>20052.187693209999</v>
      </c>
      <c r="C20" s="17">
        <v>22822.76353253</v>
      </c>
      <c r="D20" s="17">
        <v>24694.898060209998</v>
      </c>
      <c r="E20" s="17">
        <v>24723.620547890001</v>
      </c>
      <c r="F20" s="17">
        <v>26040.187363169996</v>
      </c>
      <c r="G20" s="17">
        <v>25921.475153859999</v>
      </c>
      <c r="H20" s="17">
        <v>22190.297627689997</v>
      </c>
      <c r="I20" s="17">
        <v>21619.001416130002</v>
      </c>
      <c r="J20" s="17">
        <v>21480.696730220003</v>
      </c>
      <c r="K20" s="17">
        <v>22629.90245704</v>
      </c>
      <c r="L20" s="17">
        <v>22140.487212849999</v>
      </c>
      <c r="M20" s="17">
        <v>19426.11348924</v>
      </c>
      <c r="N20" s="17">
        <v>10190.937576370001</v>
      </c>
      <c r="O20" s="17">
        <v>6977.815544</v>
      </c>
    </row>
    <row r="21" spans="1:15" hidden="1" x14ac:dyDescent="0.25">
      <c r="A21" s="21" t="s">
        <v>271</v>
      </c>
      <c r="B21" s="17">
        <v>293967.60160548013</v>
      </c>
      <c r="C21" s="17">
        <v>321886.70719551999</v>
      </c>
      <c r="D21" s="17">
        <v>364114.09106721001</v>
      </c>
      <c r="E21" s="17">
        <v>377227.31192621007</v>
      </c>
      <c r="F21" s="17">
        <v>422128.02723380004</v>
      </c>
      <c r="G21" s="17">
        <v>441772.39473488001</v>
      </c>
      <c r="H21" s="17">
        <v>514140.99753687996</v>
      </c>
      <c r="I21" s="17">
        <v>511117.32234627003</v>
      </c>
      <c r="J21" s="17">
        <v>575276.44034769991</v>
      </c>
      <c r="K21" s="17">
        <v>593156.4505104</v>
      </c>
      <c r="L21" s="17">
        <v>627340.65041151003</v>
      </c>
      <c r="M21" s="17">
        <v>638283.03122177988</v>
      </c>
      <c r="N21" s="17">
        <v>668774.97949087003</v>
      </c>
      <c r="O21" s="17">
        <v>497635.97755774</v>
      </c>
    </row>
    <row r="22" spans="1:15" hidden="1" x14ac:dyDescent="0.25">
      <c r="A22" s="60" t="s">
        <v>278</v>
      </c>
      <c r="B22" s="17">
        <v>293525.3250024601</v>
      </c>
      <c r="C22" s="17">
        <v>321428.50655377004</v>
      </c>
      <c r="D22" s="17">
        <v>363703.30051596003</v>
      </c>
      <c r="E22" s="17">
        <v>376782.57678815007</v>
      </c>
      <c r="F22" s="17">
        <v>421839.74149673001</v>
      </c>
      <c r="G22" s="17">
        <v>441558.90241838002</v>
      </c>
      <c r="H22" s="17">
        <v>513122.20324651996</v>
      </c>
      <c r="I22" s="17">
        <v>510177.82751762</v>
      </c>
      <c r="J22" s="17">
        <v>573821.42259490991</v>
      </c>
      <c r="K22" s="17">
        <v>591547.41781324998</v>
      </c>
      <c r="L22" s="17">
        <v>626450.11240059999</v>
      </c>
      <c r="M22" s="17">
        <v>637223.44259387988</v>
      </c>
      <c r="N22" s="17">
        <v>667533.60310566006</v>
      </c>
      <c r="O22" s="17">
        <v>497306.20768545999</v>
      </c>
    </row>
    <row r="23" spans="1:15" hidden="1" x14ac:dyDescent="0.25">
      <c r="A23" s="64" t="s">
        <v>284</v>
      </c>
      <c r="B23" s="17">
        <v>0</v>
      </c>
      <c r="C23" s="17">
        <v>219.94011798</v>
      </c>
      <c r="D23" s="17">
        <v>253.46385709999998</v>
      </c>
      <c r="E23" s="17">
        <v>227.13125531</v>
      </c>
      <c r="F23" s="17">
        <v>249.53503354</v>
      </c>
      <c r="G23" s="17">
        <v>246.81785202</v>
      </c>
      <c r="H23" s="17">
        <v>291.31988938000001</v>
      </c>
      <c r="I23" s="17">
        <v>340.07617843999998</v>
      </c>
      <c r="J23" s="17">
        <v>303.81986952999995</v>
      </c>
      <c r="K23" s="17">
        <v>267.14636281000003</v>
      </c>
      <c r="L23" s="17">
        <v>311.28712010999999</v>
      </c>
      <c r="M23" s="17">
        <v>288.56538345999996</v>
      </c>
      <c r="N23" s="17">
        <v>216.232958</v>
      </c>
      <c r="O23" s="17">
        <v>122.70371824</v>
      </c>
    </row>
    <row r="24" spans="1:15" hidden="1" x14ac:dyDescent="0.25">
      <c r="A24" s="64" t="s">
        <v>277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19851.712982749999</v>
      </c>
      <c r="H24" s="17">
        <v>38859.601359790002</v>
      </c>
      <c r="I24" s="17">
        <v>32276.78032292</v>
      </c>
      <c r="J24" s="17">
        <v>33680.811015120002</v>
      </c>
      <c r="K24" s="17">
        <v>32560.124747940001</v>
      </c>
      <c r="L24" s="17">
        <v>30590.381496190003</v>
      </c>
      <c r="M24" s="17">
        <v>30765.738912979999</v>
      </c>
      <c r="N24" s="17">
        <v>27184.62283325</v>
      </c>
      <c r="O24" s="17">
        <v>21301.042480869997</v>
      </c>
    </row>
    <row r="25" spans="1:15" hidden="1" x14ac:dyDescent="0.25">
      <c r="A25" s="64" t="s">
        <v>288</v>
      </c>
      <c r="B25" s="17">
        <v>883.21108228999992</v>
      </c>
      <c r="C25" s="17">
        <v>1009.142591</v>
      </c>
      <c r="D25" s="17">
        <v>1110.39549777</v>
      </c>
      <c r="E25" s="17">
        <v>1317.1319864700001</v>
      </c>
      <c r="F25" s="17">
        <v>1425.3401572600001</v>
      </c>
      <c r="G25" s="17">
        <v>1486.8186927899999</v>
      </c>
      <c r="H25" s="17">
        <v>1988.6513021199999</v>
      </c>
      <c r="I25" s="17">
        <v>1492.7995770499999</v>
      </c>
      <c r="J25" s="17">
        <v>2561.9622223699998</v>
      </c>
      <c r="K25" s="17">
        <v>2911.5338892700001</v>
      </c>
      <c r="L25" s="17">
        <v>2332.0341979499999</v>
      </c>
      <c r="M25" s="17">
        <v>2711.73635096</v>
      </c>
      <c r="N25" s="17">
        <v>3020.3685268700001</v>
      </c>
      <c r="O25" s="17">
        <v>2839.59049349</v>
      </c>
    </row>
    <row r="26" spans="1:15" x14ac:dyDescent="0.25">
      <c r="A26" s="65" t="s">
        <v>296</v>
      </c>
      <c r="B26" s="62">
        <v>250576.75296131001</v>
      </c>
      <c r="C26" s="62">
        <v>268070.16821308003</v>
      </c>
      <c r="D26" s="62">
        <v>308273.97395515005</v>
      </c>
      <c r="E26" s="62">
        <v>320637.77097978996</v>
      </c>
      <c r="F26" s="62">
        <v>359424.94273742998</v>
      </c>
      <c r="G26" s="62">
        <v>354148.89551945997</v>
      </c>
      <c r="H26" s="62">
        <v>404209.96664747997</v>
      </c>
      <c r="I26" s="62">
        <v>404901.31941967999</v>
      </c>
      <c r="J26" s="62">
        <v>457827.11170360999</v>
      </c>
      <c r="K26" s="62">
        <v>472644.39652052004</v>
      </c>
      <c r="L26" s="62">
        <v>510259.42986408999</v>
      </c>
      <c r="M26" s="62">
        <v>517665.81167703005</v>
      </c>
      <c r="N26" s="62">
        <v>552016.83929847996</v>
      </c>
      <c r="O26" s="62">
        <v>398547.17428188003</v>
      </c>
    </row>
    <row r="27" spans="1:15" hidden="1" x14ac:dyDescent="0.25">
      <c r="A27" s="64" t="s">
        <v>470</v>
      </c>
      <c r="B27" s="17">
        <v>9.0749999999999997E-3</v>
      </c>
      <c r="C27" s="17">
        <v>9.7999999999999997E-3</v>
      </c>
      <c r="D27" s="17">
        <v>3.4979999999999997E-2</v>
      </c>
      <c r="E27" s="17">
        <v>3.0000000000000001E-3</v>
      </c>
      <c r="F27" s="17">
        <v>6.9772000000000001E-2</v>
      </c>
      <c r="G27" s="17">
        <v>2.7300000000000001E-2</v>
      </c>
      <c r="H27" s="17">
        <v>1.8030000000000001E-2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idden="1" x14ac:dyDescent="0.25">
      <c r="A28" s="64" t="s">
        <v>293</v>
      </c>
      <c r="B28" s="17">
        <v>23802.188305580003</v>
      </c>
      <c r="C28" s="17">
        <v>29413.185284220002</v>
      </c>
      <c r="D28" s="17">
        <v>29639.154109389998</v>
      </c>
      <c r="E28" s="17">
        <v>28034.895846900003</v>
      </c>
      <c r="F28" s="17">
        <v>32936.154744389998</v>
      </c>
      <c r="G28" s="17">
        <v>35619.598202220004</v>
      </c>
      <c r="H28" s="17">
        <v>35254.037576859999</v>
      </c>
      <c r="I28" s="17">
        <v>36293.198745540001</v>
      </c>
      <c r="J28" s="17">
        <v>43094.919330410004</v>
      </c>
      <c r="K28" s="17">
        <v>43399.920532789998</v>
      </c>
      <c r="L28" s="17">
        <v>43176.431582140001</v>
      </c>
      <c r="M28" s="17">
        <v>45610.014103070003</v>
      </c>
      <c r="N28" s="17">
        <v>43849.043248069996</v>
      </c>
      <c r="O28" s="17">
        <v>39483.414532490002</v>
      </c>
    </row>
    <row r="29" spans="1:15" hidden="1" x14ac:dyDescent="0.25">
      <c r="A29" s="64" t="s">
        <v>290</v>
      </c>
      <c r="B29" s="17">
        <v>18263.16357828</v>
      </c>
      <c r="C29" s="17">
        <v>22716.06054749</v>
      </c>
      <c r="D29" s="17">
        <v>24426.278116549998</v>
      </c>
      <c r="E29" s="17">
        <v>26565.64371968</v>
      </c>
      <c r="F29" s="17">
        <v>27803.699052110002</v>
      </c>
      <c r="G29" s="17">
        <v>30205.031869139999</v>
      </c>
      <c r="H29" s="17">
        <v>32518.608440889999</v>
      </c>
      <c r="I29" s="17">
        <v>34873.653273989999</v>
      </c>
      <c r="J29" s="17">
        <v>36352.798453870004</v>
      </c>
      <c r="K29" s="17">
        <v>39764.295759920002</v>
      </c>
      <c r="L29" s="17">
        <v>39780.548140120001</v>
      </c>
      <c r="M29" s="17">
        <v>40181.57616638</v>
      </c>
      <c r="N29" s="17">
        <v>41246.496240989996</v>
      </c>
      <c r="O29" s="17">
        <v>35012.282178490008</v>
      </c>
    </row>
    <row r="30" spans="1:15" hidden="1" x14ac:dyDescent="0.25">
      <c r="A30" s="60" t="s">
        <v>270</v>
      </c>
      <c r="B30" s="17">
        <v>442.27660301999998</v>
      </c>
      <c r="C30" s="17">
        <v>458.20064174999999</v>
      </c>
      <c r="D30" s="17">
        <v>410.79055125000002</v>
      </c>
      <c r="E30" s="17">
        <v>444.73513806</v>
      </c>
      <c r="F30" s="17">
        <v>288.28573706999998</v>
      </c>
      <c r="G30" s="17">
        <v>213.49231649999999</v>
      </c>
      <c r="H30" s="17">
        <v>1018.79429036</v>
      </c>
      <c r="I30" s="17">
        <v>939.49482864999993</v>
      </c>
      <c r="J30" s="17">
        <v>1455.01775279</v>
      </c>
      <c r="K30" s="17">
        <v>1609.0326971500001</v>
      </c>
      <c r="L30" s="17">
        <v>890.53801090999991</v>
      </c>
      <c r="M30" s="17">
        <v>1059.5886278999999</v>
      </c>
      <c r="N30" s="17">
        <v>1241.3763852100001</v>
      </c>
      <c r="O30" s="17">
        <v>329.76987227999996</v>
      </c>
    </row>
    <row r="31" spans="1:15" hidden="1" x14ac:dyDescent="0.25">
      <c r="A31" s="64" t="s">
        <v>269</v>
      </c>
      <c r="B31" s="17">
        <v>442.27660301999998</v>
      </c>
      <c r="C31" s="17">
        <v>458.20064174999999</v>
      </c>
      <c r="D31" s="17">
        <v>410.79055125000002</v>
      </c>
      <c r="E31" s="17">
        <v>444.73513806</v>
      </c>
      <c r="F31" s="17">
        <v>288.28573706999998</v>
      </c>
      <c r="G31" s="17">
        <v>213.49231649999999</v>
      </c>
      <c r="H31" s="17">
        <v>1018.79429036</v>
      </c>
      <c r="I31" s="17">
        <v>939.49482864999993</v>
      </c>
      <c r="J31" s="17">
        <v>1455.01775279</v>
      </c>
      <c r="K31" s="17">
        <v>1609.0326971500001</v>
      </c>
      <c r="L31" s="17">
        <v>890.53801090999991</v>
      </c>
      <c r="M31" s="17">
        <v>1059.5886278999999</v>
      </c>
      <c r="N31" s="17">
        <v>1241.3763852100001</v>
      </c>
      <c r="O31" s="17">
        <v>329.76987227999996</v>
      </c>
    </row>
    <row r="32" spans="1:15" hidden="1" x14ac:dyDescent="0.25">
      <c r="A32" s="16" t="s">
        <v>238</v>
      </c>
      <c r="B32" s="17">
        <v>165389.63711613</v>
      </c>
      <c r="C32" s="17">
        <v>195631.65437746001</v>
      </c>
      <c r="D32" s="17">
        <v>157889.96551072999</v>
      </c>
      <c r="E32" s="17">
        <v>170125.75705948999</v>
      </c>
      <c r="F32" s="17">
        <v>187062.43923833003</v>
      </c>
      <c r="G32" s="17">
        <v>197594.11404295001</v>
      </c>
      <c r="H32" s="17">
        <v>205537.39074630002</v>
      </c>
      <c r="I32" s="17">
        <v>226533.54754057995</v>
      </c>
      <c r="J32" s="17">
        <v>236244.47415383003</v>
      </c>
      <c r="K32" s="17">
        <v>256821.42156187003</v>
      </c>
      <c r="L32" s="17">
        <v>254702.64788787998</v>
      </c>
      <c r="M32" s="17">
        <v>252947.69535560999</v>
      </c>
      <c r="N32" s="17">
        <v>245963.55945821002</v>
      </c>
      <c r="O32" s="17">
        <v>152550.48341627</v>
      </c>
    </row>
    <row r="33" spans="1:15" hidden="1" x14ac:dyDescent="0.25">
      <c r="A33" s="21" t="s">
        <v>254</v>
      </c>
      <c r="B33" s="17">
        <v>2432.0950409899997</v>
      </c>
      <c r="C33" s="17">
        <v>4667.4063737400002</v>
      </c>
      <c r="D33" s="17">
        <v>4677.2724471299998</v>
      </c>
      <c r="E33" s="17">
        <v>3972.8447458699998</v>
      </c>
      <c r="F33" s="17">
        <v>3990.4247101300002</v>
      </c>
      <c r="G33" s="17">
        <v>3823.5893496299996</v>
      </c>
      <c r="H33" s="17">
        <v>4876.5267424599997</v>
      </c>
      <c r="I33" s="17">
        <v>4853.2783550200002</v>
      </c>
      <c r="J33" s="17">
        <v>4467.99766318</v>
      </c>
      <c r="K33" s="17">
        <v>5072.7466691199998</v>
      </c>
      <c r="L33" s="17">
        <v>5638.50952082</v>
      </c>
      <c r="M33" s="17">
        <v>5467.7403560100001</v>
      </c>
      <c r="N33" s="17">
        <v>5411.8859709999997</v>
      </c>
      <c r="O33" s="17">
        <v>5001.5535570000002</v>
      </c>
    </row>
    <row r="34" spans="1:15" hidden="1" x14ac:dyDescent="0.25">
      <c r="A34" s="21" t="s">
        <v>262</v>
      </c>
      <c r="B34" s="17">
        <v>134576.00270678001</v>
      </c>
      <c r="C34" s="17">
        <v>156816.03805166</v>
      </c>
      <c r="D34" s="17">
        <v>117255.97644725</v>
      </c>
      <c r="E34" s="17">
        <v>126134.42404</v>
      </c>
      <c r="F34" s="17">
        <v>146510.34128706</v>
      </c>
      <c r="G34" s="17">
        <v>152274.36630224</v>
      </c>
      <c r="H34" s="17">
        <v>154576.07569920999</v>
      </c>
      <c r="I34" s="17">
        <v>169119.85756544</v>
      </c>
      <c r="J34" s="17">
        <v>174568.16672279002</v>
      </c>
      <c r="K34" s="17">
        <v>185544.30325697004</v>
      </c>
      <c r="L34" s="17">
        <v>179187.91235863999</v>
      </c>
      <c r="M34" s="17">
        <v>175367.64895887001</v>
      </c>
      <c r="N34" s="17">
        <v>164224.01437465003</v>
      </c>
      <c r="O34" s="17">
        <v>118636.50722655001</v>
      </c>
    </row>
    <row r="35" spans="1:15" hidden="1" x14ac:dyDescent="0.25">
      <c r="A35" s="60" t="s">
        <v>266</v>
      </c>
      <c r="B35" s="17">
        <v>107565.33862555001</v>
      </c>
      <c r="C35" s="17">
        <v>124550.33551236</v>
      </c>
      <c r="D35" s="17">
        <v>97000.942557300004</v>
      </c>
      <c r="E35" s="17">
        <v>103850.51145297001</v>
      </c>
      <c r="F35" s="17">
        <v>122354.69174428999</v>
      </c>
      <c r="G35" s="17">
        <v>128357.66304442</v>
      </c>
      <c r="H35" s="17">
        <v>130633.89174969999</v>
      </c>
      <c r="I35" s="17">
        <v>142225.52349885998</v>
      </c>
      <c r="J35" s="17">
        <v>148666.09421416</v>
      </c>
      <c r="K35" s="17">
        <v>158558.84286839003</v>
      </c>
      <c r="L35" s="17">
        <v>152755.50757712001</v>
      </c>
      <c r="M35" s="17">
        <v>149017.03619762001</v>
      </c>
      <c r="N35" s="17">
        <v>140918.87591204001</v>
      </c>
      <c r="O35" s="17">
        <v>102056.30338291</v>
      </c>
    </row>
    <row r="36" spans="1:15" x14ac:dyDescent="0.25">
      <c r="A36" s="65" t="s">
        <v>265</v>
      </c>
      <c r="B36" s="62">
        <v>107565.33862555001</v>
      </c>
      <c r="C36" s="62">
        <v>124550.33551236</v>
      </c>
      <c r="D36" s="62">
        <v>97000.942557300004</v>
      </c>
      <c r="E36" s="62">
        <v>103850.51145297001</v>
      </c>
      <c r="F36" s="62">
        <v>122354.69174428999</v>
      </c>
      <c r="G36" s="62">
        <v>128357.66304442</v>
      </c>
      <c r="H36" s="62">
        <v>130633.89174969999</v>
      </c>
      <c r="I36" s="62">
        <v>142225.52349885998</v>
      </c>
      <c r="J36" s="62">
        <v>148666.09421416</v>
      </c>
      <c r="K36" s="62">
        <v>158558.84286839003</v>
      </c>
      <c r="L36" s="62">
        <v>152755.50757712001</v>
      </c>
      <c r="M36" s="62">
        <v>149017.03619762001</v>
      </c>
      <c r="N36" s="62">
        <v>140918.87591204001</v>
      </c>
      <c r="O36" s="62">
        <v>102056.30338291</v>
      </c>
    </row>
    <row r="37" spans="1:15" hidden="1" x14ac:dyDescent="0.25">
      <c r="A37" s="60" t="s">
        <v>261</v>
      </c>
      <c r="B37" s="17">
        <v>27010.664081229999</v>
      </c>
      <c r="C37" s="17">
        <v>32265.7025393</v>
      </c>
      <c r="D37" s="17">
        <v>20255.033889950002</v>
      </c>
      <c r="E37" s="17">
        <v>22283.912587029998</v>
      </c>
      <c r="F37" s="17">
        <v>24155.649542769999</v>
      </c>
      <c r="G37" s="17">
        <v>23916.703257820001</v>
      </c>
      <c r="H37" s="17">
        <v>23942.183949509999</v>
      </c>
      <c r="I37" s="17">
        <v>26894.334066580002</v>
      </c>
      <c r="J37" s="17">
        <v>25902.072508630001</v>
      </c>
      <c r="K37" s="17">
        <v>26985.460388580002</v>
      </c>
      <c r="L37" s="17">
        <v>26432.404781519999</v>
      </c>
      <c r="M37" s="17">
        <v>26350.612761249999</v>
      </c>
      <c r="N37" s="17">
        <v>23305.138462610001</v>
      </c>
      <c r="O37" s="17">
        <v>16580.20384364</v>
      </c>
    </row>
    <row r="38" spans="1:15" hidden="1" x14ac:dyDescent="0.25">
      <c r="A38" s="21" t="s">
        <v>237</v>
      </c>
      <c r="B38" s="17">
        <v>28381.539368360001</v>
      </c>
      <c r="C38" s="17">
        <v>34148.209952059995</v>
      </c>
      <c r="D38" s="17">
        <v>35956.716616350001</v>
      </c>
      <c r="E38" s="17">
        <v>40018.488273619994</v>
      </c>
      <c r="F38" s="17">
        <v>36561.673241140008</v>
      </c>
      <c r="G38" s="17">
        <v>41496.158391079996</v>
      </c>
      <c r="H38" s="17">
        <v>46084.788304629998</v>
      </c>
      <c r="I38" s="17">
        <v>52560.411620119994</v>
      </c>
      <c r="J38" s="17">
        <v>57208.309767860002</v>
      </c>
      <c r="K38" s="17">
        <v>66204.37163578</v>
      </c>
      <c r="L38" s="17">
        <v>69876.22600842001</v>
      </c>
      <c r="M38" s="17">
        <v>72112.306040730007</v>
      </c>
      <c r="N38" s="17">
        <v>76327.659112559995</v>
      </c>
      <c r="O38" s="17">
        <v>28912.422632720001</v>
      </c>
    </row>
    <row r="39" spans="1:15" hidden="1" x14ac:dyDescent="0.25">
      <c r="A39" s="16" t="s">
        <v>315</v>
      </c>
      <c r="B39" s="17">
        <v>83478.285034029992</v>
      </c>
      <c r="C39" s="17">
        <v>97195.900867169999</v>
      </c>
      <c r="D39" s="17">
        <v>100999.5154051</v>
      </c>
      <c r="E39" s="17">
        <v>125277.19345248</v>
      </c>
      <c r="F39" s="17">
        <v>120996.99952622999</v>
      </c>
      <c r="G39" s="17">
        <v>161285.57124264998</v>
      </c>
      <c r="H39" s="17">
        <v>199404.58082097999</v>
      </c>
      <c r="I39" s="17">
        <v>225496.36024181999</v>
      </c>
      <c r="J39" s="17">
        <v>237491.81767158004</v>
      </c>
      <c r="K39" s="17">
        <v>227203.56692539997</v>
      </c>
      <c r="L39" s="17">
        <v>244389.66360403004</v>
      </c>
      <c r="M39" s="17">
        <v>262239.3588625</v>
      </c>
      <c r="N39" s="17">
        <v>281503.48442866997</v>
      </c>
      <c r="O39" s="17">
        <v>118190.99173471</v>
      </c>
    </row>
    <row r="40" spans="1:15" hidden="1" x14ac:dyDescent="0.25">
      <c r="A40" s="21" t="s">
        <v>333</v>
      </c>
      <c r="B40" s="17">
        <v>0</v>
      </c>
      <c r="C40" s="17">
        <v>0</v>
      </c>
      <c r="D40" s="17">
        <v>55.274959930000001</v>
      </c>
      <c r="E40" s="17">
        <v>3526.6600559200001</v>
      </c>
      <c r="F40" s="17">
        <v>2475.04667195</v>
      </c>
      <c r="G40" s="17">
        <v>2638.3131417300001</v>
      </c>
      <c r="H40" s="17">
        <v>3998.1387021799997</v>
      </c>
      <c r="I40" s="17">
        <v>4012.7914899000002</v>
      </c>
      <c r="J40" s="17">
        <v>4076.4377233200003</v>
      </c>
      <c r="K40" s="17">
        <v>4098.0576595800003</v>
      </c>
      <c r="L40" s="17">
        <v>4254.6152270299999</v>
      </c>
      <c r="M40" s="17">
        <v>4467.5150328999998</v>
      </c>
      <c r="N40" s="17">
        <v>4699.3436901499999</v>
      </c>
      <c r="O40" s="17">
        <v>4507.1991458900002</v>
      </c>
    </row>
    <row r="41" spans="1:15" hidden="1" x14ac:dyDescent="0.25">
      <c r="A41" s="21" t="s">
        <v>327</v>
      </c>
      <c r="B41" s="17">
        <v>52545.685876039999</v>
      </c>
      <c r="C41" s="17">
        <v>68370.080396310004</v>
      </c>
      <c r="D41" s="17">
        <v>78077.323783600004</v>
      </c>
      <c r="E41" s="17">
        <v>94237.031560610005</v>
      </c>
      <c r="F41" s="17">
        <v>85270.847985759989</v>
      </c>
      <c r="G41" s="17">
        <v>102026.30669500001</v>
      </c>
      <c r="H41" s="17">
        <v>113859.412193</v>
      </c>
      <c r="I41" s="17">
        <v>130142.56916519</v>
      </c>
      <c r="J41" s="17">
        <v>146042.17454433002</v>
      </c>
      <c r="K41" s="17">
        <v>156678.86983071</v>
      </c>
      <c r="L41" s="17">
        <v>165318.56336042998</v>
      </c>
      <c r="M41" s="17">
        <v>173194.27310068</v>
      </c>
      <c r="N41" s="17">
        <v>183018.03932489999</v>
      </c>
      <c r="O41" s="17">
        <v>34964.59985993</v>
      </c>
    </row>
    <row r="42" spans="1:15" x14ac:dyDescent="0.25">
      <c r="A42" s="63" t="s">
        <v>330</v>
      </c>
      <c r="B42" s="62">
        <v>52510.999134040001</v>
      </c>
      <c r="C42" s="62">
        <v>68299.135677309998</v>
      </c>
      <c r="D42" s="62">
        <v>77924.178333600008</v>
      </c>
      <c r="E42" s="62">
        <v>94101.473982609998</v>
      </c>
      <c r="F42" s="62">
        <v>85152.486051759988</v>
      </c>
      <c r="G42" s="62">
        <v>101903.027128</v>
      </c>
      <c r="H42" s="62">
        <v>113727.482584</v>
      </c>
      <c r="I42" s="62">
        <v>130000.30442319</v>
      </c>
      <c r="J42" s="62">
        <v>145894.06940695</v>
      </c>
      <c r="K42" s="62">
        <v>156516.87905771</v>
      </c>
      <c r="L42" s="62">
        <v>164034.19409243</v>
      </c>
      <c r="M42" s="62">
        <v>171522.63855968</v>
      </c>
      <c r="N42" s="62">
        <v>181197.99595225</v>
      </c>
      <c r="O42" s="62">
        <v>34552.756526690006</v>
      </c>
    </row>
    <row r="43" spans="1:15" hidden="1" x14ac:dyDescent="0.25">
      <c r="A43" s="60" t="s">
        <v>326</v>
      </c>
      <c r="B43" s="17">
        <v>34.686742000000002</v>
      </c>
      <c r="C43" s="17">
        <v>70.944719000000006</v>
      </c>
      <c r="D43" s="17">
        <v>153.14545000000001</v>
      </c>
      <c r="E43" s="17">
        <v>135.55757800000001</v>
      </c>
      <c r="F43" s="17">
        <v>118.36193400000001</v>
      </c>
      <c r="G43" s="17">
        <v>123.279567</v>
      </c>
      <c r="H43" s="17">
        <v>131.929609</v>
      </c>
      <c r="I43" s="17">
        <v>142.26474200000001</v>
      </c>
      <c r="J43" s="17">
        <v>148.10513738</v>
      </c>
      <c r="K43" s="17">
        <v>161.99077299999999</v>
      </c>
      <c r="L43" s="17">
        <v>1284.3692679999999</v>
      </c>
      <c r="M43" s="17">
        <v>1671.6345409999999</v>
      </c>
      <c r="N43" s="17">
        <v>1820.04337265</v>
      </c>
      <c r="O43" s="17">
        <v>411.84333323999999</v>
      </c>
    </row>
    <row r="44" spans="1:15" hidden="1" x14ac:dyDescent="0.25">
      <c r="A44" s="21" t="s">
        <v>322</v>
      </c>
      <c r="B44" s="17">
        <v>1629.4414902000001</v>
      </c>
      <c r="C44" s="17">
        <v>1067.96973181</v>
      </c>
      <c r="D44" s="17">
        <v>520.74967730000003</v>
      </c>
      <c r="E44" s="17">
        <v>459.22459194999999</v>
      </c>
      <c r="F44" s="17">
        <v>525.75021451999999</v>
      </c>
      <c r="G44" s="17">
        <v>22724.195550610002</v>
      </c>
      <c r="H44" s="17">
        <v>36124.344511050003</v>
      </c>
      <c r="I44" s="17">
        <v>39541.925580429997</v>
      </c>
      <c r="J44" s="17">
        <v>33116.741848599995</v>
      </c>
      <c r="K44" s="17">
        <v>6941.8511637799993</v>
      </c>
      <c r="L44" s="17">
        <v>14145.79646503</v>
      </c>
      <c r="M44" s="17">
        <v>26588.82861552</v>
      </c>
      <c r="N44" s="17">
        <v>28008.969170779998</v>
      </c>
      <c r="O44" s="17">
        <v>26643.625020110001</v>
      </c>
    </row>
    <row r="45" spans="1:15" hidden="1" x14ac:dyDescent="0.25">
      <c r="A45" s="21" t="s">
        <v>318</v>
      </c>
      <c r="B45" s="17">
        <v>19365.658665499999</v>
      </c>
      <c r="C45" s="17">
        <v>17204.2935612</v>
      </c>
      <c r="D45" s="17">
        <v>12734.26253717</v>
      </c>
      <c r="E45" s="17">
        <v>14743.437327</v>
      </c>
      <c r="F45" s="17">
        <v>19052.902052000001</v>
      </c>
      <c r="G45" s="17">
        <v>20950.134198430002</v>
      </c>
      <c r="H45" s="17">
        <v>28245.488363749999</v>
      </c>
      <c r="I45" s="17">
        <v>32699.809414299998</v>
      </c>
      <c r="J45" s="17">
        <v>33257.598980069997</v>
      </c>
      <c r="K45" s="17">
        <v>36462.38892515</v>
      </c>
      <c r="L45" s="17">
        <v>38799.024274510004</v>
      </c>
      <c r="M45" s="17">
        <v>35723.538472190005</v>
      </c>
      <c r="N45" s="17">
        <v>42554.418225839996</v>
      </c>
      <c r="O45" s="17">
        <v>31504.161853779999</v>
      </c>
    </row>
    <row r="46" spans="1:15" hidden="1" x14ac:dyDescent="0.25">
      <c r="A46" s="21" t="s">
        <v>314</v>
      </c>
      <c r="B46" s="17">
        <v>9937.4990022900001</v>
      </c>
      <c r="C46" s="17">
        <v>10553.55717785</v>
      </c>
      <c r="D46" s="17">
        <v>9611.9044470999997</v>
      </c>
      <c r="E46" s="17">
        <v>12310.839916999999</v>
      </c>
      <c r="F46" s="17">
        <v>13672.452601999999</v>
      </c>
      <c r="G46" s="17">
        <v>12946.621656879999</v>
      </c>
      <c r="H46" s="17">
        <v>17177.197050999999</v>
      </c>
      <c r="I46" s="17">
        <v>19099.264592</v>
      </c>
      <c r="J46" s="17">
        <v>20998.864575259999</v>
      </c>
      <c r="K46" s="17">
        <v>23022.399346180002</v>
      </c>
      <c r="L46" s="17">
        <v>21871.664277029999</v>
      </c>
      <c r="M46" s="17">
        <v>22265.203641209999</v>
      </c>
      <c r="N46" s="17">
        <v>23222.714016999998</v>
      </c>
      <c r="O46" s="17">
        <v>20571.405855000001</v>
      </c>
    </row>
    <row r="47" spans="1:15" hidden="1" x14ac:dyDescent="0.25">
      <c r="A47" s="16" t="s">
        <v>231</v>
      </c>
      <c r="B47" s="17">
        <v>3061.2820995000002</v>
      </c>
      <c r="C47" s="17">
        <v>3651.1350689699998</v>
      </c>
      <c r="D47" s="17">
        <v>3884.4132111700001</v>
      </c>
      <c r="E47" s="17">
        <v>3796.2319431299998</v>
      </c>
      <c r="F47" s="17">
        <v>6214.0356001499995</v>
      </c>
      <c r="G47" s="17">
        <v>4761.2773509799999</v>
      </c>
      <c r="H47" s="17">
        <v>5637.2977514700005</v>
      </c>
      <c r="I47" s="17">
        <v>5189.8477343499999</v>
      </c>
      <c r="J47" s="17">
        <v>4927.1497662199999</v>
      </c>
      <c r="K47" s="17">
        <v>4665.5464702899999</v>
      </c>
      <c r="L47" s="17">
        <v>5250.3051711199996</v>
      </c>
      <c r="M47" s="17">
        <v>5583.0146842200002</v>
      </c>
      <c r="N47" s="17">
        <v>6023.4891110899998</v>
      </c>
      <c r="O47" s="17">
        <v>4247.8701425700001</v>
      </c>
    </row>
    <row r="48" spans="1:15" x14ac:dyDescent="0.25">
      <c r="A48" s="16" t="s">
        <v>795</v>
      </c>
      <c r="B48" s="17">
        <v>2028941.8248715103</v>
      </c>
      <c r="C48" s="17">
        <v>2408578.6251182007</v>
      </c>
      <c r="D48" s="17">
        <v>2262289.9432246597</v>
      </c>
      <c r="E48" s="17">
        <v>2491652.0655470504</v>
      </c>
      <c r="F48" s="17">
        <v>2769332.9123179303</v>
      </c>
      <c r="G48" s="17">
        <v>3007922.2147143101</v>
      </c>
      <c r="H48" s="17">
        <v>3292308.8412788105</v>
      </c>
      <c r="I48" s="17">
        <v>3522442.4915895294</v>
      </c>
      <c r="J48" s="17">
        <v>3861913.1156655792</v>
      </c>
      <c r="K48" s="17">
        <v>4167739.8039435912</v>
      </c>
      <c r="L48" s="17">
        <v>4390868.8308402095</v>
      </c>
      <c r="M48" s="17">
        <v>4567131.6391192796</v>
      </c>
      <c r="N48" s="17">
        <v>4889569.7158468701</v>
      </c>
      <c r="O48" s="17">
        <v>3722959.4315449605</v>
      </c>
    </row>
    <row r="49" spans="1:13" x14ac:dyDescent="0.25">
      <c r="A49" s="71" t="s">
        <v>1110</v>
      </c>
      <c r="B49" s="72">
        <f>+GETPIVOTDATA("Acumulado_millones",$A$10,"Año",2007,"Grupo","Impuestos a los ingresos y utilidades")+GETPIVOTDATA("Acumulado_millones",$A$10,"Año",2007,"Grupo","Impuestos sobre bienes y servicios","Subgrupo","Impuesto general sobre ventas y consumo","Partida","Impuesto general sobre las ventas")+GETPIVOTDATA("Acumulado_millones",$A$10,"Año",2007,"Grupo","Impuestos sobre bienes y servicios","Subgrupo","Impuesto general sobre ventas y consumo","Partida","Impuesto selectivo de consumo")+GETPIVOTDATA("Acumulado_millones",$A$10,"Año",2007,"Grupo","Impuestos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8114")+GETPIVOTDATA("Acumulado_millones",$A$10,"Año",2007,"Grupo","Impuestos sobre el comercio exterior y las transacciones internacionales","Subgrupo","Impuestos a las importaciones","Partida","Derechos de importación de mercancías","Subpartida","Arancel de aduanas")+GETPIVOTDATA("Acumulado_millones",$A$10,"Año",2007,"Grupo","Impuestos sobre la propiedad","Subgrupo","Impuesto sobre la propiedad de vehículos, aeronaves y embarcaciones","Partida","Impuesto a la propiedad de vehículos Ley N°7088")</f>
        <v>1893698.10973727</v>
      </c>
      <c r="C49" s="72">
        <f>+GETPIVOTDATA("Acumulado_millones",$A$10,"Año",2008,"Grupo","Impuestos a los ingresos y utilidades")+GETPIVOTDATA("Acumulado_millones",$A$10,"Año",2008,"Grupo","Impuestos sobre bienes y servicios","Subgrupo","Impuesto general sobre ventas y consumo","Partida","Impuesto general sobre las ventas")+GETPIVOTDATA("Acumulado_millones",$A$10,"Año",2008,"Grupo","Impuestos sobre bienes y servicios","Subgrupo","Impuesto general sobre ventas y consumo","Partida","Impuesto selectivo de consumo")+GETPIVOTDATA("Acumulado_millones",$A$10,"Año",2008,"Grupo","Impuestos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8114")+GETPIVOTDATA("Acumulado_millones",$A$10,"Año",2008,"Grupo","Impuestos sobre el comercio exterior y las transacciones internacionales","Subgrupo","Impuestos a las importaciones","Partida","Derechos de importación de mercancías","Subpartida","Arancel de aduanas")+GETPIVOTDATA("Acumulado_millones",$A$10,"Año",2008,"Grupo","Impuestos sobre la propiedad","Subgrupo","Impuesto sobre la propiedad de vehículos, aeronaves y embarcaciones","Partida","Impuesto a la propiedad de vehículos Ley N°7088")</f>
        <v>2251132.8670118302</v>
      </c>
      <c r="D49" s="72">
        <f>+GETPIVOTDATA("Acumulado_millones",$A$10,"Año",2009,"Grupo","Impuestos a los ingresos y utilidades")+GETPIVOTDATA("Acumulado_millones",$A$10,"Año",2009,"Grupo","Impuestos sobre bienes y servicios","Subgrupo","Impuesto general sobre ventas y consumo","Partida","Impuesto general sobre las ventas")+GETPIVOTDATA("Acumulado_millones",$A$10,"Año",2009,"Grupo","Impuestos sobre bienes y servicios","Subgrupo","Impuesto general sobre ventas y consumo","Partida","Impuesto selectivo de consumo")+GETPIVOTDATA("Acumulado_millones",$A$10,"Año",2009,"Grupo","Impuestos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8114")+GETPIVOTDATA("Acumulado_millones",$A$10,"Año",2009,"Grupo","Impuestos sobre el comercio exterior y las transacciones internacionales","Subgrupo","Impuestos a las importaciones","Partida","Derechos de importación de mercancías","Subpartida","Arancel de aduanas")+GETPIVOTDATA("Acumulado_millones",$A$10,"Año",2009,"Grupo","Impuestos sobre la propiedad","Subgrupo","Impuesto sobre la propiedad de vehículos, aeronaves y embarcaciones","Partida","Impuesto a la propiedad de vehículos Ley N°7088")</f>
        <v>2118601.0528764999</v>
      </c>
      <c r="E49" s="72">
        <f>+GETPIVOTDATA("Acumulado_millones",$A$10,"Año",2010,"Grupo","Impuestos a los ingresos y utilidades")+GETPIVOTDATA("Acumulado_millones",$A$10,"Año",2010,"Grupo","Impuestos sobre bienes y servicios","Subgrupo","Impuesto general sobre ventas y consumo","Partida","Impuesto general sobre las ventas")+GETPIVOTDATA("Acumulado_millones",$A$10,"Año",2010,"Grupo","Impuestos sobre bienes y servicios","Subgrupo","Impuesto general sobre ventas y consumo","Partida","Impuesto selectivo de consumo")+GETPIVOTDATA("Acumulado_millones",$A$10,"Año",2010,"Grupo","Impuestos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8114")+GETPIVOTDATA("Acumulado_millones",$A$10,"Año",2010,"Grupo","Impuestos sobre el comercio exterior y las transacciones internacionales","Subgrupo","Impuestos a las importaciones","Partida","Derechos de importación de mercancías","Subpartida","Arancel de aduanas")+GETPIVOTDATA("Acumulado_millones",$A$10,"Año",2010,"Grupo","Impuestos sobre la propiedad","Subgrupo","Impuesto sobre la propiedad de vehículos, aeronaves y embarcaciones","Partida","Impuesto a la propiedad de vehículos Ley N°7088")</f>
        <v>2333815.3275811099</v>
      </c>
      <c r="F49" s="72">
        <f>+GETPIVOTDATA("Acumulado_millones",$A$10,"Año",2011,"Grupo","Impuestos a los ingresos y utilidades")+GETPIVOTDATA("Acumulado_millones",$A$10,"Año",2011,"Grupo","Impuestos sobre bienes y servicios","Subgrupo","Impuesto general sobre ventas y consumo","Partida","Impuesto general sobre las ventas")+GETPIVOTDATA("Acumulado_millones",$A$10,"Año",2011,"Grupo","Impuestos sobre bienes y servicios","Subgrupo","Impuesto general sobre ventas y consumo","Partida","Impuesto selectivo de consumo")+GETPIVOTDATA("Acumulado_millones",$A$10,"Año",2011,"Grupo","Impuestos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8114")+GETPIVOTDATA("Acumulado_millones",$A$10,"Año",2011,"Grupo","Impuestos sobre el comercio exterior y las transacciones internacionales","Subgrupo","Impuestos a las importaciones","Partida","Derechos de importación de mercancías","Subpartida","Arancel de aduanas")+GETPIVOTDATA("Acumulado_millones",$A$10,"Año",2011,"Grupo","Impuestos sobre la propiedad","Subgrupo","Impuesto sobre la propiedad de vehículos, aeronaves y embarcaciones","Partida","Impuesto a la propiedad de vehículos Ley N°7088")</f>
        <v>2599863.5312528997</v>
      </c>
      <c r="G49" s="72">
        <f>+GETPIVOTDATA("Acumulado_millones",$A$10,"Año",2012,"Grupo","Impuestos a los ingresos y utilidades")+GETPIVOTDATA("Acumulado_millones",$A$10,"Año",2012,"Grupo","Impuestos sobre bienes y servicios","Subgrupo","Impuesto general sobre ventas y consumo","Partida","Impuesto general sobre las ventas")+GETPIVOTDATA("Acumulado_millones",$A$10,"Año",2012,"Grupo","Impuestos sobre bienes y servicios","Subgrupo","Impuesto general sobre ventas y consumo","Partida","Impuesto selectivo de consumo")+GETPIVOTDATA("Acumulado_millones",$A$10,"Año",2012,"Grupo","Impuestos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8114")+GETPIVOTDATA("Acumulado_millones",$A$10,"Año",2012,"Grupo","Impuestos sobre el comercio exterior y las transacciones internacionales","Subgrupo","Impuestos a las importaciones","Partida","Derechos de importación de mercancías","Subpartida","Arancel de aduanas")+GETPIVOTDATA("Acumulado_millones",$A$10,"Año",2012,"Grupo","Impuestos sobre la propiedad","Subgrupo","Impuesto sobre la propiedad de vehículos, aeronaves y embarcaciones","Partida","Impuesto a la propiedad de vehículos Ley N°7088")</f>
        <v>2786918.4430347299</v>
      </c>
      <c r="H49" s="72">
        <f>+GETPIVOTDATA("Acumulado_millones",$A$10,"Año",2013,"Grupo","Impuestos a los ingresos y utilidades")+GETPIVOTDATA("Acumulado_millones",$A$10,"Año",2013,"Grupo","Impuestos sobre bienes y servicios","Subgrupo","Impuesto general sobre ventas y consumo","Partida","Impuesto general sobre las ventas")+GETPIVOTDATA("Acumulado_millones",$A$10,"Año",2013,"Grupo","Impuestos sobre bienes y servicios","Subgrupo","Impuesto general sobre ventas y consumo","Partida","Impuesto selectivo de consumo")+GETPIVOTDATA("Acumulado_millones",$A$10,"Año",2013,"Grupo","Impuestos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8114")+GETPIVOTDATA("Acumulado_millones",$A$10,"Año",2013,"Grupo","Impuestos sobre el comercio exterior y las transacciones internacionales","Subgrupo","Impuestos a las importaciones","Partida","Derechos de importación de mercancías","Subpartida","Arancel de aduanas")+GETPIVOTDATA("Acumulado_millones",$A$10,"Año",2013,"Grupo","Impuestos sobre la propiedad","Subgrupo","Impuesto sobre la propiedad de vehículos, aeronaves y embarcaciones","Partida","Impuesto a la propiedad de vehículos Ley N°7088")</f>
        <v>3016159.9154043603</v>
      </c>
      <c r="I49" s="72">
        <f>+GETPIVOTDATA("Acumulado_millones",$A$10,"Año",2014,"Grupo","Impuestos a los ingresos y utilidades")+GETPIVOTDATA("Acumulado_millones",$A$10,"Año",2014,"Grupo","Impuestos sobre bienes y servicios","Subgrupo","Impuesto general sobre ventas y consumo","Partida","Impuesto general sobre las ventas")+GETPIVOTDATA("Acumulado_millones",$A$10,"Año",2014,"Grupo","Impuestos sobre bienes y servicios","Subgrupo","Impuesto general sobre ventas y consumo","Partida","Impuesto selectivo de consumo")+GETPIVOTDATA("Acumulado_millones",$A$10,"Año",2014,"Grupo","Impuestos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8114")+GETPIVOTDATA("Acumulado_millones",$A$10,"Año",2014,"Grupo","Impuestos sobre el comercio exterior y las transacciones internacionales","Subgrupo","Impuestos a las importaciones","Partida","Derechos de importación de mercancías","Subpartida","Arancel de aduanas")+GETPIVOTDATA("Acumulado_millones",$A$10,"Año",2014,"Grupo","Impuestos sobre la propiedad","Subgrupo","Impuesto sobre la propiedad de vehículos, aeronaves y embarcaciones","Partida","Impuesto a la propiedad de vehículos Ley N°7088")</f>
        <v>3231232.5610682406</v>
      </c>
      <c r="J49" s="72">
        <f>+GETPIVOTDATA("Acumulado_millones",$A$10,"Año",2015,"Grupo","Impuestos a los ingresos y utilidades")+GETPIVOTDATA("Acumulado_millones",$A$10,"Año",2015,"Grupo","Impuestos sobre bienes y servicios","Subgrupo","Impuesto general sobre ventas y consumo","Partida","Impuesto general sobre las ventas")+GETPIVOTDATA("Acumulado_millones",$A$10,"Año",2015,"Grupo","Impuestos sobre bienes y servicios","Subgrupo","Impuesto general sobre ventas y consumo","Partida","Impuesto selectivo de consumo")+GETPIVOTDATA("Acumulado_millones",$A$10,"Año",2015,"Grupo","Impuestos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8114")+GETPIVOTDATA("Acumulado_millones",$A$10,"Año",2015,"Grupo","Impuestos sobre el comercio exterior y las transacciones internacionales","Subgrupo","Impuestos a las importaciones","Partida","Derechos de importación de mercancías","Subpartida","Arancel de aduanas")+GETPIVOTDATA("Acumulado_millones",$A$10,"Año",2015,"Grupo","Impuestos sobre la propiedad","Subgrupo","Impuesto sobre la propiedad de vehículos, aeronaves y embarcaciones","Partida","Impuesto a la propiedad de vehículos Ley N°7088")</f>
        <v>3560360.50905097</v>
      </c>
      <c r="K49" s="72">
        <f>+GETPIVOTDATA("Acumulado_millones",$A$10,"Año",2016,"Grupo","Impuestos a los ingresos y utilidades")+GETPIVOTDATA("Acumulado_millones",$A$10,"Año",2016,"Grupo","Impuestos sobre bienes y servicios","Subgrupo","Impuesto general sobre ventas y consumo","Partida","Impuesto general sobre las ventas")+GETPIVOTDATA("Acumulado_millones",$A$10,"Año",2016,"Grupo","Impuestos sobre bienes y servicios","Subgrupo","Impuesto general sobre ventas y consumo","Partida","Impuesto selectivo de consumo")+GETPIVOTDATA("Acumulado_millones",$A$10,"Año",2016,"Grupo","Impuestos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8114")+GETPIVOTDATA("Acumulado_millones",$A$10,"Año",2016,"Grupo","Impuestos sobre el comercio exterior y las transacciones internacionales","Subgrupo","Impuestos a las importaciones","Partida","Derechos de importación de mercancías","Subpartida","Arancel de aduanas")+GETPIVOTDATA("Acumulado_millones",$A$10,"Año",2016,"Grupo","Impuestos sobre la propiedad","Subgrupo","Impuesto sobre la propiedad de vehículos, aeronaves y embarcaciones","Partida","Impuesto a la propiedad de vehículos Ley N°7088")</f>
        <v>3873612.9369222503</v>
      </c>
      <c r="L49" s="72">
        <f>+GETPIVOTDATA("Acumulado_millones",$A$10,"Año",2017,"Grupo","Impuestos a los ingresos y utilidades")+GETPIVOTDATA("Acumulado_millones",$A$10,"Año",2017,"Grupo","Impuestos sobre bienes y servicios","Subgrupo","Impuesto general sobre ventas y consumo","Partida","Impuesto general sobre las ventas")+GETPIVOTDATA("Acumulado_millones",$A$10,"Año",2017,"Grupo","Impuestos sobre bienes y servicios","Subgrupo","Impuesto general sobre ventas y consumo","Partida","Impuesto selectivo de consumo")+GETPIVOTDATA("Acumulado_millones",$A$10,"Año",2017,"Grupo","Impuestos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8114")+GETPIVOTDATA("Acumulado_millones",$A$10,"Año",2017,"Grupo","Impuestos sobre el comercio exterior y las transacciones internacionales","Subgrupo","Impuestos a las importaciones","Partida","Derechos de importación de mercancías","Subpartida","Arancel de aduanas")+GETPIVOTDATA("Acumulado_millones",$A$10,"Año",2017,"Grupo","Impuestos sobre la propiedad","Subgrupo","Impuesto sobre la propiedad de vehículos, aeronaves y embarcaciones","Partida","Impuesto a la propiedad de vehículos Ley N°7088")</f>
        <v>4086234.6952993101</v>
      </c>
      <c r="M49" s="72">
        <f>+GETPIVOTDATA("Acumulado_millones",$A$10,"Año",2018,"Grupo","Impuestos a los ingresos y utilidades")+GETPIVOTDATA("Acumulado_millones",$A$10,"Año",2018,"Grupo","Impuestos sobre bienes y servicios","Subgrupo","Impuesto general sobre ventas y consumo","Partida","Impuesto general sobre las ventas")+GETPIVOTDATA("Acumulado_millones",$A$10,"Año",2018,"Grupo","Impuestos sobre bienes y servicios","Subgrupo","Impuesto general sobre ventas y consumo","Partida","Impuesto selectivo de consumo")+GETPIVOTDATA("Acumulado_millones",$A$10,"Año",2018,"Grupo","Impuestos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8114")+GETPIVOTDATA("Acumulado_millones",$A$10,"Año",2018,"Grupo","Impuestos sobre el comercio exterior y las transacciones internacionales","Subgrupo","Impuestos a las importaciones","Partida","Derechos de importación de mercancías","Subpartida","Arancel de aduanas")+GETPIVOTDATA("Acumulado_millones",$A$10,"Año",2018,"Grupo","Impuestos sobre la propiedad","Subgrupo","Impuesto sobre la propiedad de vehículos, aeronaves y embarcaciones","Partida","Impuesto a la propiedad de vehículos Ley N°7088")</f>
        <v>4246284.0254295003</v>
      </c>
    </row>
    <row r="50" spans="1:13" x14ac:dyDescent="0.25">
      <c r="A50" s="5" t="s">
        <v>1115</v>
      </c>
      <c r="B50" s="85">
        <f>+GETPIVOTDATA("Acumulado_millones",$A$10,"Año",2007)-B49</f>
        <v>135243.71513424022</v>
      </c>
      <c r="C50" s="85">
        <f>+GETPIVOTDATA("Acumulado_millones",$A$10,"Año",2008)-C49</f>
        <v>157445.75810637046</v>
      </c>
      <c r="D50" s="85">
        <f>+GETPIVOTDATA("Acumulado_millones",$A$10,"Año",2009)-D49</f>
        <v>143688.89034815971</v>
      </c>
      <c r="E50" s="85">
        <f>+GETPIVOTDATA("Acumulado_millones",$A$10,"Año",2010)-E49</f>
        <v>157836.7379659405</v>
      </c>
      <c r="F50" s="85">
        <f>+GETPIVOTDATA("Acumulado_millones",$A$10,"Año",2011)-F49</f>
        <v>169469.38106503058</v>
      </c>
      <c r="G50" s="85">
        <f>+GETPIVOTDATA("Acumulado_millones",$A$10,"Año",2012)-G49</f>
        <v>221003.77167958021</v>
      </c>
      <c r="H50" s="85">
        <f>+GETPIVOTDATA("Acumulado_millones",$A$10,"Año",2013)-H49</f>
        <v>276148.92587445024</v>
      </c>
      <c r="I50" s="85">
        <f>+GETPIVOTDATA("Acumulado_millones",$A$10,"Año",2014)-I49</f>
        <v>291209.93052128889</v>
      </c>
      <c r="J50" s="85">
        <f>+GETPIVOTDATA("Acumulado_millones",$A$10,"Año",2015)-J49</f>
        <v>301552.60661460925</v>
      </c>
      <c r="K50" s="85">
        <f>+GETPIVOTDATA("Acumulado_millones",$A$10,"Año",2016)-K49</f>
        <v>294126.86702134088</v>
      </c>
      <c r="L50" s="85">
        <f>+GETPIVOTDATA("Acumulado_millones",$A$10,"Año",2017)-L49</f>
        <v>304634.13554089935</v>
      </c>
      <c r="M50" s="85">
        <f>+GETPIVOTDATA("Acumulado_millones",$A$10,"Año",2018)-M49</f>
        <v>320847.6136897793</v>
      </c>
    </row>
    <row r="52" spans="1:13" x14ac:dyDescent="0.25">
      <c r="A52" s="66" t="s">
        <v>1116</v>
      </c>
      <c r="B52" s="67">
        <f>+B49/GETPIVOTDATA("Acumulado_millones",$A$10,"Año",2007)</f>
        <v>0.93334273389390798</v>
      </c>
      <c r="C52" s="67">
        <f>+C49/GETPIVOTDATA("Acumulado_millones",$A$10,"Año",2008)</f>
        <v>0.93463125659904756</v>
      </c>
      <c r="D52" s="67">
        <f>+D49/GETPIVOTDATA("Acumulado_millones",$A$10,"Año",2009)</f>
        <v>0.93648520129858059</v>
      </c>
      <c r="E52" s="67">
        <f>+E49/GETPIVOTDATA("Acumulado_millones",$A$10,"Año",2010)</f>
        <v>0.93665378077926509</v>
      </c>
      <c r="F52" s="67">
        <f>+F49/GETPIVOTDATA("Acumulado_millones",$A$10,"Año",2011)</f>
        <v>0.93880498068280827</v>
      </c>
      <c r="G52" s="67">
        <f>+G49/GETPIVOTDATA("Acumulado_millones",$A$10,"Año",2012)</f>
        <v>0.92652610144023584</v>
      </c>
      <c r="H52" s="67">
        <f>+H49/GETPIVOTDATA("Acumulado_millones",$A$10,"Año",2013)</f>
        <v>0.91612301907642801</v>
      </c>
      <c r="I52" s="67">
        <f>+I49/GETPIVOTDATA("Acumulado_millones",$A$10,"Año",2014)</f>
        <v>0.91732727185281082</v>
      </c>
      <c r="J52" s="67">
        <f>+J49/GETPIVOTDATA("Acumulado_millones",$A$10,"Año",2015)</f>
        <v>0.92191626336921406</v>
      </c>
      <c r="K52" s="67">
        <f>+K49/GETPIVOTDATA("Acumulado_millones",$A$10,"Año",2016)</f>
        <v>0.92942772801146734</v>
      </c>
      <c r="L52" s="67">
        <f>+L49/GETPIVOTDATA("Acumulado_millones",$A$10,"Año",2017)</f>
        <v>0.93062098931281301</v>
      </c>
      <c r="M52" s="67">
        <f>+M49/GETPIVOTDATA("Acumulado_millones",$A$10,"Año",2018)</f>
        <v>0.92974855137925227</v>
      </c>
    </row>
    <row r="53" spans="1:13" x14ac:dyDescent="0.25">
      <c r="A53" s="6" t="s">
        <v>308</v>
      </c>
      <c r="B53" s="70">
        <f>+GETPIVOTDATA("Acumulado_millones",$A$10,"Año",2007,"Grupo","Impuestos sobre bienes y servicios","Subgrupo","Impuesto general sobre ventas y consumo","Partida","Impuesto general sobre las ventas")/GETPIVOTDATA("Acumulado_millones",$A$10,"Año",2007)</f>
        <v>0.3932347089911149</v>
      </c>
      <c r="C53" s="70">
        <f>+GETPIVOTDATA("Acumulado_millones",$A$10,"Año",2008,"Grupo","Impuestos sobre bienes y servicios","Subgrupo","Impuesto general sobre ventas y consumo","Partida","Impuesto general sobre las ventas")/GETPIVOTDATA("Acumulado_millones",$A$10,"Año",2008)</f>
        <v>0.38891025903268178</v>
      </c>
      <c r="D53" s="70">
        <f>+GETPIVOTDATA("Acumulado_millones",$A$10,"Año",2009,"Grupo","Impuestos sobre bienes y servicios","Subgrupo","Impuesto general sobre ventas y consumo","Partida","Impuesto general sobre las ventas")/GETPIVOTDATA("Acumulado_millones",$A$10,"Año",2009)</f>
        <v>0.36712266164194424</v>
      </c>
      <c r="E53" s="70">
        <f>+GETPIVOTDATA("Acumulado_millones",$A$10,"Año",2010,"Grupo","Impuestos sobre bienes y servicios","Subgrupo","Impuesto general sobre ventas y consumo","Partida","Impuesto general sobre las ventas")/GETPIVOTDATA("Acumulado_millones",$A$10,"Año",2010)</f>
        <v>0.36935242576198357</v>
      </c>
      <c r="F53" s="70">
        <f>+GETPIVOTDATA("Acumulado_millones",$A$10,"Año",2011,"Grupo","Impuestos sobre bienes y servicios","Subgrupo","Impuesto general sobre ventas y consumo","Partida","Impuesto general sobre las ventas")/GETPIVOTDATA("Acumulado_millones",$A$10,"Año",2011)</f>
        <v>0.37186252428044436</v>
      </c>
      <c r="G53" s="70">
        <f>+GETPIVOTDATA("Acumulado_millones",$A$10,"Año",2012,"Grupo","Impuestos sobre bienes y servicios","Subgrupo","Impuesto general sobre ventas y consumo","Partida","Impuesto general sobre las ventas")/GETPIVOTDATA("Acumulado_millones",$A$10,"Año",2012)</f>
        <v>0.37334008137652569</v>
      </c>
      <c r="H53" s="70">
        <f>+GETPIVOTDATA("Acumulado_millones",$A$10,"Año",2013,"Grupo","Impuestos sobre bienes y servicios","Subgrupo","Impuesto general sobre ventas y consumo","Partida","Impuesto general sobre las ventas")/GETPIVOTDATA("Acumulado_millones",$A$10,"Año",2013)</f>
        <v>0.35742235908765002</v>
      </c>
      <c r="I53" s="70">
        <f>+GETPIVOTDATA("Acumulado_millones",$A$10,"Año",2014,"Grupo","Impuestos sobre bienes y servicios","Subgrupo","Impuesto general sobre ventas y consumo","Partida","Impuesto general sobre las ventas")/GETPIVOTDATA("Acumulado_millones",$A$10,"Año",2014)</f>
        <v>0.35963612696383523</v>
      </c>
      <c r="J53" s="70">
        <f>+GETPIVOTDATA("Acumulado_millones",$A$10,"Año",2015,"Grupo","Impuestos sobre bienes y servicios","Subgrupo","Impuesto general sobre ventas y consumo","Partida","Impuesto general sobre las ventas")/GETPIVOTDATA("Acumulado_millones",$A$10,"Año",2015)</f>
        <v>0.3459619095481114</v>
      </c>
      <c r="K53" s="70">
        <f>+GETPIVOTDATA("Acumulado_millones",$A$10,"Año",2016,"Grupo","Impuestos sobre bienes y servicios","Subgrupo","Impuesto general sobre ventas y consumo","Partida","Impuesto general sobre las ventas")/GETPIVOTDATA("Acumulado_millones",$A$10,"Año",2016)</f>
        <v>0.3393585803111121</v>
      </c>
      <c r="L53" s="70">
        <f>+GETPIVOTDATA("Acumulado_millones",$A$10,"Año",2017,"Grupo","Impuestos sobre bienes y servicios","Subgrupo","Impuesto general sobre ventas y consumo","Partida","Impuesto general sobre las ventas")/GETPIVOTDATA("Acumulado_millones",$A$10,"Año",2017)</f>
        <v>0.33099323111464851</v>
      </c>
      <c r="M53" s="70">
        <f>+GETPIVOTDATA("Acumulado_millones",$A$10,"Año",2018,"Grupo","Impuestos sobre bienes y servicios","Subgrupo","Impuesto general sobre ventas y consumo","Partida","Impuesto general sobre las ventas")/GETPIVOTDATA("Acumulado_millones",$A$10,"Año",2018)</f>
        <v>0.32572304022550813</v>
      </c>
    </row>
    <row r="54" spans="1:13" x14ac:dyDescent="0.25">
      <c r="A54" s="68" t="s">
        <v>336</v>
      </c>
      <c r="B54" s="69">
        <f>+GETPIVOTDATA("Acumulado_millones",$A$10,"Año",2007,"Grupo","Impuestos a los ingresos y utilidades")/GETPIVOTDATA("Acumulado_millones",$A$10,"Año",2007)</f>
        <v>0.26198472528289096</v>
      </c>
      <c r="C54" s="69">
        <f>+GETPIVOTDATA("Acumulado_millones",$A$10,"Año",2008,"Grupo","Impuestos a los ingresos y utilidades")/GETPIVOTDATA("Acumulado_millones",$A$10,"Año",2008)</f>
        <v>0.28615409516908602</v>
      </c>
      <c r="D54" s="69">
        <f>+GETPIVOTDATA("Acumulado_millones",$A$10,"Año",2009,"Grupo","Impuestos a los ingresos y utilidades")/GETPIVOTDATA("Acumulado_millones",$A$10,"Año",2009)</f>
        <v>0.3038603590364477</v>
      </c>
      <c r="E54" s="69">
        <f>+GETPIVOTDATA("Acumulado_millones",$A$10,"Año",2010,"Grupo","Impuestos a los ingresos y utilidades")/GETPIVOTDATA("Acumulado_millones",$A$10,"Año",2010)</f>
        <v>0.30023998659854761</v>
      </c>
      <c r="F54" s="69">
        <f>+GETPIVOTDATA("Acumulado_millones",$A$10,"Año",2011,"Grupo","Impuestos a los ingresos y utilidades")/GETPIVOTDATA("Acumulado_millones",$A$10,"Año",2011)</f>
        <v>0.29923897138538491</v>
      </c>
      <c r="G54" s="69">
        <f>+GETPIVOTDATA("Acumulado_millones",$A$10,"Año",2012,"Grupo","Impuestos a los ingresos y utilidades")/GETPIVOTDATA("Acumulado_millones",$A$10,"Año",2012)</f>
        <v>0.29643997415819806</v>
      </c>
      <c r="H54" s="69">
        <f>+GETPIVOTDATA("Acumulado_millones",$A$10,"Año",2013,"Grupo","Impuestos a los ingresos y utilidades")/GETPIVOTDATA("Acumulado_millones",$A$10,"Año",2013)</f>
        <v>0.30812394971270612</v>
      </c>
      <c r="I54" s="69">
        <f>+GETPIVOTDATA("Acumulado_millones",$A$10,"Año",2014,"Grupo","Impuestos a los ingresos y utilidades")/GETPIVOTDATA("Acumulado_millones",$A$10,"Año",2014)</f>
        <v>0.30986171680159513</v>
      </c>
      <c r="J54" s="69">
        <f>+GETPIVOTDATA("Acumulado_millones",$A$10,"Año",2015,"Grupo","Impuestos a los ingresos y utilidades")/GETPIVOTDATA("Acumulado_millones",$A$10,"Año",2015)</f>
        <v>0.32297682336486833</v>
      </c>
      <c r="K54" s="69">
        <f>+GETPIVOTDATA("Acumulado_millones",$A$10,"Año",2016,"Grupo","Impuestos a los ingresos y utilidades")/GETPIVOTDATA("Acumulado_millones",$A$10,"Año",2016)</f>
        <v>0.33980475282315592</v>
      </c>
      <c r="L54" s="69">
        <f>+GETPIVOTDATA("Acumulado_millones",$A$10,"Año",2017,"Grupo","Impuestos a los ingresos y utilidades")/GETPIVOTDATA("Acumulado_millones",$A$10,"Año",2017)</f>
        <v>0.35575261036153588</v>
      </c>
      <c r="M54" s="69">
        <f>+GETPIVOTDATA("Acumulado_millones",$A$10,"Año",2018,"Grupo","Impuestos a los ingresos y utilidades")/GETPIVOTDATA("Acumulado_millones",$A$10,"Año",2018)</f>
        <v>0.37206249792296398</v>
      </c>
    </row>
    <row r="55" spans="1:13" x14ac:dyDescent="0.25">
      <c r="A55" s="6" t="s">
        <v>296</v>
      </c>
      <c r="B55" s="70">
        <f>+GETPIVOTDATA("Acumulado_millones",$A$10,"Año",2007,"Grupo","Impuestos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8114")/GETPIVOTDATA("Acumulado_millones",$A$10,"Año",2007)</f>
        <v>0.12350120140934974</v>
      </c>
      <c r="C55" s="70">
        <f>+GETPIVOTDATA("Acumulado_millones",$A$10,"Año",2008,"Grupo","Impuestos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8114")/GETPIVOTDATA("Acumulado_millones",$A$10,"Año",2008)</f>
        <v>0.11129807655746531</v>
      </c>
      <c r="D55" s="70">
        <f>+GETPIVOTDATA("Acumulado_millones",$A$10,"Año",2009,"Grupo","Impuestos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8114")/GETPIVOTDATA("Acumulado_millones",$A$10,"Año",2009)</f>
        <v>0.13626634149101927</v>
      </c>
      <c r="E55" s="70">
        <f>+GETPIVOTDATA("Acumulado_millones",$A$10,"Año",2010,"Grupo","Impuestos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8114")/GETPIVOTDATA("Acumulado_millones",$A$10,"Año",2010)</f>
        <v>0.12868480933327778</v>
      </c>
      <c r="F55" s="70">
        <f>+GETPIVOTDATA("Acumulado_millones",$A$10,"Año",2011,"Grupo","Impuestos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8114")/GETPIVOTDATA("Acumulado_millones",$A$10,"Año",2011)</f>
        <v>0.12978755321858054</v>
      </c>
      <c r="G55" s="70">
        <f>+GETPIVOTDATA("Acumulado_millones",$A$10,"Año",2012,"Grupo","Impuestos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8114")/GETPIVOTDATA("Acumulado_millones",$A$10,"Año",2012)</f>
        <v>0.11773871471377019</v>
      </c>
      <c r="H55" s="70">
        <f>+GETPIVOTDATA("Acumulado_millones",$A$10,"Año",2013,"Grupo","Impuestos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8114")/GETPIVOTDATA("Acumulado_millones",$A$10,"Año",2013)</f>
        <v>0.12277401244364282</v>
      </c>
      <c r="I55" s="70">
        <f>+GETPIVOTDATA("Acumulado_millones",$A$10,"Año",2014,"Grupo","Impuestos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8114")/GETPIVOTDATA("Acumulado_millones",$A$10,"Año",2014)</f>
        <v>0.1149490219887068</v>
      </c>
      <c r="J55" s="70">
        <f>+GETPIVOTDATA("Acumulado_millones",$A$10,"Año",2015,"Grupo","Impuestos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8114")/GETPIVOTDATA("Acumulado_millones",$A$10,"Año",2015)</f>
        <v>0.11854930393085916</v>
      </c>
      <c r="K55" s="70">
        <f>+GETPIVOTDATA("Acumulado_millones",$A$10,"Año",2016,"Grupo","Impuestos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8114")/GETPIVOTDATA("Acumulado_millones",$A$10,"Año",2016)</f>
        <v>0.11340544725783873</v>
      </c>
      <c r="L55" s="70">
        <f>+GETPIVOTDATA("Acumulado_millones",$A$10,"Año",2017,"Grupo","Impuestos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8114")/GETPIVOTDATA("Acumulado_millones",$A$10,"Año",2017)</f>
        <v>0.11620921724652156</v>
      </c>
      <c r="M55" s="70">
        <f>+GETPIVOTDATA("Acumulado_millones",$A$10,"Año",2018,"Grupo","Impuestos sobre bienes y servicios","Subgrupo","Impuestos específicos sobre la producción y consumo de bienes y servicios ","Partida","Impuestos específicos sobre la producción y consumo de bienes","Subpartida","Impuesto único a los combustibles Ley N° 8114")/GETPIVOTDATA("Acumulado_millones",$A$10,"Año",2018)</f>
        <v>0.11334593626402591</v>
      </c>
    </row>
    <row r="56" spans="1:13" x14ac:dyDescent="0.25">
      <c r="A56" s="68" t="s">
        <v>300</v>
      </c>
      <c r="B56" s="69">
        <f>+GETPIVOTDATA("Acumulado_millones",$A$10,"Año",2007,"Grupo","Impuestos sobre bienes y servicios","Subgrupo","Impuesto general sobre ventas y consumo","Partida","Impuesto selectivo de consumo")/GETPIVOTDATA("Acumulado_millones",$A$10,"Año",2007)</f>
        <v>7.5725633167880488E-2</v>
      </c>
      <c r="C56" s="69">
        <f>+GETPIVOTDATA("Acumulado_millones",$A$10,"Año",2008,"Grupo","Impuestos sobre bienes y servicios","Subgrupo","Impuesto general sobre ventas y consumo","Partida","Impuesto selectivo de consumo")/GETPIVOTDATA("Acumulado_millones",$A$10,"Año",2008)</f>
        <v>6.8201075848798004E-2</v>
      </c>
      <c r="D56" s="69">
        <f>+GETPIVOTDATA("Acumulado_millones",$A$10,"Año",2009,"Grupo","Impuestos sobre bienes y servicios","Subgrupo","Impuesto general sobre ventas y consumo","Partida","Impuesto selectivo de consumo")/GETPIVOTDATA("Acumulado_millones",$A$10,"Año",2009)</f>
        <v>5.1913689766845725E-2</v>
      </c>
      <c r="E56" s="69">
        <f>+GETPIVOTDATA("Acumulado_millones",$A$10,"Año",2010,"Grupo","Impuestos sobre bienes y servicios","Subgrupo","Impuesto general sobre ventas y consumo","Partida","Impuesto selectivo de consumo")/GETPIVOTDATA("Acumulado_millones",$A$10,"Año",2010)</f>
        <v>5.8930480649091767E-2</v>
      </c>
      <c r="F56" s="69">
        <f>+GETPIVOTDATA("Acumulado_millones",$A$10,"Año",2011,"Grupo","Impuestos sobre bienes y servicios","Subgrupo","Impuesto general sobre ventas y consumo","Partida","Impuesto selectivo de consumo")/GETPIVOTDATA("Acumulado_millones",$A$10,"Año",2011)</f>
        <v>6.2985548068416913E-2</v>
      </c>
      <c r="G56" s="69">
        <f>+GETPIVOTDATA("Acumulado_millones",$A$10,"Año",2012,"Grupo","Impuestos sobre bienes y servicios","Subgrupo","Impuesto general sobre ventas y consumo","Partida","Impuesto selectivo de consumo")/GETPIVOTDATA("Acumulado_millones",$A$10,"Año",2012)</f>
        <v>6.2455920039545643E-2</v>
      </c>
      <c r="H56" s="69">
        <f>+GETPIVOTDATA("Acumulado_millones",$A$10,"Año",2013,"Grupo","Impuestos sobre bienes y servicios","Subgrupo","Impuesto general sobre ventas y consumo","Partida","Impuesto selectivo de consumo")/GETPIVOTDATA("Acumulado_millones",$A$10,"Año",2013)</f>
        <v>5.3580810969960611E-2</v>
      </c>
      <c r="I56" s="69">
        <f>+GETPIVOTDATA("Acumulado_millones",$A$10,"Año",2014,"Grupo","Impuestos sobre bienes y servicios","Subgrupo","Impuesto general sobre ventas y consumo","Partida","Impuesto selectivo de consumo")/GETPIVOTDATA("Acumulado_millones",$A$10,"Año",2014)</f>
        <v>5.5597149218812855E-2</v>
      </c>
      <c r="J56" s="69">
        <f>+GETPIVOTDATA("Acumulado_millones",$A$10,"Año",2015,"Grupo","Impuestos sobre bienes y servicios","Subgrupo","Impuesto general sobre ventas y consumo","Partida","Impuesto selectivo de consumo")/GETPIVOTDATA("Acumulado_millones",$A$10,"Año",2015)</f>
        <v>5.8155106235266291E-2</v>
      </c>
      <c r="K56" s="69">
        <f>+GETPIVOTDATA("Acumulado_millones",$A$10,"Año",2016,"Grupo","Impuestos sobre bienes y servicios","Subgrupo","Impuesto general sobre ventas y consumo","Partida","Impuesto selectivo de consumo")/GETPIVOTDATA("Acumulado_millones",$A$10,"Año",2016)</f>
        <v>6.1260245025698254E-2</v>
      </c>
      <c r="L56" s="69">
        <f>+GETPIVOTDATA("Acumulado_millones",$A$10,"Año",2017,"Grupo","Impuestos sobre bienes y servicios","Subgrupo","Impuesto general sobre ventas y consumo","Partida","Impuesto selectivo de consumo")/GETPIVOTDATA("Acumulado_millones",$A$10,"Año",2017)</f>
        <v>5.5518546126123468E-2</v>
      </c>
      <c r="M56" s="69">
        <f>+GETPIVOTDATA("Acumulado_millones",$A$10,"Año",2018,"Grupo","Impuestos sobre bienes y servicios","Subgrupo","Impuesto general sobre ventas y consumo","Partida","Impuesto selectivo de consumo")/GETPIVOTDATA("Acumulado_millones",$A$10,"Año",2018)</f>
        <v>4.8433053363897784E-2</v>
      </c>
    </row>
    <row r="57" spans="1:13" x14ac:dyDescent="0.25">
      <c r="A57" s="6" t="s">
        <v>265</v>
      </c>
      <c r="B57" s="70">
        <f>+GETPIVOTDATA("Acumulado_millones",$A$10,"Año",2007,"Grupo","Impuestos sobre el comercio exterior y las transacciones internacionales","Subgrupo","Impuestos a las importaciones","Partida","Derechos de importación de mercancías","Subpartida","Arancel de aduanas")/GETPIVOTDATA("Acumulado_millones",$A$10,"Año",2007)</f>
        <v>5.3015486844903481E-2</v>
      </c>
      <c r="C57" s="70">
        <f>+GETPIVOTDATA("Acumulado_millones",$A$10,"Año",2008,"Grupo","Impuestos sobre el comercio exterior y las transacciones internacionales","Subgrupo","Impuestos a las importaciones","Partida","Derechos de importación de mercancías","Subpartida","Arancel de aduanas")/GETPIVOTDATA("Acumulado_millones",$A$10,"Año",2008)</f>
        <v>5.1711135444560262E-2</v>
      </c>
      <c r="D57" s="70">
        <f>+GETPIVOTDATA("Acumulado_millones",$A$10,"Año",2009,"Grupo","Impuestos sobre el comercio exterior y las transacciones internacionales","Subgrupo","Impuestos a las importaciones","Partida","Derechos de importación de mercancías","Subpartida","Arancel de aduanas")/GETPIVOTDATA("Acumulado_millones",$A$10,"Año",2009)</f>
        <v>4.2877325626544234E-2</v>
      </c>
      <c r="E57" s="70">
        <f>+GETPIVOTDATA("Acumulado_millones",$A$10,"Año",2010,"Grupo","Impuestos sobre el comercio exterior y las transacciones internacionales","Subgrupo","Impuestos a las importaciones","Partida","Derechos de importación de mercancías","Subpartida","Arancel de aduanas")/GETPIVOTDATA("Acumulado_millones",$A$10,"Año",2010)</f>
        <v>4.1679379271667809E-2</v>
      </c>
      <c r="F57" s="70">
        <f>+GETPIVOTDATA("Acumulado_millones",$A$10,"Año",2011,"Grupo","Impuestos sobre el comercio exterior y las transacciones internacionales","Subgrupo","Impuestos a las importaciones","Partida","Derechos de importación de mercancías","Subpartida","Arancel de aduanas")/GETPIVOTDATA("Acumulado_millones",$A$10,"Año",2011)</f>
        <v>4.4182009031871569E-2</v>
      </c>
      <c r="G57" s="70">
        <f>+GETPIVOTDATA("Acumulado_millones",$A$10,"Año",2012,"Grupo","Impuestos sobre el comercio exterior y las transacciones internacionales","Subgrupo","Impuestos a las importaciones","Partida","Derechos de importación de mercancías","Subpartida","Arancel de aduanas")/GETPIVOTDATA("Acumulado_millones",$A$10,"Año",2012)</f>
        <v>4.2673198933307954E-2</v>
      </c>
      <c r="H57" s="70">
        <f>+GETPIVOTDATA("Acumulado_millones",$A$10,"Año",2013,"Grupo","Impuestos sobre el comercio exterior y las transacciones internacionales","Subgrupo","Impuestos a las importaciones","Partida","Derechos de importación de mercancías","Subpartida","Arancel de aduanas")/GETPIVOTDATA("Acumulado_millones",$A$10,"Año",2013)</f>
        <v>3.9678504674840499E-2</v>
      </c>
      <c r="I57" s="70">
        <f>+GETPIVOTDATA("Acumulado_millones",$A$10,"Año",2014,"Grupo","Impuestos sobre el comercio exterior y las transacciones internacionales","Subgrupo","Impuestos a las importaciones","Partida","Derechos de importación de mercancías","Subpartida","Arancel de aduanas")/GETPIVOTDATA("Acumulado_millones",$A$10,"Año",2014)</f>
        <v>4.0376961111061212E-2</v>
      </c>
      <c r="J57" s="70">
        <f>+GETPIVOTDATA("Acumulado_millones",$A$10,"Año",2015,"Grupo","Impuestos sobre el comercio exterior y las transacciones internacionales","Subgrupo","Impuestos a las importaciones","Partida","Derechos de importación de mercancías","Subpartida","Arancel de aduanas")/GETPIVOTDATA("Acumulado_millones",$A$10,"Año",2015)</f>
        <v>3.8495452839450592E-2</v>
      </c>
      <c r="K57" s="70">
        <f>+GETPIVOTDATA("Acumulado_millones",$A$10,"Año",2016,"Grupo","Impuestos sobre el comercio exterior y las transacciones internacionales","Subgrupo","Impuestos a las importaciones","Partida","Derechos de importación de mercancías","Subpartida","Arancel de aduanas")/GETPIVOTDATA("Acumulado_millones",$A$10,"Año",2016)</f>
        <v>3.8044323860707129E-2</v>
      </c>
      <c r="L57" s="70">
        <f>+GETPIVOTDATA("Acumulado_millones",$A$10,"Año",2017,"Grupo","Impuestos sobre el comercio exterior y las transacciones internacionales","Subgrupo","Impuestos a las importaciones","Partida","Derechos de importación de mercancías","Subpartida","Arancel de aduanas")/GETPIVOTDATA("Acumulado_millones",$A$10,"Año",2017)</f>
        <v>3.4789357974943119E-2</v>
      </c>
      <c r="M57" s="70">
        <f>+GETPIVOTDATA("Acumulado_millones",$A$10,"Año",2018,"Grupo","Impuestos sobre el comercio exterior y las transacciones internacionales","Subgrupo","Impuestos a las importaciones","Partida","Derechos de importación de mercancías","Subpartida","Arancel de aduanas")/GETPIVOTDATA("Acumulado_millones",$A$10,"Año",2018)</f>
        <v>3.2628145622348712E-2</v>
      </c>
    </row>
    <row r="58" spans="1:13" x14ac:dyDescent="0.25">
      <c r="A58" s="68" t="s">
        <v>330</v>
      </c>
      <c r="B58" s="69">
        <f>+GETPIVOTDATA("Acumulado_millones",$A$10,"Año",2007,"Grupo","Impuestos sobre la propiedad","Subgrupo","Impuesto sobre la propiedad de vehículos, aeronaves y embarcaciones","Partida","Impuesto a la propiedad de vehículos Ley N°7088")/GETPIVOTDATA("Acumulado_millones",$A$10,"Año",2007)</f>
        <v>2.5880978197768405E-2</v>
      </c>
      <c r="C58" s="69">
        <f>+GETPIVOTDATA("Acumulado_millones",$A$10,"Año",2008,"Grupo","Impuestos sobre la propiedad","Subgrupo","Impuesto sobre la propiedad de vehículos, aeronaves y embarcaciones","Partida","Impuesto a la propiedad de vehículos Ley N°7088")/GETPIVOTDATA("Acumulado_millones",$A$10,"Año",2008)</f>
        <v>2.8356614546456098E-2</v>
      </c>
      <c r="D58" s="69">
        <f>+GETPIVOTDATA("Acumulado_millones",$A$10,"Año",2009,"Grupo","Impuestos sobre la propiedad","Subgrupo","Impuesto sobre la propiedad de vehículos, aeronaves y embarcaciones","Partida","Impuesto a la propiedad de vehículos Ley N°7088")/GETPIVOTDATA("Acumulado_millones",$A$10,"Año",2009)</f>
        <v>3.4444823735779499E-2</v>
      </c>
      <c r="E58" s="69">
        <f>+GETPIVOTDATA("Acumulado_millones",$A$10,"Año",2010,"Grupo","Impuestos sobre la propiedad","Subgrupo","Impuesto sobre la propiedad de vehículos, aeronaves y embarcaciones","Partida","Impuesto a la propiedad de vehículos Ley N°7088")/GETPIVOTDATA("Acumulado_millones",$A$10,"Año",2010)</f>
        <v>3.7766699164696459E-2</v>
      </c>
      <c r="F58" s="69">
        <f>+GETPIVOTDATA("Acumulado_millones",$A$10,"Año",2011,"Grupo","Impuestos sobre la propiedad","Subgrupo","Impuesto sobre la propiedad de vehículos, aeronaves y embarcaciones","Partida","Impuesto a la propiedad de vehículos Ley N°7088")/GETPIVOTDATA("Acumulado_millones",$A$10,"Año",2011)</f>
        <v>3.0748374698110023E-2</v>
      </c>
      <c r="G58" s="69">
        <f>+GETPIVOTDATA("Acumulado_millones",$A$10,"Año",2012,"Grupo","Impuestos sobre la propiedad","Subgrupo","Impuesto sobre la propiedad de vehículos, aeronaves y embarcaciones","Partida","Impuesto a la propiedad de vehículos Ley N°7088")/GETPIVOTDATA("Acumulado_millones",$A$10,"Año",2012)</f>
        <v>3.3878212218888336E-2</v>
      </c>
      <c r="H58" s="69">
        <f>+GETPIVOTDATA("Acumulado_millones",$A$10,"Año",2013,"Grupo","Impuestos sobre la propiedad","Subgrupo","Impuesto sobre la propiedad de vehículos, aeronaves y embarcaciones","Partida","Impuesto a la propiedad de vehículos Ley N°7088")/GETPIVOTDATA("Acumulado_millones",$A$10,"Año",2013)</f>
        <v>3.4543382187627807E-2</v>
      </c>
      <c r="I58" s="69">
        <f>+GETPIVOTDATA("Acumulado_millones",$A$10,"Año",2014,"Grupo","Impuestos sobre la propiedad","Subgrupo","Impuesto sobre la propiedad de vehículos, aeronaves y embarcaciones","Partida","Impuesto a la propiedad de vehículos Ley N°7088")/GETPIVOTDATA("Acumulado_millones",$A$10,"Año",2014)</f>
        <v>3.6906295768799439E-2</v>
      </c>
      <c r="J58" s="69">
        <f>+GETPIVOTDATA("Acumulado_millones",$A$10,"Año",2015,"Grupo","Impuestos sobre la propiedad","Subgrupo","Impuesto sobre la propiedad de vehículos, aeronaves y embarcaciones","Partida","Impuesto a la propiedad de vehículos Ley N°7088")/GETPIVOTDATA("Acumulado_millones",$A$10,"Año",2015)</f>
        <v>3.7777667450658317E-2</v>
      </c>
      <c r="K58" s="69">
        <f>+GETPIVOTDATA("Acumulado_millones",$A$10,"Año",2016,"Grupo","Impuestos sobre la propiedad","Subgrupo","Impuesto sobre la propiedad de vehículos, aeronaves y embarcaciones","Partida","Impuesto a la propiedad de vehículos Ley N°7088")/GETPIVOTDATA("Acumulado_millones",$A$10,"Año",2016)</f>
        <v>3.7554378732955182E-2</v>
      </c>
      <c r="L58" s="69">
        <f>+GETPIVOTDATA("Acumulado_millones",$A$10,"Año",2017,"Grupo","Impuestos sobre la propiedad","Subgrupo","Impuesto sobre la propiedad de vehículos, aeronaves y embarcaciones","Partida","Impuesto a la propiedad de vehículos Ley N°7088")/GETPIVOTDATA("Acumulado_millones",$A$10,"Año",2017)</f>
        <v>3.7358026489040311E-2</v>
      </c>
      <c r="M58" s="69">
        <f>+GETPIVOTDATA("Acumulado_millones",$A$10,"Año",2018,"Grupo","Impuestos sobre la propiedad","Subgrupo","Impuesto sobre la propiedad de vehículos, aeronaves y embarcaciones","Partida","Impuesto a la propiedad de vehículos Ley N°7088")/GETPIVOTDATA("Acumulado_millones",$A$10,"Año",2018)</f>
        <v>3.7555877980507746E-2</v>
      </c>
    </row>
    <row r="59" spans="1:13" x14ac:dyDescent="0.25">
      <c r="A59" s="6" t="s">
        <v>1115</v>
      </c>
      <c r="B59" s="70">
        <f>+B50/GETPIVOTDATA("Acumulado_millones",$A$10,"Año",2007)</f>
        <v>6.6657266106092031E-2</v>
      </c>
      <c r="C59" s="70">
        <f>+C50/GETPIVOTDATA("Acumulado_millones",$A$10,"Año",2008)</f>
        <v>6.5368743400952431E-2</v>
      </c>
      <c r="D59" s="70">
        <f>+D50/GETPIVOTDATA("Acumulado_millones",$A$10,"Año",2009)</f>
        <v>6.3514798701419364E-2</v>
      </c>
      <c r="E59" s="70">
        <f>+E50/GETPIVOTDATA("Acumulado_millones",$A$10,"Año",2010)</f>
        <v>6.3346219220734953E-2</v>
      </c>
      <c r="F59" s="70">
        <f>+F50/GETPIVOTDATA("Acumulado_millones",$A$10,"Año",2011)</f>
        <v>6.1195019317191734E-2</v>
      </c>
      <c r="G59" s="70">
        <f>+G50/GETPIVOTDATA("Acumulado_millones",$A$10,"Año",2012)</f>
        <v>7.3473898559764106E-2</v>
      </c>
      <c r="H59" s="70">
        <f>+H50/GETPIVOTDATA("Acumulado_millones",$A$10,"Año",2013)</f>
        <v>8.3876980923572E-2</v>
      </c>
      <c r="I59" s="70">
        <f>+I50/GETPIVOTDATA("Acumulado_millones",$A$10,"Año",2014)</f>
        <v>8.2672728147189178E-2</v>
      </c>
      <c r="J59" s="70">
        <f>+J50/GETPIVOTDATA("Acumulado_millones",$A$10,"Año",2015)</f>
        <v>7.8083736630785994E-2</v>
      </c>
      <c r="K59" s="70">
        <f>+K50/GETPIVOTDATA("Acumulado_millones",$A$10,"Año",2016)</f>
        <v>7.057227198853265E-2</v>
      </c>
      <c r="L59" s="70">
        <f>+L50/GETPIVOTDATA("Acumulado_millones",$A$10,"Año",2017)</f>
        <v>6.9379010687187034E-2</v>
      </c>
      <c r="M59" s="70">
        <f>+M50/GETPIVOTDATA("Acumulado_millones",$A$10,"Año",2018)</f>
        <v>7.0251448620747697E-2</v>
      </c>
    </row>
  </sheetData>
  <sortState xmlns:xlrd2="http://schemas.microsoft.com/office/spreadsheetml/2017/richdata2" ref="A53:M58">
    <sortCondition descending="1" ref="B53"/>
  </sortState>
  <mergeCells count="5"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G123"/>
  <sheetViews>
    <sheetView topLeftCell="A13" zoomScale="75" zoomScaleNormal="75" workbookViewId="0">
      <selection activeCell="D11" sqref="D11"/>
    </sheetView>
  </sheetViews>
  <sheetFormatPr baseColWidth="10" defaultRowHeight="15" x14ac:dyDescent="0.25"/>
  <cols>
    <col min="1" max="1" width="48.85546875" customWidth="1"/>
    <col min="2" max="2" width="76.7109375" customWidth="1"/>
    <col min="6" max="6" width="29.85546875" customWidth="1"/>
    <col min="7" max="7" width="55.140625" customWidth="1"/>
    <col min="9" max="9" width="49.42578125" customWidth="1"/>
  </cols>
  <sheetData>
    <row r="1" spans="1:7" x14ac:dyDescent="0.25">
      <c r="A1" s="198" t="s">
        <v>1098</v>
      </c>
      <c r="B1" s="199"/>
    </row>
    <row r="2" spans="1:7" x14ac:dyDescent="0.25">
      <c r="A2" s="201" t="s">
        <v>1099</v>
      </c>
      <c r="B2" s="202"/>
    </row>
    <row r="3" spans="1:7" x14ac:dyDescent="0.25">
      <c r="A3" s="201" t="s">
        <v>1100</v>
      </c>
      <c r="B3" s="202"/>
    </row>
    <row r="4" spans="1:7" x14ac:dyDescent="0.25">
      <c r="A4" s="201" t="s">
        <v>1269</v>
      </c>
      <c r="B4" s="202"/>
    </row>
    <row r="5" spans="1:7" x14ac:dyDescent="0.25">
      <c r="A5" s="201" t="s">
        <v>1101</v>
      </c>
      <c r="B5" s="202"/>
    </row>
    <row r="6" spans="1:7" x14ac:dyDescent="0.25">
      <c r="A6" s="36"/>
      <c r="B6" s="37"/>
    </row>
    <row r="7" spans="1:7" x14ac:dyDescent="0.25">
      <c r="A7" s="34"/>
      <c r="B7" s="34"/>
    </row>
    <row r="8" spans="1:7" ht="26.25" x14ac:dyDescent="0.4">
      <c r="A8" s="158" t="s">
        <v>1268</v>
      </c>
      <c r="B8" s="159"/>
      <c r="F8" s="212" t="s">
        <v>1267</v>
      </c>
      <c r="G8" s="213"/>
    </row>
    <row r="10" spans="1:7" x14ac:dyDescent="0.25">
      <c r="A10" s="19" t="s">
        <v>1067</v>
      </c>
      <c r="B10" s="48" t="s">
        <v>1066</v>
      </c>
      <c r="F10" s="211" t="s">
        <v>1353</v>
      </c>
      <c r="G10" s="211"/>
    </row>
    <row r="11" spans="1:7" x14ac:dyDescent="0.25">
      <c r="A11" s="45" t="s">
        <v>959</v>
      </c>
      <c r="B11" s="46">
        <v>210735.35623125001</v>
      </c>
      <c r="F11" s="19" t="s">
        <v>542</v>
      </c>
      <c r="G11" s="48" t="s">
        <v>1097</v>
      </c>
    </row>
    <row r="12" spans="1:7" x14ac:dyDescent="0.25">
      <c r="A12" s="45" t="s">
        <v>960</v>
      </c>
      <c r="B12" s="46">
        <v>209310.27113017999</v>
      </c>
      <c r="F12" s="45" t="s">
        <v>1068</v>
      </c>
      <c r="G12" s="47">
        <v>877700.62963313004</v>
      </c>
    </row>
    <row r="13" spans="1:7" x14ac:dyDescent="0.25">
      <c r="A13" s="45" t="s">
        <v>961</v>
      </c>
      <c r="B13" s="46">
        <v>215999.19903305001</v>
      </c>
      <c r="F13" s="45" t="s">
        <v>1069</v>
      </c>
      <c r="G13" s="47">
        <v>1147149.5452419701</v>
      </c>
    </row>
    <row r="14" spans="1:7" x14ac:dyDescent="0.25">
      <c r="A14" s="45" t="s">
        <v>962</v>
      </c>
      <c r="B14" s="46">
        <v>241655.80323865</v>
      </c>
      <c r="F14" s="45" t="s">
        <v>1070</v>
      </c>
      <c r="G14" s="47">
        <v>1355933.8307465501</v>
      </c>
    </row>
    <row r="15" spans="1:7" x14ac:dyDescent="0.25">
      <c r="A15" s="45" t="s">
        <v>963</v>
      </c>
      <c r="B15" s="46">
        <v>270789.80117271002</v>
      </c>
      <c r="F15" s="45" t="s">
        <v>1071</v>
      </c>
      <c r="G15" s="47">
        <v>1638617.08983084</v>
      </c>
    </row>
    <row r="16" spans="1:7" x14ac:dyDescent="0.25">
      <c r="A16" s="45" t="s">
        <v>964</v>
      </c>
      <c r="B16" s="46">
        <v>270835.73533836001</v>
      </c>
      <c r="F16" s="45" t="s">
        <v>1072</v>
      </c>
      <c r="G16" s="47">
        <v>2068165.11649901</v>
      </c>
    </row>
    <row r="17" spans="1:7" x14ac:dyDescent="0.25">
      <c r="A17" s="45" t="s">
        <v>965</v>
      </c>
      <c r="B17" s="46">
        <v>290716.95618535002</v>
      </c>
      <c r="F17" s="45" t="s">
        <v>1073</v>
      </c>
      <c r="G17" s="47">
        <v>2413234.3204959799</v>
      </c>
    </row>
    <row r="18" spans="1:7" x14ac:dyDescent="0.25">
      <c r="A18" s="45" t="s">
        <v>966</v>
      </c>
      <c r="B18" s="46">
        <v>314807.05254553998</v>
      </c>
      <c r="F18" s="45" t="s">
        <v>1074</v>
      </c>
      <c r="G18" s="47">
        <v>2919611.8281111601</v>
      </c>
    </row>
    <row r="19" spans="1:7" x14ac:dyDescent="0.25">
      <c r="A19" s="45" t="s">
        <v>967</v>
      </c>
      <c r="B19" s="46">
        <v>322199.21355566999</v>
      </c>
      <c r="F19" s="45" t="s">
        <v>1075</v>
      </c>
      <c r="G19" s="47">
        <v>3502260.4683514698</v>
      </c>
    </row>
    <row r="20" spans="1:7" x14ac:dyDescent="0.25">
      <c r="A20" s="45" t="s">
        <v>968</v>
      </c>
      <c r="B20" s="46">
        <v>321177.36384320998</v>
      </c>
      <c r="F20" s="45" t="s">
        <v>1076</v>
      </c>
      <c r="G20" s="47">
        <v>4055405.6765608601</v>
      </c>
    </row>
    <row r="21" spans="1:7" x14ac:dyDescent="0.25">
      <c r="A21" s="45" t="s">
        <v>969</v>
      </c>
      <c r="B21" s="46">
        <v>337737.21209469001</v>
      </c>
      <c r="F21" s="45" t="s">
        <v>1077</v>
      </c>
      <c r="G21" s="47">
        <v>4607290.8717279099</v>
      </c>
    </row>
    <row r="22" spans="1:7" x14ac:dyDescent="0.25">
      <c r="A22" s="45" t="s">
        <v>970</v>
      </c>
      <c r="B22" s="46">
        <v>374820.04125298001</v>
      </c>
      <c r="F22" s="45" t="s">
        <v>1078</v>
      </c>
      <c r="G22" s="47">
        <v>5233427.8346791901</v>
      </c>
    </row>
    <row r="23" spans="1:7" x14ac:dyDescent="0.25">
      <c r="A23" s="45" t="s">
        <v>971</v>
      </c>
      <c r="B23" s="46">
        <v>403031.2547777</v>
      </c>
      <c r="F23" s="45" t="s">
        <v>1079</v>
      </c>
      <c r="G23" s="47">
        <v>5938755.5502470704</v>
      </c>
    </row>
    <row r="24" spans="1:7" x14ac:dyDescent="0.25">
      <c r="A24" s="45" t="s">
        <v>972</v>
      </c>
      <c r="B24" s="46">
        <v>386973.34812092001</v>
      </c>
      <c r="F24" s="45" t="s">
        <v>1080</v>
      </c>
      <c r="G24" s="47">
        <v>6855361.2713184496</v>
      </c>
    </row>
    <row r="25" spans="1:7" x14ac:dyDescent="0.25">
      <c r="A25" s="45" t="s">
        <v>973</v>
      </c>
      <c r="B25" s="46">
        <v>398864.95725058002</v>
      </c>
      <c r="F25" s="45" t="s">
        <v>1081</v>
      </c>
      <c r="G25" s="47">
        <v>8114385.4928529803</v>
      </c>
    </row>
    <row r="26" spans="1:7" x14ac:dyDescent="0.25">
      <c r="A26" s="45" t="s">
        <v>974</v>
      </c>
      <c r="B26" s="46">
        <v>449747.52968164999</v>
      </c>
      <c r="F26" s="45" t="s">
        <v>1082</v>
      </c>
      <c r="G26" s="47">
        <v>9532875.0069855805</v>
      </c>
    </row>
    <row r="27" spans="1:7" x14ac:dyDescent="0.25">
      <c r="A27" s="45" t="s">
        <v>975</v>
      </c>
      <c r="B27" s="46">
        <v>529811.52072527003</v>
      </c>
      <c r="F27" s="45" t="s">
        <v>1083</v>
      </c>
      <c r="G27" s="47">
        <v>11555641.5025422</v>
      </c>
    </row>
    <row r="28" spans="1:7" x14ac:dyDescent="0.25">
      <c r="A28" s="45" t="s">
        <v>976</v>
      </c>
      <c r="B28" s="46">
        <v>471733.15670609998</v>
      </c>
      <c r="F28" s="45" t="s">
        <v>1084</v>
      </c>
      <c r="G28" s="47">
        <v>13816350.7581544</v>
      </c>
    </row>
    <row r="29" spans="1:7" x14ac:dyDescent="0.25">
      <c r="A29" s="45" t="s">
        <v>977</v>
      </c>
      <c r="B29" s="46">
        <v>486145.93387816002</v>
      </c>
      <c r="F29" s="45" t="s">
        <v>1085</v>
      </c>
      <c r="G29" s="47">
        <v>16109612.0386537</v>
      </c>
    </row>
    <row r="30" spans="1:7" x14ac:dyDescent="0.25">
      <c r="A30" s="45" t="s">
        <v>978</v>
      </c>
      <c r="B30" s="46">
        <v>580474.50518948003</v>
      </c>
      <c r="F30" s="45" t="s">
        <v>1086</v>
      </c>
      <c r="G30" s="47">
        <v>17521034.883488301</v>
      </c>
    </row>
    <row r="31" spans="1:7" x14ac:dyDescent="0.25">
      <c r="A31" s="45" t="s">
        <v>979</v>
      </c>
      <c r="B31" s="46">
        <v>608899.39733397996</v>
      </c>
      <c r="F31" s="45" t="s">
        <v>1087</v>
      </c>
      <c r="G31" s="47">
        <v>19596936.678134698</v>
      </c>
    </row>
    <row r="32" spans="1:7" x14ac:dyDescent="0.25">
      <c r="A32" s="45" t="s">
        <v>980</v>
      </c>
      <c r="B32" s="46">
        <v>553164.97703742003</v>
      </c>
      <c r="F32" s="45" t="s">
        <v>1088</v>
      </c>
      <c r="G32" s="47">
        <v>21370733.293318301</v>
      </c>
    </row>
    <row r="33" spans="1:7" x14ac:dyDescent="0.25">
      <c r="A33" s="45" t="s">
        <v>981</v>
      </c>
      <c r="B33" s="46">
        <v>588463.60124581004</v>
      </c>
      <c r="F33" s="45" t="s">
        <v>1089</v>
      </c>
      <c r="G33" s="47">
        <v>23371405.924451798</v>
      </c>
    </row>
    <row r="34" spans="1:7" x14ac:dyDescent="0.25">
      <c r="A34" s="45" t="s">
        <v>982</v>
      </c>
      <c r="B34" s="46">
        <v>662706.34487877996</v>
      </c>
      <c r="F34" s="45" t="s">
        <v>1090</v>
      </c>
      <c r="G34" s="47">
        <v>24860943.501263201</v>
      </c>
    </row>
    <row r="35" spans="1:7" x14ac:dyDescent="0.25">
      <c r="A35" s="45" t="s">
        <v>983</v>
      </c>
      <c r="B35" s="46">
        <v>726113.40378058003</v>
      </c>
      <c r="F35" s="45" t="s">
        <v>1091</v>
      </c>
      <c r="G35" s="47">
        <v>27226883.441270299</v>
      </c>
    </row>
    <row r="36" spans="1:7" x14ac:dyDescent="0.25">
      <c r="A36" s="45" t="s">
        <v>984</v>
      </c>
      <c r="B36" s="46">
        <v>668740.39992445998</v>
      </c>
      <c r="F36" s="45" t="s">
        <v>1092</v>
      </c>
      <c r="G36" s="47">
        <v>29281373.309193902</v>
      </c>
    </row>
    <row r="37" spans="1:7" x14ac:dyDescent="0.25">
      <c r="A37" s="45" t="s">
        <v>985</v>
      </c>
      <c r="B37" s="46">
        <v>692791.58397558006</v>
      </c>
      <c r="F37" s="45" t="s">
        <v>1093</v>
      </c>
      <c r="G37" s="47">
        <v>31136210.503821</v>
      </c>
    </row>
    <row r="38" spans="1:7" x14ac:dyDescent="0.25">
      <c r="A38" s="45" t="s">
        <v>986</v>
      </c>
      <c r="B38" s="46">
        <v>831966.44043053</v>
      </c>
      <c r="F38" s="45" t="s">
        <v>1094</v>
      </c>
      <c r="G38" s="47">
        <v>33189220.551510502</v>
      </c>
    </row>
    <row r="39" spans="1:7" x14ac:dyDescent="0.25">
      <c r="A39" s="45" t="s">
        <v>987</v>
      </c>
      <c r="B39" s="46">
        <v>884584.11953608005</v>
      </c>
      <c r="F39" s="45" t="s">
        <v>1095</v>
      </c>
      <c r="G39" s="47">
        <v>34937935.887081303</v>
      </c>
    </row>
    <row r="40" spans="1:7" x14ac:dyDescent="0.25">
      <c r="A40" s="45" t="s">
        <v>988</v>
      </c>
      <c r="B40" s="46">
        <v>811778.93929327</v>
      </c>
      <c r="F40" s="45" t="s">
        <v>1096</v>
      </c>
      <c r="G40" s="47">
        <v>36295619.711840503</v>
      </c>
    </row>
    <row r="41" spans="1:7" x14ac:dyDescent="0.25">
      <c r="A41" s="45" t="s">
        <v>989</v>
      </c>
      <c r="B41" s="46">
        <v>840671.01617503003</v>
      </c>
      <c r="F41" s="45" t="s">
        <v>1352</v>
      </c>
      <c r="G41" s="47">
        <v>34859047.116019197</v>
      </c>
    </row>
    <row r="42" spans="1:7" x14ac:dyDescent="0.25">
      <c r="A42" s="45" t="s">
        <v>990</v>
      </c>
      <c r="B42" s="46">
        <v>965226.39334710001</v>
      </c>
    </row>
    <row r="43" spans="1:7" x14ac:dyDescent="0.25">
      <c r="A43" s="45" t="s">
        <v>991</v>
      </c>
      <c r="B43" s="46">
        <v>993300.31478007999</v>
      </c>
    </row>
    <row r="44" spans="1:7" x14ac:dyDescent="0.25">
      <c r="A44" s="45" t="s">
        <v>992</v>
      </c>
      <c r="B44" s="46">
        <v>936326.12267653004</v>
      </c>
    </row>
    <row r="45" spans="1:7" x14ac:dyDescent="0.25">
      <c r="A45" s="45" t="s">
        <v>993</v>
      </c>
      <c r="B45" s="46">
        <v>989535.01761273004</v>
      </c>
    </row>
    <row r="46" spans="1:7" x14ac:dyDescent="0.25">
      <c r="A46" s="45" t="s">
        <v>994</v>
      </c>
      <c r="B46" s="46">
        <v>1136244.2214915201</v>
      </c>
    </row>
    <row r="47" spans="1:7" x14ac:dyDescent="0.25">
      <c r="A47" s="45" t="s">
        <v>995</v>
      </c>
      <c r="B47" s="46">
        <v>1137087.0594443199</v>
      </c>
    </row>
    <row r="48" spans="1:7" x14ac:dyDescent="0.25">
      <c r="A48" s="45" t="s">
        <v>996</v>
      </c>
      <c r="B48" s="46">
        <v>1077498.85843955</v>
      </c>
    </row>
    <row r="49" spans="1:2" x14ac:dyDescent="0.25">
      <c r="A49" s="45" t="s">
        <v>997</v>
      </c>
      <c r="B49" s="46">
        <v>1136416.0732571399</v>
      </c>
    </row>
    <row r="50" spans="1:2" x14ac:dyDescent="0.25">
      <c r="A50" s="45" t="s">
        <v>998</v>
      </c>
      <c r="B50" s="46">
        <v>1256288.88058689</v>
      </c>
    </row>
    <row r="51" spans="1:2" x14ac:dyDescent="0.25">
      <c r="A51" s="45" t="s">
        <v>999</v>
      </c>
      <c r="B51" s="46">
        <v>1278595.8662051801</v>
      </c>
    </row>
    <row r="52" spans="1:2" x14ac:dyDescent="0.25">
      <c r="A52" s="45" t="s">
        <v>1000</v>
      </c>
      <c r="B52" s="46">
        <v>1240881.6964307399</v>
      </c>
    </row>
    <row r="53" spans="1:2" x14ac:dyDescent="0.25">
      <c r="A53" s="45" t="s">
        <v>1001</v>
      </c>
      <c r="B53" s="46">
        <v>1287806.02949429</v>
      </c>
    </row>
    <row r="54" spans="1:2" x14ac:dyDescent="0.25">
      <c r="A54" s="45" t="s">
        <v>1002</v>
      </c>
      <c r="B54" s="46">
        <v>1426144.2425489801</v>
      </c>
    </row>
    <row r="55" spans="1:2" x14ac:dyDescent="0.25">
      <c r="A55" s="45" t="s">
        <v>1003</v>
      </c>
      <c r="B55" s="46">
        <v>1422732.07879404</v>
      </c>
    </row>
    <row r="56" spans="1:2" x14ac:dyDescent="0.25">
      <c r="A56" s="45" t="s">
        <v>1004</v>
      </c>
      <c r="B56" s="46">
        <v>1425446.60148762</v>
      </c>
    </row>
    <row r="57" spans="1:2" x14ac:dyDescent="0.25">
      <c r="A57" s="45" t="s">
        <v>1005</v>
      </c>
      <c r="B57" s="46">
        <v>1472903.75282252</v>
      </c>
    </row>
    <row r="58" spans="1:2" x14ac:dyDescent="0.25">
      <c r="A58" s="45" t="s">
        <v>1006</v>
      </c>
      <c r="B58" s="46">
        <v>1617673.1171428901</v>
      </c>
    </row>
    <row r="59" spans="1:2" x14ac:dyDescent="0.25">
      <c r="A59" s="45" t="s">
        <v>1007</v>
      </c>
      <c r="B59" s="46">
        <v>1648747.50911237</v>
      </c>
    </row>
    <row r="60" spans="1:2" x14ac:dyDescent="0.25">
      <c r="A60" s="45" t="s">
        <v>1008</v>
      </c>
      <c r="B60" s="46">
        <v>1617646.0260836401</v>
      </c>
    </row>
    <row r="61" spans="1:2" x14ac:dyDescent="0.25">
      <c r="A61" s="45" t="s">
        <v>1009</v>
      </c>
      <c r="B61" s="46">
        <v>1686240.44053237</v>
      </c>
    </row>
    <row r="62" spans="1:2" x14ac:dyDescent="0.25">
      <c r="A62" s="45" t="s">
        <v>1010</v>
      </c>
      <c r="B62" s="46">
        <v>1902727.2955900701</v>
      </c>
    </row>
    <row r="63" spans="1:2" x14ac:dyDescent="0.25">
      <c r="A63" s="45" t="s">
        <v>1011</v>
      </c>
      <c r="B63" s="46">
        <v>1934789.37882799</v>
      </c>
    </row>
    <row r="64" spans="1:2" x14ac:dyDescent="0.25">
      <c r="A64" s="45" t="s">
        <v>1012</v>
      </c>
      <c r="B64" s="46">
        <v>1937539.35774939</v>
      </c>
    </row>
    <row r="65" spans="1:2" x14ac:dyDescent="0.25">
      <c r="A65" s="45" t="s">
        <v>1013</v>
      </c>
      <c r="B65" s="46">
        <v>2011956.3151851201</v>
      </c>
    </row>
    <row r="66" spans="1:2" x14ac:dyDescent="0.25">
      <c r="A66" s="45" t="s">
        <v>1014</v>
      </c>
      <c r="B66" s="46">
        <v>2230100.44109048</v>
      </c>
    </row>
    <row r="67" spans="1:2" x14ac:dyDescent="0.25">
      <c r="A67" s="45" t="s">
        <v>1015</v>
      </c>
      <c r="B67" s="46">
        <v>2252500.76496336</v>
      </c>
    </row>
    <row r="68" spans="1:2" x14ac:dyDescent="0.25">
      <c r="A68" s="45" t="s">
        <v>1016</v>
      </c>
      <c r="B68" s="46">
        <v>2257285.9250316001</v>
      </c>
    </row>
    <row r="69" spans="1:2" x14ac:dyDescent="0.25">
      <c r="A69" s="45" t="s">
        <v>1017</v>
      </c>
      <c r="B69" s="46">
        <v>2393353.6690828302</v>
      </c>
    </row>
    <row r="70" spans="1:2" x14ac:dyDescent="0.25">
      <c r="A70" s="45" t="s">
        <v>1018</v>
      </c>
      <c r="B70" s="46">
        <v>2629734.6479078</v>
      </c>
    </row>
    <row r="71" spans="1:2" x14ac:dyDescent="0.25">
      <c r="A71" s="45" t="s">
        <v>1019</v>
      </c>
      <c r="B71" s="46">
        <v>2703348.2204279699</v>
      </c>
    </row>
    <row r="72" spans="1:2" x14ac:dyDescent="0.25">
      <c r="A72" s="45" t="s">
        <v>1020</v>
      </c>
      <c r="B72" s="46">
        <v>2713446.01630772</v>
      </c>
    </row>
    <row r="73" spans="1:2" x14ac:dyDescent="0.25">
      <c r="A73" s="45" t="s">
        <v>1021</v>
      </c>
      <c r="B73" s="46">
        <v>2883986.1059503998</v>
      </c>
    </row>
    <row r="74" spans="1:2" x14ac:dyDescent="0.25">
      <c r="A74" s="45" t="s">
        <v>1022</v>
      </c>
      <c r="B74" s="46">
        <v>3254861.1598561201</v>
      </c>
    </row>
    <row r="75" spans="1:2" x14ac:dyDescent="0.25">
      <c r="A75" s="45" t="s">
        <v>1023</v>
      </c>
      <c r="B75" s="46">
        <v>3299077.6836955198</v>
      </c>
    </row>
    <row r="76" spans="1:2" x14ac:dyDescent="0.25">
      <c r="A76" s="45" t="s">
        <v>1024</v>
      </c>
      <c r="B76" s="46">
        <v>3289732.2392112301</v>
      </c>
    </row>
    <row r="77" spans="1:2" x14ac:dyDescent="0.25">
      <c r="A77" s="45" t="s">
        <v>1025</v>
      </c>
      <c r="B77" s="46">
        <v>3445360.1626754198</v>
      </c>
    </row>
    <row r="78" spans="1:2" x14ac:dyDescent="0.25">
      <c r="A78" s="45" t="s">
        <v>1026</v>
      </c>
      <c r="B78" s="46">
        <v>3782180.6725721899</v>
      </c>
    </row>
    <row r="79" spans="1:2" x14ac:dyDescent="0.25">
      <c r="A79" s="45" t="s">
        <v>1027</v>
      </c>
      <c r="B79" s="46">
        <v>3894799.13642509</v>
      </c>
    </row>
    <row r="80" spans="1:2" x14ac:dyDescent="0.25">
      <c r="A80" s="45" t="s">
        <v>1028</v>
      </c>
      <c r="B80" s="46">
        <v>3893376.87711216</v>
      </c>
    </row>
    <row r="81" spans="1:2" x14ac:dyDescent="0.25">
      <c r="A81" s="45" t="s">
        <v>1029</v>
      </c>
      <c r="B81" s="46">
        <v>4028103.8355129999</v>
      </c>
    </row>
    <row r="82" spans="1:2" x14ac:dyDescent="0.25">
      <c r="A82" s="45" t="s">
        <v>1030</v>
      </c>
      <c r="B82" s="46">
        <v>4293332.1896034898</v>
      </c>
    </row>
    <row r="83" spans="1:2" x14ac:dyDescent="0.25">
      <c r="A83" s="45" t="s">
        <v>1031</v>
      </c>
      <c r="B83" s="46">
        <v>4260204.2566947704</v>
      </c>
    </row>
    <row r="84" spans="1:2" x14ac:dyDescent="0.25">
      <c r="A84" s="45" t="s">
        <v>1032</v>
      </c>
      <c r="B84" s="46">
        <v>4179389.7511066599</v>
      </c>
    </row>
    <row r="85" spans="1:2" x14ac:dyDescent="0.25">
      <c r="A85" s="45" t="s">
        <v>1033</v>
      </c>
      <c r="B85" s="46">
        <v>4341693.9690300403</v>
      </c>
    </row>
    <row r="86" spans="1:2" x14ac:dyDescent="0.25">
      <c r="A86" s="45" t="s">
        <v>1034</v>
      </c>
      <c r="B86" s="46">
        <v>4739746.9066568501</v>
      </c>
    </row>
    <row r="87" spans="1:2" x14ac:dyDescent="0.25">
      <c r="A87" s="45" t="s">
        <v>1035</v>
      </c>
      <c r="B87" s="46">
        <v>4906965.4187918501</v>
      </c>
    </row>
    <row r="88" spans="1:2" x14ac:dyDescent="0.25">
      <c r="A88" s="45" t="s">
        <v>1036</v>
      </c>
      <c r="B88" s="46">
        <v>4718459.3902872996</v>
      </c>
    </row>
    <row r="89" spans="1:2" x14ac:dyDescent="0.25">
      <c r="A89" s="45" t="s">
        <v>1037</v>
      </c>
      <c r="B89" s="46">
        <v>4797203.2535906602</v>
      </c>
    </row>
    <row r="90" spans="1:2" x14ac:dyDescent="0.25">
      <c r="A90" s="45" t="s">
        <v>1038</v>
      </c>
      <c r="B90" s="46">
        <v>5174308.6154648401</v>
      </c>
    </row>
    <row r="91" spans="1:2" x14ac:dyDescent="0.25">
      <c r="A91" s="45" t="s">
        <v>1039</v>
      </c>
      <c r="B91" s="46">
        <v>5248125.7193898298</v>
      </c>
    </row>
    <row r="92" spans="1:2" x14ac:dyDescent="0.25">
      <c r="A92" s="45" t="s">
        <v>1040</v>
      </c>
      <c r="B92" s="46">
        <v>5138126.5337908398</v>
      </c>
    </row>
    <row r="93" spans="1:2" x14ac:dyDescent="0.25">
      <c r="A93" s="45" t="s">
        <v>1041</v>
      </c>
      <c r="B93" s="46">
        <v>5250681.5363647398</v>
      </c>
    </row>
    <row r="94" spans="1:2" x14ac:dyDescent="0.25">
      <c r="A94" s="45" t="s">
        <v>1042</v>
      </c>
      <c r="B94" s="46">
        <v>5733799.5037729098</v>
      </c>
    </row>
    <row r="95" spans="1:2" x14ac:dyDescent="0.25">
      <c r="A95" s="45" t="s">
        <v>1043</v>
      </c>
      <c r="B95" s="46">
        <v>5852803.36526509</v>
      </c>
    </row>
    <row r="96" spans="1:2" x14ac:dyDescent="0.25">
      <c r="A96" s="45" t="s">
        <v>1044</v>
      </c>
      <c r="B96" s="46">
        <v>5658746.5143439705</v>
      </c>
    </row>
    <row r="97" spans="1:2" x14ac:dyDescent="0.25">
      <c r="A97" s="45" t="s">
        <v>1045</v>
      </c>
      <c r="B97" s="46">
        <v>5648055.1376507496</v>
      </c>
    </row>
    <row r="98" spans="1:2" x14ac:dyDescent="0.25">
      <c r="A98" s="45" t="s">
        <v>1046</v>
      </c>
      <c r="B98" s="46">
        <v>6211800.9071919397</v>
      </c>
    </row>
    <row r="99" spans="1:2" x14ac:dyDescent="0.25">
      <c r="A99" s="45" t="s">
        <v>1047</v>
      </c>
      <c r="B99" s="46">
        <v>6175140.9009917499</v>
      </c>
    </row>
    <row r="100" spans="1:2" x14ac:dyDescent="0.25">
      <c r="A100" s="45" t="s">
        <v>1048</v>
      </c>
      <c r="B100" s="46">
        <v>6066664.8777695196</v>
      </c>
    </row>
    <row r="101" spans="1:2" x14ac:dyDescent="0.25">
      <c r="A101" s="45" t="s">
        <v>1049</v>
      </c>
      <c r="B101" s="46">
        <v>6079818.4954762598</v>
      </c>
    </row>
    <row r="102" spans="1:2" x14ac:dyDescent="0.25">
      <c r="A102" s="45" t="s">
        <v>1050</v>
      </c>
      <c r="B102" s="46">
        <v>6539319.2270256598</v>
      </c>
    </row>
    <row r="103" spans="1:2" x14ac:dyDescent="0.25">
      <c r="A103" s="45" t="s">
        <v>1051</v>
      </c>
      <c r="B103" s="46">
        <v>6697222.17713618</v>
      </c>
    </row>
    <row r="104" spans="1:2" x14ac:dyDescent="0.25">
      <c r="A104" s="45" t="s">
        <v>1052</v>
      </c>
      <c r="B104" s="46">
        <v>6641707.9042482805</v>
      </c>
    </row>
    <row r="105" spans="1:2" x14ac:dyDescent="0.25">
      <c r="A105" s="45" t="s">
        <v>1053</v>
      </c>
      <c r="B105" s="46">
        <v>6669350.3100038804</v>
      </c>
    </row>
    <row r="106" spans="1:2" x14ac:dyDescent="0.25">
      <c r="A106" s="45" t="s">
        <v>1054</v>
      </c>
      <c r="B106" s="46">
        <v>7218603.0498819398</v>
      </c>
    </row>
    <row r="107" spans="1:2" x14ac:dyDescent="0.25">
      <c r="A107" s="45" t="s">
        <v>1055</v>
      </c>
      <c r="B107" s="46">
        <v>7300545.5660885703</v>
      </c>
    </row>
    <row r="108" spans="1:2" x14ac:dyDescent="0.25">
      <c r="A108" s="45" t="s">
        <v>1056</v>
      </c>
      <c r="B108" s="46">
        <v>7137389.5332302703</v>
      </c>
    </row>
    <row r="109" spans="1:2" x14ac:dyDescent="0.25">
      <c r="A109" s="45" t="s">
        <v>1057</v>
      </c>
      <c r="B109" s="46">
        <v>7175843.9629390603</v>
      </c>
    </row>
    <row r="110" spans="1:2" x14ac:dyDescent="0.25">
      <c r="A110" s="45" t="s">
        <v>1058</v>
      </c>
      <c r="B110" s="46">
        <v>7667594.2469359897</v>
      </c>
    </row>
    <row r="111" spans="1:2" x14ac:dyDescent="0.25">
      <c r="A111" s="45" t="s">
        <v>1059</v>
      </c>
      <c r="B111" s="46">
        <v>7740450.4587560399</v>
      </c>
    </row>
    <row r="112" spans="1:2" x14ac:dyDescent="0.25">
      <c r="A112" s="45" t="s">
        <v>1060</v>
      </c>
      <c r="B112" s="46">
        <v>7597687.7167093698</v>
      </c>
    </row>
    <row r="113" spans="1:2" x14ac:dyDescent="0.25">
      <c r="A113" s="45" t="s">
        <v>1061</v>
      </c>
      <c r="B113" s="46">
        <v>7585792.6081450703</v>
      </c>
    </row>
    <row r="114" spans="1:2" x14ac:dyDescent="0.25">
      <c r="A114" s="45" t="s">
        <v>1062</v>
      </c>
      <c r="B114" s="46">
        <v>8212279.7202104796</v>
      </c>
    </row>
    <row r="115" spans="1:2" x14ac:dyDescent="0.25">
      <c r="A115" s="45" t="s">
        <v>1063</v>
      </c>
      <c r="B115" s="46">
        <v>8261507.3687917301</v>
      </c>
    </row>
    <row r="116" spans="1:2" x14ac:dyDescent="0.25">
      <c r="A116" s="45" t="s">
        <v>1064</v>
      </c>
      <c r="B116" s="46">
        <v>8064441.9595192</v>
      </c>
    </row>
    <row r="117" spans="1:2" x14ac:dyDescent="0.25">
      <c r="A117" s="45" t="s">
        <v>1065</v>
      </c>
      <c r="B117" s="46">
        <v>8032302.5618270095</v>
      </c>
    </row>
    <row r="118" spans="1:2" x14ac:dyDescent="0.25">
      <c r="A118" s="45" t="s">
        <v>1261</v>
      </c>
      <c r="B118" s="46">
        <v>8656566.8778132405</v>
      </c>
    </row>
    <row r="119" spans="1:2" x14ac:dyDescent="0.25">
      <c r="A119" s="45" t="s">
        <v>1257</v>
      </c>
      <c r="B119" s="46">
        <v>8774859.3383156192</v>
      </c>
    </row>
    <row r="120" spans="1:2" x14ac:dyDescent="0.25">
      <c r="A120" s="45" t="s">
        <v>1258</v>
      </c>
      <c r="B120" s="46">
        <v>8515260.5418786798</v>
      </c>
    </row>
    <row r="121" spans="1:2" x14ac:dyDescent="0.25">
      <c r="A121" s="45" t="s">
        <v>1259</v>
      </c>
      <c r="B121" s="46">
        <v>8391042.4774052799</v>
      </c>
    </row>
    <row r="122" spans="1:2" x14ac:dyDescent="0.25">
      <c r="A122" s="45" t="s">
        <v>1260</v>
      </c>
      <c r="B122" s="46">
        <v>9012255.2932171691</v>
      </c>
    </row>
    <row r="123" spans="1:2" x14ac:dyDescent="0.25">
      <c r="A123" s="45" t="s">
        <v>1266</v>
      </c>
      <c r="B123" s="46">
        <v>9204853.3768881392</v>
      </c>
    </row>
  </sheetData>
  <mergeCells count="7">
    <mergeCell ref="F10:G10"/>
    <mergeCell ref="A1:B1"/>
    <mergeCell ref="A2:B2"/>
    <mergeCell ref="A3:B3"/>
    <mergeCell ref="A4:B4"/>
    <mergeCell ref="A5:B5"/>
    <mergeCell ref="F8:G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N215"/>
  <sheetViews>
    <sheetView workbookViewId="0">
      <selection activeCell="B9" sqref="B9"/>
    </sheetView>
  </sheetViews>
  <sheetFormatPr baseColWidth="10" defaultRowHeight="15" x14ac:dyDescent="0.25"/>
  <cols>
    <col min="1" max="1" width="32.7109375" customWidth="1"/>
    <col min="2" max="2" width="22.42578125" customWidth="1"/>
    <col min="3" max="6" width="12" customWidth="1"/>
    <col min="7" max="13" width="14.28515625" bestFit="1" customWidth="1"/>
    <col min="14" max="14" width="12.5703125" bestFit="1" customWidth="1"/>
    <col min="15" max="15" width="33.28515625" customWidth="1"/>
    <col min="16" max="16" width="22.42578125" customWidth="1"/>
    <col min="17" max="26" width="12" bestFit="1" customWidth="1"/>
    <col min="27" max="27" width="10.42578125" bestFit="1" customWidth="1"/>
    <col min="28" max="28" width="32.7109375" customWidth="1"/>
    <col min="29" max="29" width="33.28515625" customWidth="1"/>
    <col min="30" max="30" width="12" customWidth="1"/>
    <col min="31" max="32" width="12" bestFit="1" customWidth="1"/>
    <col min="33" max="33" width="6.5703125" customWidth="1"/>
    <col min="34" max="34" width="15.28515625" bestFit="1" customWidth="1"/>
    <col min="35" max="35" width="28.140625" customWidth="1"/>
    <col min="36" max="36" width="22.42578125" customWidth="1"/>
    <col min="37" max="40" width="12" customWidth="1"/>
    <col min="41" max="47" width="11.7109375" customWidth="1"/>
    <col min="48" max="48" width="15.28515625" bestFit="1" customWidth="1"/>
  </cols>
  <sheetData>
    <row r="1" spans="1:40" x14ac:dyDescent="0.25">
      <c r="O1" s="15" t="s">
        <v>541</v>
      </c>
      <c r="P1" t="s">
        <v>793</v>
      </c>
    </row>
    <row r="2" spans="1:40" x14ac:dyDescent="0.25">
      <c r="A2" s="15" t="s">
        <v>1138</v>
      </c>
      <c r="B2" s="15" t="s">
        <v>1109</v>
      </c>
      <c r="AI2" s="15" t="s">
        <v>1108</v>
      </c>
      <c r="AJ2" s="15" t="s">
        <v>1109</v>
      </c>
    </row>
    <row r="3" spans="1:40" x14ac:dyDescent="0.25">
      <c r="A3" s="15" t="s">
        <v>794</v>
      </c>
      <c r="B3">
        <v>2014</v>
      </c>
      <c r="C3">
        <v>2015</v>
      </c>
      <c r="D3">
        <v>2016</v>
      </c>
      <c r="E3">
        <v>2017</v>
      </c>
      <c r="F3">
        <v>2018</v>
      </c>
      <c r="O3" s="15" t="s">
        <v>1139</v>
      </c>
      <c r="P3" s="15" t="s">
        <v>1109</v>
      </c>
      <c r="AI3" s="15" t="s">
        <v>794</v>
      </c>
      <c r="AJ3">
        <v>2014</v>
      </c>
      <c r="AK3">
        <v>2015</v>
      </c>
      <c r="AL3">
        <v>2016</v>
      </c>
      <c r="AM3">
        <v>2017</v>
      </c>
      <c r="AN3">
        <v>2018</v>
      </c>
    </row>
    <row r="4" spans="1:40" x14ac:dyDescent="0.25">
      <c r="A4" s="16" t="s">
        <v>360</v>
      </c>
      <c r="B4" s="17">
        <v>89782.723065800004</v>
      </c>
      <c r="C4" s="17">
        <v>101744.99977156</v>
      </c>
      <c r="D4" s="17">
        <v>111875.00163058999</v>
      </c>
      <c r="E4" s="17">
        <v>116535.00111897</v>
      </c>
      <c r="F4" s="17">
        <v>125612.17094477999</v>
      </c>
      <c r="G4" s="77"/>
      <c r="O4" s="15" t="s">
        <v>794</v>
      </c>
      <c r="P4">
        <v>2014</v>
      </c>
      <c r="Q4">
        <v>2015</v>
      </c>
      <c r="R4">
        <v>2016</v>
      </c>
      <c r="S4">
        <v>2017</v>
      </c>
      <c r="T4">
        <v>2018</v>
      </c>
      <c r="AI4" s="100" t="s">
        <v>360</v>
      </c>
      <c r="AJ4" s="17">
        <v>189211.65199751002</v>
      </c>
      <c r="AK4" s="17">
        <v>207447.62532541002</v>
      </c>
      <c r="AL4" s="17">
        <v>233124.95426114002</v>
      </c>
      <c r="AM4" s="17">
        <v>240572.21472151999</v>
      </c>
      <c r="AN4" s="17">
        <v>255690.08362768</v>
      </c>
    </row>
    <row r="5" spans="1:40" x14ac:dyDescent="0.25">
      <c r="A5" s="16" t="s">
        <v>358</v>
      </c>
      <c r="B5" s="17">
        <v>61732.633612569996</v>
      </c>
      <c r="C5" s="17">
        <v>67360.51425855</v>
      </c>
      <c r="D5" s="17">
        <v>71368.439490199991</v>
      </c>
      <c r="E5" s="17">
        <v>81846.892594999998</v>
      </c>
      <c r="F5" s="17">
        <v>90528.139177689998</v>
      </c>
      <c r="O5" s="16" t="s">
        <v>360</v>
      </c>
      <c r="P5" s="17">
        <v>99428.92893170999</v>
      </c>
      <c r="Q5" s="17">
        <v>105702.62555385</v>
      </c>
      <c r="R5" s="17">
        <v>121249.95263054999</v>
      </c>
      <c r="S5" s="17">
        <v>124037.21360254999</v>
      </c>
      <c r="T5" s="17">
        <v>130077.91268289999</v>
      </c>
      <c r="AI5" s="100" t="s">
        <v>358</v>
      </c>
      <c r="AJ5" s="17">
        <v>121657.68122416</v>
      </c>
      <c r="AK5" s="17">
        <v>129949.34109250999</v>
      </c>
      <c r="AL5" s="17">
        <v>133662.37404304999</v>
      </c>
      <c r="AM5" s="17">
        <v>157833.82169364003</v>
      </c>
      <c r="AN5" s="17">
        <v>176501.36237326</v>
      </c>
    </row>
    <row r="6" spans="1:40" x14ac:dyDescent="0.25">
      <c r="A6" s="16" t="s">
        <v>356</v>
      </c>
      <c r="B6" s="17">
        <v>11030.976173599998</v>
      </c>
      <c r="C6" s="17">
        <v>13492.511393340001</v>
      </c>
      <c r="D6" s="17">
        <v>15902.588602670001</v>
      </c>
      <c r="E6" s="17">
        <v>16232.375916860001</v>
      </c>
      <c r="F6" s="17">
        <v>18540.779708150003</v>
      </c>
      <c r="O6" s="16" t="s">
        <v>358</v>
      </c>
      <c r="P6" s="17">
        <v>59925.047611589995</v>
      </c>
      <c r="Q6" s="17">
        <v>62588.826833960004</v>
      </c>
      <c r="R6" s="17">
        <v>62293.934552850005</v>
      </c>
      <c r="S6" s="17">
        <v>75986.929098640001</v>
      </c>
      <c r="T6" s="17">
        <v>85973.223195570012</v>
      </c>
      <c r="AI6" s="100" t="s">
        <v>356</v>
      </c>
      <c r="AJ6" s="17">
        <v>38269.367158809997</v>
      </c>
      <c r="AK6" s="17">
        <v>48844.353049500001</v>
      </c>
      <c r="AL6" s="17">
        <v>47459.201414559997</v>
      </c>
      <c r="AM6" s="17">
        <v>48113.302342160001</v>
      </c>
      <c r="AN6" s="17">
        <v>51453.116052580001</v>
      </c>
    </row>
    <row r="7" spans="1:40" x14ac:dyDescent="0.25">
      <c r="A7" s="16" t="s">
        <v>353</v>
      </c>
      <c r="B7" s="17">
        <v>32895.777616389998</v>
      </c>
      <c r="C7" s="17">
        <v>49072.595805639998</v>
      </c>
      <c r="D7" s="17">
        <v>50897.821746959999</v>
      </c>
      <c r="E7" s="17">
        <v>63968.572355960001</v>
      </c>
      <c r="F7" s="17">
        <v>60653.468816649998</v>
      </c>
      <c r="O7" s="16" t="s">
        <v>356</v>
      </c>
      <c r="P7" s="17">
        <v>27238.390985210001</v>
      </c>
      <c r="Q7" s="17">
        <v>35351.841656160002</v>
      </c>
      <c r="R7" s="17">
        <v>31556.612811889998</v>
      </c>
      <c r="S7" s="17">
        <v>31880.9264253</v>
      </c>
      <c r="T7" s="17">
        <v>32912.336344429998</v>
      </c>
      <c r="AI7" s="100" t="s">
        <v>353</v>
      </c>
      <c r="AJ7" s="17">
        <v>69086.926617009987</v>
      </c>
      <c r="AK7" s="17">
        <v>90156.580917279993</v>
      </c>
      <c r="AL7" s="17">
        <v>99075.702343789992</v>
      </c>
      <c r="AM7" s="17">
        <v>122298.49519546001</v>
      </c>
      <c r="AN7" s="17">
        <v>115930.92730524001</v>
      </c>
    </row>
    <row r="8" spans="1:40" x14ac:dyDescent="0.25">
      <c r="A8" s="16" t="s">
        <v>351</v>
      </c>
      <c r="B8" s="17">
        <v>218847.37498644</v>
      </c>
      <c r="C8" s="17">
        <v>266771.62788098003</v>
      </c>
      <c r="D8" s="17">
        <v>302913.01852111</v>
      </c>
      <c r="E8" s="17">
        <v>350797.70517752995</v>
      </c>
      <c r="F8" s="17">
        <v>346982.10262005002</v>
      </c>
      <c r="O8" s="16" t="s">
        <v>353</v>
      </c>
      <c r="P8" s="17">
        <v>36191.149000620004</v>
      </c>
      <c r="Q8" s="17">
        <v>41083.985111640002</v>
      </c>
      <c r="R8" s="17">
        <v>48177.88059683</v>
      </c>
      <c r="S8" s="17">
        <v>58329.92283950001</v>
      </c>
      <c r="T8" s="17">
        <v>55277.458488589997</v>
      </c>
      <c r="AI8" s="100" t="s">
        <v>351</v>
      </c>
      <c r="AJ8" s="17">
        <v>504670.12805405998</v>
      </c>
      <c r="AK8" s="17">
        <v>569794.27624789998</v>
      </c>
      <c r="AL8" s="17">
        <v>642935.00887478003</v>
      </c>
      <c r="AM8" s="17">
        <v>721580.81721099</v>
      </c>
      <c r="AN8" s="17">
        <v>799352.73704825004</v>
      </c>
    </row>
    <row r="9" spans="1:40" x14ac:dyDescent="0.25">
      <c r="A9" s="16" t="s">
        <v>348</v>
      </c>
      <c r="B9" s="17">
        <v>388.14118658999996</v>
      </c>
      <c r="C9" s="17">
        <v>438.79160200000001</v>
      </c>
      <c r="D9" s="17">
        <v>476.54479600000002</v>
      </c>
      <c r="E9" s="17">
        <v>580.98090265000008</v>
      </c>
      <c r="F9" s="17">
        <v>583.45815345000005</v>
      </c>
      <c r="O9" s="16" t="s">
        <v>351</v>
      </c>
      <c r="P9" s="17">
        <v>285822.75306761998</v>
      </c>
      <c r="Q9" s="17">
        <v>303022.64836692007</v>
      </c>
      <c r="R9" s="17">
        <v>340021.90372458997</v>
      </c>
      <c r="S9" s="17">
        <v>370783.11203345994</v>
      </c>
      <c r="T9" s="17">
        <v>452370.63442820002</v>
      </c>
      <c r="AI9" s="100" t="s">
        <v>348</v>
      </c>
      <c r="AJ9" s="17">
        <v>572.37010258999999</v>
      </c>
      <c r="AK9" s="17">
        <v>655.25656200000003</v>
      </c>
      <c r="AL9" s="17">
        <v>794.33484499999997</v>
      </c>
      <c r="AM9" s="17">
        <v>833.80168764999996</v>
      </c>
      <c r="AN9" s="17">
        <v>881.72822545000008</v>
      </c>
    </row>
    <row r="10" spans="1:40" x14ac:dyDescent="0.25">
      <c r="A10" s="16" t="s">
        <v>347</v>
      </c>
      <c r="B10" s="17">
        <v>13674.114949659999</v>
      </c>
      <c r="C10" s="17">
        <v>13372.293348460002</v>
      </c>
      <c r="D10" s="17">
        <v>14247.688259000004</v>
      </c>
      <c r="E10" s="17">
        <v>13134.17443632</v>
      </c>
      <c r="F10" s="17">
        <v>16447.61074457</v>
      </c>
      <c r="O10" s="16" t="s">
        <v>348</v>
      </c>
      <c r="P10" s="17">
        <v>184.228916</v>
      </c>
      <c r="Q10" s="17">
        <v>216.46495999999999</v>
      </c>
      <c r="R10" s="17">
        <v>317.79004900000001</v>
      </c>
      <c r="S10" s="17">
        <v>252.820785</v>
      </c>
      <c r="T10" s="17">
        <v>298.27007200000003</v>
      </c>
      <c r="AI10" s="100" t="s">
        <v>347</v>
      </c>
      <c r="AJ10" s="17">
        <v>28337.35552664</v>
      </c>
      <c r="AK10" s="17">
        <v>27934.790485630001</v>
      </c>
      <c r="AL10" s="17">
        <v>37776.317795970004</v>
      </c>
      <c r="AM10" s="17">
        <v>31117.593307340001</v>
      </c>
      <c r="AN10" s="17">
        <v>40166.171732690003</v>
      </c>
    </row>
    <row r="11" spans="1:40" x14ac:dyDescent="0.25">
      <c r="A11" s="16" t="s">
        <v>345</v>
      </c>
      <c r="B11" s="17">
        <v>21362.254150329998</v>
      </c>
      <c r="C11" s="17">
        <v>19647.10470503</v>
      </c>
      <c r="D11" s="17">
        <v>20393.460614220003</v>
      </c>
      <c r="E11" s="17">
        <v>24162.85552375</v>
      </c>
      <c r="F11" s="17">
        <v>25073.710214999999</v>
      </c>
      <c r="O11" s="16" t="s">
        <v>347</v>
      </c>
      <c r="P11" s="17">
        <v>14663.240576979999</v>
      </c>
      <c r="Q11" s="17">
        <v>14562.497137169999</v>
      </c>
      <c r="R11" s="17">
        <v>23528.629536970002</v>
      </c>
      <c r="S11" s="17">
        <v>17983.41887102</v>
      </c>
      <c r="T11" s="17">
        <v>23718.560988120003</v>
      </c>
      <c r="AI11" s="100" t="s">
        <v>345</v>
      </c>
      <c r="AJ11" s="17">
        <v>41846.920349550004</v>
      </c>
      <c r="AK11" s="17">
        <v>41581.058042010001</v>
      </c>
      <c r="AL11" s="17">
        <v>44346.402927790004</v>
      </c>
      <c r="AM11" s="17">
        <v>46986.124862680001</v>
      </c>
      <c r="AN11" s="17">
        <v>51917.321085570002</v>
      </c>
    </row>
    <row r="12" spans="1:40" x14ac:dyDescent="0.25">
      <c r="A12" s="16" t="s">
        <v>343</v>
      </c>
      <c r="B12" s="17">
        <v>6109.7051494999996</v>
      </c>
      <c r="C12" s="17">
        <v>7139.2097114999997</v>
      </c>
      <c r="D12" s="17">
        <v>8858.9497709999978</v>
      </c>
      <c r="E12" s="17">
        <v>9598.7675179199996</v>
      </c>
      <c r="F12" s="17">
        <v>10844.101850290001</v>
      </c>
      <c r="O12" s="16" t="s">
        <v>345</v>
      </c>
      <c r="P12" s="17">
        <v>20484.666199220002</v>
      </c>
      <c r="Q12" s="17">
        <v>21933.953336980005</v>
      </c>
      <c r="R12" s="17">
        <v>23952.942313569998</v>
      </c>
      <c r="S12" s="17">
        <v>22823.26933893</v>
      </c>
      <c r="T12" s="17">
        <v>26843.610870569999</v>
      </c>
      <c r="AI12" s="100" t="s">
        <v>343</v>
      </c>
      <c r="AJ12" s="17">
        <v>13122.470012899999</v>
      </c>
      <c r="AK12" s="17">
        <v>16386.131007069998</v>
      </c>
      <c r="AL12" s="17">
        <v>18339.678704560003</v>
      </c>
      <c r="AM12" s="17">
        <v>21428.9896056</v>
      </c>
      <c r="AN12" s="17">
        <v>23338.802906500001</v>
      </c>
    </row>
    <row r="13" spans="1:40" x14ac:dyDescent="0.25">
      <c r="A13" s="16" t="s">
        <v>340</v>
      </c>
      <c r="B13" s="17">
        <v>41227.042052830002</v>
      </c>
      <c r="C13" s="17">
        <v>43816.424245670001</v>
      </c>
      <c r="D13" s="17">
        <v>78150.784406830004</v>
      </c>
      <c r="E13" s="17">
        <v>85354.010515610003</v>
      </c>
      <c r="F13" s="17">
        <v>81991.999582770004</v>
      </c>
      <c r="O13" s="16" t="s">
        <v>343</v>
      </c>
      <c r="P13" s="17">
        <v>7012.7648634000006</v>
      </c>
      <c r="Q13" s="17">
        <v>9246.9212955700023</v>
      </c>
      <c r="R13" s="17">
        <v>9480.7289335599999</v>
      </c>
      <c r="S13" s="17">
        <v>11830.22208768</v>
      </c>
      <c r="T13" s="17">
        <v>12494.701056209999</v>
      </c>
      <c r="AI13" s="100" t="s">
        <v>340</v>
      </c>
      <c r="AJ13" s="17">
        <v>84315.081735589993</v>
      </c>
      <c r="AK13" s="17">
        <v>114559.01747948</v>
      </c>
      <c r="AL13" s="17">
        <v>158703.81869964002</v>
      </c>
      <c r="AM13" s="17">
        <v>171280.38373911</v>
      </c>
      <c r="AN13" s="17">
        <v>184026.15563650001</v>
      </c>
    </row>
    <row r="14" spans="1:40" x14ac:dyDescent="0.25">
      <c r="A14" s="16" t="s">
        <v>338</v>
      </c>
      <c r="B14" s="17">
        <v>253.49375000000001</v>
      </c>
      <c r="C14" s="17">
        <v>0</v>
      </c>
      <c r="D14" s="17">
        <v>0</v>
      </c>
      <c r="E14" s="17">
        <v>7.5087815999999998</v>
      </c>
      <c r="F14" s="17">
        <v>7.8075333099999993</v>
      </c>
      <c r="O14" s="16" t="s">
        <v>340</v>
      </c>
      <c r="P14" s="17">
        <v>43088.039682760005</v>
      </c>
      <c r="Q14" s="17">
        <v>70742.593233809996</v>
      </c>
      <c r="R14" s="17">
        <v>80553.03429281</v>
      </c>
      <c r="S14" s="17">
        <v>85926.373223500006</v>
      </c>
      <c r="T14" s="17">
        <v>102034.15605373</v>
      </c>
      <c r="AI14" s="100" t="s">
        <v>338</v>
      </c>
      <c r="AJ14" s="17">
        <v>380.125</v>
      </c>
      <c r="AK14" s="17">
        <v>0</v>
      </c>
      <c r="AL14" s="17">
        <v>0</v>
      </c>
      <c r="AM14" s="17">
        <v>17.503960360000001</v>
      </c>
      <c r="AN14" s="17">
        <v>0</v>
      </c>
    </row>
    <row r="15" spans="1:40" x14ac:dyDescent="0.25">
      <c r="A15" s="16" t="s">
        <v>335</v>
      </c>
      <c r="B15" s="17">
        <v>3811.6035559000002</v>
      </c>
      <c r="C15" s="17">
        <v>3875.6879813200003</v>
      </c>
      <c r="D15" s="17">
        <v>3811.1167075799999</v>
      </c>
      <c r="E15" s="17">
        <v>3932.8477210300002</v>
      </c>
      <c r="F15" s="17">
        <v>4231.3281379</v>
      </c>
      <c r="O15" s="16" t="s">
        <v>338</v>
      </c>
      <c r="P15" s="17">
        <v>126.63124999999999</v>
      </c>
      <c r="Q15" s="17">
        <v>0</v>
      </c>
      <c r="R15" s="17">
        <v>0</v>
      </c>
      <c r="S15" s="17">
        <v>9.9951787600000017</v>
      </c>
      <c r="T15" s="17">
        <v>-7.8075333099999984</v>
      </c>
      <c r="AI15" s="100" t="s">
        <v>335</v>
      </c>
      <c r="AJ15" s="17">
        <v>4012.7914899000002</v>
      </c>
      <c r="AK15" s="17">
        <v>4076.4377233200003</v>
      </c>
      <c r="AL15" s="17">
        <v>4098.0576595800003</v>
      </c>
      <c r="AM15" s="17">
        <v>4254.6152270299999</v>
      </c>
      <c r="AN15" s="17">
        <v>4467.5150328999998</v>
      </c>
    </row>
    <row r="16" spans="1:40" x14ac:dyDescent="0.25">
      <c r="A16" s="16" t="s">
        <v>332</v>
      </c>
      <c r="B16" s="17">
        <v>17097.926395369999</v>
      </c>
      <c r="C16" s="17">
        <v>18381.243742580002</v>
      </c>
      <c r="D16" s="17">
        <v>23767.46757234</v>
      </c>
      <c r="E16" s="17">
        <v>21887.845856859996</v>
      </c>
      <c r="F16" s="17">
        <v>21615.009178940003</v>
      </c>
      <c r="O16" s="16" t="s">
        <v>335</v>
      </c>
      <c r="P16" s="17">
        <v>201.18793400000001</v>
      </c>
      <c r="Q16" s="17">
        <v>200.749742</v>
      </c>
      <c r="R16" s="17">
        <v>286.94095199999998</v>
      </c>
      <c r="S16" s="17">
        <v>321.76750600000003</v>
      </c>
      <c r="T16" s="17">
        <v>236.18689499999999</v>
      </c>
      <c r="AI16" s="100" t="s">
        <v>332</v>
      </c>
      <c r="AJ16" s="17">
        <v>130000.30442319</v>
      </c>
      <c r="AK16" s="17">
        <v>145894.06940695</v>
      </c>
      <c r="AL16" s="17">
        <v>156516.87905771</v>
      </c>
      <c r="AM16" s="17">
        <v>164034.19409243</v>
      </c>
      <c r="AN16" s="17">
        <v>171522.63855968</v>
      </c>
    </row>
    <row r="17" spans="1:40" x14ac:dyDescent="0.25">
      <c r="A17" s="16" t="s">
        <v>329</v>
      </c>
      <c r="B17" s="17">
        <v>27.188465000000001</v>
      </c>
      <c r="C17" s="17">
        <v>57.033702379999994</v>
      </c>
      <c r="D17" s="17">
        <v>31.439330000000002</v>
      </c>
      <c r="E17" s="17">
        <v>31.618254</v>
      </c>
      <c r="F17" s="17">
        <v>206.15999199999999</v>
      </c>
      <c r="O17" s="16" t="s">
        <v>332</v>
      </c>
      <c r="P17" s="17">
        <v>112902.37802782001</v>
      </c>
      <c r="Q17" s="17">
        <v>127512.82566437</v>
      </c>
      <c r="R17" s="17">
        <v>132749.41148536999</v>
      </c>
      <c r="S17" s="17">
        <v>142146.34823557001</v>
      </c>
      <c r="T17" s="17">
        <v>149907.62938074002</v>
      </c>
      <c r="AI17" s="100" t="s">
        <v>329</v>
      </c>
      <c r="AJ17" s="17">
        <v>142.26474200000001</v>
      </c>
      <c r="AK17" s="17">
        <v>148.10513738</v>
      </c>
      <c r="AL17" s="17">
        <v>161.99077299999999</v>
      </c>
      <c r="AM17" s="17">
        <v>1284.3692679999999</v>
      </c>
      <c r="AN17" s="17">
        <v>1671.6345409999999</v>
      </c>
    </row>
    <row r="18" spans="1:40" x14ac:dyDescent="0.25">
      <c r="A18" s="16" t="s">
        <v>325</v>
      </c>
      <c r="B18" s="17">
        <v>182.73097208000002</v>
      </c>
      <c r="C18" s="17">
        <v>73.237346150000008</v>
      </c>
      <c r="D18" s="17">
        <v>319.54120218999998</v>
      </c>
      <c r="E18" s="17">
        <v>412.91955871999994</v>
      </c>
      <c r="F18" s="17">
        <v>365.21795830999991</v>
      </c>
      <c r="O18" s="16" t="s">
        <v>329</v>
      </c>
      <c r="P18" s="17">
        <v>115.076277</v>
      </c>
      <c r="Q18" s="17">
        <v>91.071434999999994</v>
      </c>
      <c r="R18" s="17">
        <v>130.55144300000001</v>
      </c>
      <c r="S18" s="17">
        <v>1252.7510139999999</v>
      </c>
      <c r="T18" s="17">
        <v>1465.474549</v>
      </c>
      <c r="AI18" s="100" t="s">
        <v>325</v>
      </c>
      <c r="AJ18" s="17">
        <v>229.23205183000002</v>
      </c>
      <c r="AK18" s="17">
        <v>590.82573366999998</v>
      </c>
      <c r="AL18" s="17">
        <v>362.0144267</v>
      </c>
      <c r="AM18" s="17">
        <v>507.79568798000003</v>
      </c>
      <c r="AN18" s="17">
        <v>531.52057820999994</v>
      </c>
    </row>
    <row r="19" spans="1:40" x14ac:dyDescent="0.25">
      <c r="A19" s="16" t="s">
        <v>378</v>
      </c>
      <c r="B19" s="17">
        <v>33922.846315790004</v>
      </c>
      <c r="C19" s="17">
        <v>27495.4147318</v>
      </c>
      <c r="D19" s="17">
        <v>4282.95871902</v>
      </c>
      <c r="E19" s="17">
        <v>2424.2124913299999</v>
      </c>
      <c r="F19" s="17">
        <v>0</v>
      </c>
      <c r="O19" s="16" t="s">
        <v>325</v>
      </c>
      <c r="P19" s="17">
        <v>46.501079750000002</v>
      </c>
      <c r="Q19" s="17">
        <v>517.58838752000008</v>
      </c>
      <c r="R19" s="17">
        <v>42.473224510000009</v>
      </c>
      <c r="S19" s="17">
        <v>94.876129259999985</v>
      </c>
      <c r="T19" s="17">
        <v>166.3026199</v>
      </c>
      <c r="AI19" s="100" t="s">
        <v>378</v>
      </c>
      <c r="AJ19" s="17">
        <v>39312.693528600001</v>
      </c>
      <c r="AK19" s="17">
        <v>32525.916114930002</v>
      </c>
      <c r="AL19" s="17">
        <v>6579.8367370799997</v>
      </c>
      <c r="AM19" s="17">
        <v>3545.5188193499998</v>
      </c>
      <c r="AN19" s="17">
        <v>0</v>
      </c>
    </row>
    <row r="20" spans="1:40" x14ac:dyDescent="0.25">
      <c r="A20" s="16" t="s">
        <v>323</v>
      </c>
      <c r="B20" s="17">
        <v>0</v>
      </c>
      <c r="C20" s="17">
        <v>0</v>
      </c>
      <c r="D20" s="17">
        <v>0</v>
      </c>
      <c r="E20" s="17">
        <v>0</v>
      </c>
      <c r="F20" s="17">
        <v>21982.625872019995</v>
      </c>
      <c r="O20" s="16" t="s">
        <v>378</v>
      </c>
      <c r="P20" s="17">
        <v>5389.8472128099993</v>
      </c>
      <c r="Q20" s="17">
        <v>5030.5013831300002</v>
      </c>
      <c r="R20" s="17">
        <v>2296.8780180600002</v>
      </c>
      <c r="S20" s="17">
        <v>1121.3063280199997</v>
      </c>
      <c r="T20" s="17">
        <v>0</v>
      </c>
      <c r="AI20" s="100" t="s">
        <v>323</v>
      </c>
      <c r="AJ20" s="17">
        <v>0</v>
      </c>
      <c r="AK20" s="17">
        <v>0</v>
      </c>
      <c r="AL20" s="17">
        <v>0</v>
      </c>
      <c r="AM20" s="17">
        <v>10092.481957700002</v>
      </c>
      <c r="AN20" s="17">
        <v>26057.308037310002</v>
      </c>
    </row>
    <row r="21" spans="1:40" x14ac:dyDescent="0.25">
      <c r="A21" s="16" t="s">
        <v>320</v>
      </c>
      <c r="B21" s="17">
        <v>15635.404209</v>
      </c>
      <c r="C21" s="17">
        <v>15907.816041260001</v>
      </c>
      <c r="D21" s="17">
        <v>17789.19857642</v>
      </c>
      <c r="E21" s="17">
        <v>19764.6390985</v>
      </c>
      <c r="F21" s="17">
        <v>17530.940777020001</v>
      </c>
      <c r="O21" s="16" t="s">
        <v>323</v>
      </c>
      <c r="P21" s="17">
        <v>0</v>
      </c>
      <c r="Q21" s="17">
        <v>0</v>
      </c>
      <c r="R21" s="17">
        <v>0</v>
      </c>
      <c r="S21" s="17">
        <v>10092.481957700002</v>
      </c>
      <c r="T21" s="17">
        <v>4074.6821652899994</v>
      </c>
      <c r="AI21" s="100" t="s">
        <v>320</v>
      </c>
      <c r="AJ21" s="17">
        <v>32699.809414299998</v>
      </c>
      <c r="AK21" s="17">
        <v>33257.598980069997</v>
      </c>
      <c r="AL21" s="17">
        <v>36462.38892515</v>
      </c>
      <c r="AM21" s="17">
        <v>38799.024274510004</v>
      </c>
      <c r="AN21" s="17">
        <v>35723.538472190005</v>
      </c>
    </row>
    <row r="22" spans="1:40" x14ac:dyDescent="0.25">
      <c r="A22" s="16" t="s">
        <v>317</v>
      </c>
      <c r="B22" s="17">
        <v>9659.8130369999999</v>
      </c>
      <c r="C22" s="17">
        <v>10811.798319</v>
      </c>
      <c r="D22" s="17">
        <v>12039.385804</v>
      </c>
      <c r="E22" s="17">
        <v>11122.864191470002</v>
      </c>
      <c r="F22" s="17">
        <v>11506.513037000001</v>
      </c>
      <c r="O22" s="16" t="s">
        <v>320</v>
      </c>
      <c r="P22" s="17">
        <v>17064.405205299998</v>
      </c>
      <c r="Q22" s="17">
        <v>17349.78293881</v>
      </c>
      <c r="R22" s="17">
        <v>18673.190348730001</v>
      </c>
      <c r="S22" s="17">
        <v>19034.385176010001</v>
      </c>
      <c r="T22" s="17">
        <v>18192.597695169999</v>
      </c>
      <c r="AI22" s="100" t="s">
        <v>317</v>
      </c>
      <c r="AJ22" s="17">
        <v>19099.264592</v>
      </c>
      <c r="AK22" s="17">
        <v>20998.864575259999</v>
      </c>
      <c r="AL22" s="17">
        <v>23022.399346180002</v>
      </c>
      <c r="AM22" s="17">
        <v>21871.664277029999</v>
      </c>
      <c r="AN22" s="17">
        <v>22265.203641209999</v>
      </c>
    </row>
    <row r="23" spans="1:40" x14ac:dyDescent="0.25">
      <c r="A23" s="16" t="s">
        <v>313</v>
      </c>
      <c r="B23" s="17">
        <v>328783.07864774001</v>
      </c>
      <c r="C23" s="17">
        <v>347361.35445430991</v>
      </c>
      <c r="D23" s="17">
        <v>379052.56563494995</v>
      </c>
      <c r="E23" s="17">
        <v>389416.29201996</v>
      </c>
      <c r="F23" s="17">
        <v>396870.47301721998</v>
      </c>
      <c r="O23" s="16" t="s">
        <v>317</v>
      </c>
      <c r="P23" s="17">
        <v>9439.4515549999996</v>
      </c>
      <c r="Q23" s="17">
        <v>10187.066256260001</v>
      </c>
      <c r="R23" s="17">
        <v>10983.013542180001</v>
      </c>
      <c r="S23" s="17">
        <v>10748.80008556</v>
      </c>
      <c r="T23" s="17">
        <v>10758.69060421</v>
      </c>
      <c r="AI23" s="100" t="s">
        <v>313</v>
      </c>
      <c r="AJ23" s="17">
        <v>649943.04758188</v>
      </c>
      <c r="AK23" s="17">
        <v>700495.12117728998</v>
      </c>
      <c r="AL23" s="17">
        <v>739878.65269657993</v>
      </c>
      <c r="AM23" s="17">
        <v>755084.79666831996</v>
      </c>
      <c r="AN23" s="17">
        <v>779416.34652843</v>
      </c>
    </row>
    <row r="24" spans="1:40" x14ac:dyDescent="0.25">
      <c r="A24" s="16" t="s">
        <v>310</v>
      </c>
      <c r="B24" s="17">
        <v>300119.54432450002</v>
      </c>
      <c r="C24" s="17">
        <v>298365.13773629005</v>
      </c>
      <c r="D24" s="17">
        <v>319096.25535761006</v>
      </c>
      <c r="E24" s="17">
        <v>340623.29952374008</v>
      </c>
      <c r="F24" s="17">
        <v>337968.77268842002</v>
      </c>
      <c r="O24" s="16" t="s">
        <v>313</v>
      </c>
      <c r="P24" s="17">
        <v>321159.96893413994</v>
      </c>
      <c r="Q24" s="17">
        <v>353133.76672297996</v>
      </c>
      <c r="R24" s="17">
        <v>360826.08706162998</v>
      </c>
      <c r="S24" s="17">
        <v>365668.50464835996</v>
      </c>
      <c r="T24" s="17">
        <v>382545.87351121003</v>
      </c>
      <c r="AI24" s="100" t="s">
        <v>310</v>
      </c>
      <c r="AJ24" s="17">
        <v>616854.52754621999</v>
      </c>
      <c r="AK24" s="17">
        <v>635579.71482727001</v>
      </c>
      <c r="AL24" s="17">
        <v>674479.61027582991</v>
      </c>
      <c r="AM24" s="17">
        <v>698263.06505207997</v>
      </c>
      <c r="AN24" s="17">
        <v>708203.65607560996</v>
      </c>
    </row>
    <row r="25" spans="1:40" x14ac:dyDescent="0.25">
      <c r="A25" s="16" t="s">
        <v>306</v>
      </c>
      <c r="B25" s="17">
        <v>11905.233054929999</v>
      </c>
      <c r="C25" s="17">
        <v>12059.251794919997</v>
      </c>
      <c r="D25" s="17">
        <v>12240.761473680001</v>
      </c>
      <c r="E25" s="17">
        <v>12206.18528385</v>
      </c>
      <c r="F25" s="17">
        <v>13857.94142252</v>
      </c>
      <c r="O25" s="16" t="s">
        <v>310</v>
      </c>
      <c r="P25" s="17">
        <v>316734.98322171997</v>
      </c>
      <c r="Q25" s="17">
        <v>337214.57709098002</v>
      </c>
      <c r="R25" s="17">
        <v>355383.35491821996</v>
      </c>
      <c r="S25" s="17">
        <v>357639.76552833995</v>
      </c>
      <c r="T25" s="17">
        <v>370234.88338719</v>
      </c>
      <c r="AI25" s="100" t="s">
        <v>306</v>
      </c>
      <c r="AJ25" s="17">
        <v>21619.001416130002</v>
      </c>
      <c r="AK25" s="17">
        <v>21480.696730220003</v>
      </c>
      <c r="AL25" s="17">
        <v>22629.90245704</v>
      </c>
      <c r="AM25" s="17">
        <v>22140.487212849999</v>
      </c>
      <c r="AN25" s="17">
        <v>19426.11348924</v>
      </c>
    </row>
    <row r="26" spans="1:40" x14ac:dyDescent="0.25">
      <c r="A26" s="16" t="s">
        <v>303</v>
      </c>
      <c r="B26" s="17">
        <v>84172.307785919998</v>
      </c>
      <c r="C26" s="17">
        <v>94469.687503010005</v>
      </c>
      <c r="D26" s="17">
        <v>116228.85421149</v>
      </c>
      <c r="E26" s="17">
        <v>114148.99142661999</v>
      </c>
      <c r="F26" s="17">
        <v>100884.28995756</v>
      </c>
      <c r="O26" s="16" t="s">
        <v>306</v>
      </c>
      <c r="P26" s="17">
        <v>9713.7683612000001</v>
      </c>
      <c r="Q26" s="17">
        <v>9421.4449353</v>
      </c>
      <c r="R26" s="17">
        <v>10389.140983360001</v>
      </c>
      <c r="S26" s="17">
        <v>9934.3019289999993</v>
      </c>
      <c r="T26" s="17">
        <v>5568.1720667200007</v>
      </c>
      <c r="AI26" s="100" t="s">
        <v>303</v>
      </c>
      <c r="AJ26" s="17">
        <v>174218.75940345999</v>
      </c>
      <c r="AK26" s="17">
        <v>203109.27078267999</v>
      </c>
      <c r="AL26" s="17">
        <v>232686.85913589998</v>
      </c>
      <c r="AM26" s="17">
        <v>221634.16650590999</v>
      </c>
      <c r="AN26" s="17">
        <v>201774.01690817002</v>
      </c>
    </row>
    <row r="27" spans="1:40" x14ac:dyDescent="0.25">
      <c r="A27" s="16" t="s">
        <v>298</v>
      </c>
      <c r="B27" s="17">
        <v>106387.444479</v>
      </c>
      <c r="C27" s="17">
        <v>134563.973975</v>
      </c>
      <c r="D27" s="17">
        <v>147507.82679200001</v>
      </c>
      <c r="E27" s="17">
        <v>157886.25043499999</v>
      </c>
      <c r="F27" s="17">
        <v>149461.95373499999</v>
      </c>
      <c r="O27" s="16" t="s">
        <v>303</v>
      </c>
      <c r="P27" s="17">
        <v>90046.451617539991</v>
      </c>
      <c r="Q27" s="17">
        <v>108639.58327967</v>
      </c>
      <c r="R27" s="17">
        <v>116458.00492441001</v>
      </c>
      <c r="S27" s="17">
        <v>107485.17507929</v>
      </c>
      <c r="T27" s="17">
        <v>100889.72695061</v>
      </c>
      <c r="AI27" s="100" t="s">
        <v>298</v>
      </c>
      <c r="AJ27" s="17">
        <v>225111.266148</v>
      </c>
      <c r="AK27" s="17">
        <v>264915.977297</v>
      </c>
      <c r="AL27" s="17">
        <v>285475.81172900001</v>
      </c>
      <c r="AM27" s="17">
        <v>308191.72215699998</v>
      </c>
      <c r="AN27" s="17">
        <v>313019.26759599999</v>
      </c>
    </row>
    <row r="28" spans="1:40" x14ac:dyDescent="0.25">
      <c r="A28" s="16" t="s">
        <v>297</v>
      </c>
      <c r="B28" s="17">
        <v>100756.04554629001</v>
      </c>
      <c r="C28" s="17">
        <v>89564.08396335</v>
      </c>
      <c r="D28" s="17">
        <v>97643.651955640002</v>
      </c>
      <c r="E28" s="17">
        <v>106546.59245837</v>
      </c>
      <c r="F28" s="17">
        <v>110566.12064502003</v>
      </c>
      <c r="O28" s="16" t="s">
        <v>298</v>
      </c>
      <c r="P28" s="17">
        <v>118723.821669</v>
      </c>
      <c r="Q28" s="17">
        <v>130352.003322</v>
      </c>
      <c r="R28" s="17">
        <v>137967.984937</v>
      </c>
      <c r="S28" s="17">
        <v>150305.47172199999</v>
      </c>
      <c r="T28" s="17">
        <v>163557.313861</v>
      </c>
      <c r="AI28" s="100" t="s">
        <v>297</v>
      </c>
      <c r="AJ28" s="17">
        <v>179790.05327167999</v>
      </c>
      <c r="AK28" s="17">
        <v>192911.13440660998</v>
      </c>
      <c r="AL28" s="17">
        <v>187168.58479152</v>
      </c>
      <c r="AM28" s="17">
        <v>202067.70770708998</v>
      </c>
      <c r="AN28" s="17">
        <v>204646.54408103001</v>
      </c>
    </row>
    <row r="29" spans="1:40" x14ac:dyDescent="0.25">
      <c r="A29" s="16" t="s">
        <v>295</v>
      </c>
      <c r="B29" s="17">
        <v>14131.96965626</v>
      </c>
      <c r="C29" s="17">
        <v>17827.071981659999</v>
      </c>
      <c r="D29" s="17">
        <v>16072.543493059997</v>
      </c>
      <c r="E29" s="17">
        <v>16389.990712589999</v>
      </c>
      <c r="F29" s="17">
        <v>16684.386127439997</v>
      </c>
      <c r="O29" s="16" t="s">
        <v>297</v>
      </c>
      <c r="P29" s="17">
        <v>79034.007725389994</v>
      </c>
      <c r="Q29" s="17">
        <v>103347.05044326</v>
      </c>
      <c r="R29" s="17">
        <v>89524.932835880012</v>
      </c>
      <c r="S29" s="17">
        <v>95521.115248720002</v>
      </c>
      <c r="T29" s="17">
        <v>94080.423436009994</v>
      </c>
      <c r="AI29" s="100" t="s">
        <v>295</v>
      </c>
      <c r="AJ29" s="17">
        <v>28315.572568520001</v>
      </c>
      <c r="AK29" s="17">
        <v>32154.3238298</v>
      </c>
      <c r="AL29" s="17">
        <v>32320.616025580002</v>
      </c>
      <c r="AM29" s="17">
        <v>32658.855562389999</v>
      </c>
      <c r="AN29" s="17">
        <v>34271.6430071</v>
      </c>
    </row>
    <row r="30" spans="1:40" x14ac:dyDescent="0.25">
      <c r="A30" s="16" t="s">
        <v>294</v>
      </c>
      <c r="B30" s="17">
        <v>3461.2781301700002</v>
      </c>
      <c r="C30" s="17">
        <v>4703.3696987600006</v>
      </c>
      <c r="D30" s="17">
        <v>5029.4147137500004</v>
      </c>
      <c r="E30" s="17">
        <v>4642.0482499999998</v>
      </c>
      <c r="F30" s="17">
        <v>5059.9267810699994</v>
      </c>
      <c r="O30" s="16" t="s">
        <v>295</v>
      </c>
      <c r="P30" s="17">
        <v>14183.602912260003</v>
      </c>
      <c r="Q30" s="17">
        <v>14327.25184814</v>
      </c>
      <c r="R30" s="17">
        <v>16248.07253252</v>
      </c>
      <c r="S30" s="17">
        <v>16268.864849800002</v>
      </c>
      <c r="T30" s="17">
        <v>17587.256879659999</v>
      </c>
      <c r="AI30" s="100" t="s">
        <v>294</v>
      </c>
      <c r="AJ30" s="17">
        <v>7977.6261770200008</v>
      </c>
      <c r="AK30" s="17">
        <v>10940.595500610001</v>
      </c>
      <c r="AL30" s="17">
        <v>11079.304507209999</v>
      </c>
      <c r="AM30" s="17">
        <v>10517.57601975</v>
      </c>
      <c r="AN30" s="17">
        <v>11338.37109597</v>
      </c>
    </row>
    <row r="31" spans="1:40" x14ac:dyDescent="0.25">
      <c r="A31" s="16" t="s">
        <v>292</v>
      </c>
      <c r="B31" s="17">
        <v>15943.6710583</v>
      </c>
      <c r="C31" s="17">
        <v>16838.895151150002</v>
      </c>
      <c r="D31" s="17">
        <v>18785.469009860004</v>
      </c>
      <c r="E31" s="17">
        <v>18240.510918299999</v>
      </c>
      <c r="F31" s="17">
        <v>18952.690221820001</v>
      </c>
      <c r="O31" s="16" t="s">
        <v>294</v>
      </c>
      <c r="P31" s="17">
        <v>4516.3480468500002</v>
      </c>
      <c r="Q31" s="17">
        <v>6237.2258018500006</v>
      </c>
      <c r="R31" s="17">
        <v>6049.8897934600009</v>
      </c>
      <c r="S31" s="17">
        <v>5875.5277697499987</v>
      </c>
      <c r="T31" s="17">
        <v>6278.4443148999999</v>
      </c>
      <c r="AI31" s="100" t="s">
        <v>292</v>
      </c>
      <c r="AJ31" s="17">
        <v>31316.91032427</v>
      </c>
      <c r="AK31" s="17">
        <v>33357.891768139998</v>
      </c>
      <c r="AL31" s="17">
        <v>36353.108854629994</v>
      </c>
      <c r="AM31" s="17">
        <v>36059.43711305</v>
      </c>
      <c r="AN31" s="17">
        <v>36901.01117682</v>
      </c>
    </row>
    <row r="32" spans="1:40" x14ac:dyDescent="0.25">
      <c r="A32" s="16" t="s">
        <v>291</v>
      </c>
      <c r="B32" s="17">
        <v>1777.5335518699999</v>
      </c>
      <c r="C32" s="17">
        <v>1498.6297677100001</v>
      </c>
      <c r="D32" s="17">
        <v>1813.0759335499999</v>
      </c>
      <c r="E32" s="17">
        <v>1629.9163471400002</v>
      </c>
      <c r="F32" s="17">
        <v>1660.64094987</v>
      </c>
      <c r="O32" s="16" t="s">
        <v>292</v>
      </c>
      <c r="P32" s="17">
        <v>15373.23926597</v>
      </c>
      <c r="Q32" s="17">
        <v>16518.99661699</v>
      </c>
      <c r="R32" s="17">
        <v>17567.639844770001</v>
      </c>
      <c r="S32" s="17">
        <v>17818.926194750002</v>
      </c>
      <c r="T32" s="17">
        <v>17948.320954999999</v>
      </c>
      <c r="AI32" s="100" t="s">
        <v>291</v>
      </c>
      <c r="AJ32" s="17">
        <v>3556.7429497199996</v>
      </c>
      <c r="AK32" s="17">
        <v>2994.9066857299999</v>
      </c>
      <c r="AL32" s="17">
        <v>3411.1869052900001</v>
      </c>
      <c r="AM32" s="17">
        <v>3721.1110270700001</v>
      </c>
      <c r="AN32" s="17">
        <v>3280.56498956</v>
      </c>
    </row>
    <row r="33" spans="1:40" x14ac:dyDescent="0.25">
      <c r="A33" s="16" t="s">
        <v>289</v>
      </c>
      <c r="B33" s="17">
        <v>837.87767296000015</v>
      </c>
      <c r="C33" s="17">
        <v>1144.21231992</v>
      </c>
      <c r="D33" s="17">
        <v>1498.8605421700001</v>
      </c>
      <c r="E33" s="17">
        <v>1293.3506673499999</v>
      </c>
      <c r="F33" s="17">
        <v>1307.5093307499997</v>
      </c>
      <c r="O33" s="16" t="s">
        <v>291</v>
      </c>
      <c r="P33" s="17">
        <v>1779.2093978500002</v>
      </c>
      <c r="Q33" s="17">
        <v>1496.27691802</v>
      </c>
      <c r="R33" s="17">
        <v>1598.1109717400002</v>
      </c>
      <c r="S33" s="17">
        <v>2091.1946799299999</v>
      </c>
      <c r="T33" s="17">
        <v>1619.92403969</v>
      </c>
      <c r="AI33" s="100" t="s">
        <v>289</v>
      </c>
      <c r="AJ33" s="17">
        <v>1492.7995770499999</v>
      </c>
      <c r="AK33" s="17">
        <v>2561.9622223699998</v>
      </c>
      <c r="AL33" s="17">
        <v>2911.5338892700001</v>
      </c>
      <c r="AM33" s="17">
        <v>2332.0341979499999</v>
      </c>
      <c r="AN33" s="17">
        <v>2711.73635096</v>
      </c>
    </row>
    <row r="34" spans="1:40" x14ac:dyDescent="0.25">
      <c r="A34" s="16" t="s">
        <v>286</v>
      </c>
      <c r="B34" s="17">
        <v>190.2669831</v>
      </c>
      <c r="C34" s="17">
        <v>146.29356926999998</v>
      </c>
      <c r="D34" s="17">
        <v>128.33840225</v>
      </c>
      <c r="E34" s="17">
        <v>136.20793452999999</v>
      </c>
      <c r="F34" s="17">
        <v>150.67372347</v>
      </c>
      <c r="O34" s="16" t="s">
        <v>289</v>
      </c>
      <c r="P34" s="17">
        <v>654.92190409</v>
      </c>
      <c r="Q34" s="17">
        <v>1417.74990245</v>
      </c>
      <c r="R34" s="17">
        <v>1412.6733471</v>
      </c>
      <c r="S34" s="17">
        <v>1038.6835305999998</v>
      </c>
      <c r="T34" s="17">
        <v>1404.2270202100001</v>
      </c>
      <c r="AI34" s="100" t="s">
        <v>286</v>
      </c>
      <c r="AJ34" s="17">
        <v>340.07617843999998</v>
      </c>
      <c r="AK34" s="17">
        <v>303.81986952999995</v>
      </c>
      <c r="AL34" s="17">
        <v>267.14636281000003</v>
      </c>
      <c r="AM34" s="17">
        <v>311.28712010999999</v>
      </c>
      <c r="AN34" s="17">
        <v>288.56538345999996</v>
      </c>
    </row>
    <row r="35" spans="1:40" x14ac:dyDescent="0.25">
      <c r="A35" s="16" t="s">
        <v>283</v>
      </c>
      <c r="B35" s="17">
        <v>8911.7186925699989</v>
      </c>
      <c r="C35" s="17">
        <v>10667.793763799998</v>
      </c>
      <c r="D35" s="17">
        <v>10949.8652717</v>
      </c>
      <c r="E35" s="17">
        <v>11220.49085136</v>
      </c>
      <c r="F35" s="17">
        <v>11003.988652799999</v>
      </c>
      <c r="O35" s="16" t="s">
        <v>286</v>
      </c>
      <c r="P35" s="17">
        <v>149.80919534</v>
      </c>
      <c r="Q35" s="17">
        <v>157.52630026</v>
      </c>
      <c r="R35" s="17">
        <v>138.80796056</v>
      </c>
      <c r="S35" s="17">
        <v>175.07918557999997</v>
      </c>
      <c r="T35" s="17">
        <v>137.89165999000002</v>
      </c>
      <c r="AI35" s="100" t="s">
        <v>283</v>
      </c>
      <c r="AJ35" s="17">
        <v>17628.206628870001</v>
      </c>
      <c r="AK35" s="17">
        <v>18374.075569799999</v>
      </c>
      <c r="AL35" s="17">
        <v>16852.898572099999</v>
      </c>
      <c r="AM35" s="17">
        <v>18259.05553836</v>
      </c>
      <c r="AN35" s="17">
        <v>11003.988652799999</v>
      </c>
    </row>
    <row r="36" spans="1:40" x14ac:dyDescent="0.25">
      <c r="A36" s="16" t="s">
        <v>280</v>
      </c>
      <c r="B36" s="17">
        <v>7729.1351696400006</v>
      </c>
      <c r="C36" s="17">
        <v>7445.2961768199993</v>
      </c>
      <c r="D36" s="17">
        <v>7502.9391125000002</v>
      </c>
      <c r="E36" s="17">
        <v>6689.5947462399999</v>
      </c>
      <c r="F36" s="17">
        <v>6550.8639686999995</v>
      </c>
      <c r="O36" s="16" t="s">
        <v>283</v>
      </c>
      <c r="P36" s="17">
        <v>8716.4879363</v>
      </c>
      <c r="Q36" s="17">
        <v>7706.281806</v>
      </c>
      <c r="R36" s="17">
        <v>5903.0333003999995</v>
      </c>
      <c r="S36" s="17">
        <v>7038.564687</v>
      </c>
      <c r="T36" s="17">
        <v>0</v>
      </c>
      <c r="AI36" s="100" t="s">
        <v>280</v>
      </c>
      <c r="AJ36" s="17">
        <v>14648.573694049999</v>
      </c>
      <c r="AK36" s="17">
        <v>15306.735445320001</v>
      </c>
      <c r="AL36" s="17">
        <v>15707.22617584</v>
      </c>
      <c r="AM36" s="17">
        <v>12331.32595783</v>
      </c>
      <c r="AN36" s="17">
        <v>19761.750260180001</v>
      </c>
    </row>
    <row r="37" spans="1:40" x14ac:dyDescent="0.25">
      <c r="A37" s="16" t="s">
        <v>276</v>
      </c>
      <c r="B37" s="17">
        <v>499.07574176999998</v>
      </c>
      <c r="C37" s="17">
        <v>851.79218835000006</v>
      </c>
      <c r="D37" s="17">
        <v>617.79091963999997</v>
      </c>
      <c r="E37" s="17">
        <v>468.64866339999992</v>
      </c>
      <c r="F37" s="17">
        <v>448.95836744999997</v>
      </c>
      <c r="O37" s="16" t="s">
        <v>280</v>
      </c>
      <c r="P37" s="17">
        <v>6919.4385244100004</v>
      </c>
      <c r="Q37" s="17">
        <v>7861.4392685000003</v>
      </c>
      <c r="R37" s="17">
        <v>8204.2870633399998</v>
      </c>
      <c r="S37" s="17">
        <v>5641.7312115900004</v>
      </c>
      <c r="T37" s="17">
        <v>13210.886291479999</v>
      </c>
      <c r="AI37" s="100" t="s">
        <v>276</v>
      </c>
      <c r="AJ37" s="17">
        <v>896.85660365000001</v>
      </c>
      <c r="AK37" s="17">
        <v>1391.91226979</v>
      </c>
      <c r="AL37" s="17">
        <v>1546.95695015</v>
      </c>
      <c r="AM37" s="17">
        <v>825.10486090999996</v>
      </c>
      <c r="AN37" s="17">
        <v>980.01947789999997</v>
      </c>
    </row>
    <row r="38" spans="1:40" x14ac:dyDescent="0.25">
      <c r="A38" s="16" t="s">
        <v>274</v>
      </c>
      <c r="B38" s="17">
        <v>8.0622500000000006</v>
      </c>
      <c r="C38" s="17">
        <v>39.962059000000004</v>
      </c>
      <c r="D38" s="17">
        <v>22.756208999999998</v>
      </c>
      <c r="E38" s="17">
        <v>35.066400000000002</v>
      </c>
      <c r="F38" s="17">
        <v>42.718649999999997</v>
      </c>
      <c r="O38" s="16" t="s">
        <v>276</v>
      </c>
      <c r="P38" s="17">
        <v>397.78086188000003</v>
      </c>
      <c r="Q38" s="17">
        <v>540.12008144000004</v>
      </c>
      <c r="R38" s="17">
        <v>929.16603051000004</v>
      </c>
      <c r="S38" s="17">
        <v>356.45619750999998</v>
      </c>
      <c r="T38" s="17">
        <v>531.06111045</v>
      </c>
      <c r="AI38" s="100" t="s">
        <v>274</v>
      </c>
      <c r="AJ38" s="17">
        <v>42.638224999999998</v>
      </c>
      <c r="AK38" s="17">
        <v>63.105483</v>
      </c>
      <c r="AL38" s="17">
        <v>62.075747</v>
      </c>
      <c r="AM38" s="17">
        <v>65.433149999999998</v>
      </c>
      <c r="AN38" s="17">
        <v>79.569149999999993</v>
      </c>
    </row>
    <row r="39" spans="1:40" x14ac:dyDescent="0.25">
      <c r="A39" s="16" t="s">
        <v>268</v>
      </c>
      <c r="B39" s="17">
        <v>66305.830911459998</v>
      </c>
      <c r="C39" s="17">
        <v>65758.278267410002</v>
      </c>
      <c r="D39" s="17">
        <v>73112.860132790011</v>
      </c>
      <c r="E39" s="17">
        <v>71133.234102029994</v>
      </c>
      <c r="F39" s="17">
        <v>69209.891542319994</v>
      </c>
      <c r="O39" s="16" t="s">
        <v>274</v>
      </c>
      <c r="P39" s="17">
        <v>34.575975</v>
      </c>
      <c r="Q39" s="17">
        <v>23.143424</v>
      </c>
      <c r="R39" s="17">
        <v>39.319538000000001</v>
      </c>
      <c r="S39" s="17">
        <v>30.36675</v>
      </c>
      <c r="T39" s="17">
        <v>36.850499999999997</v>
      </c>
      <c r="AI39" s="100" t="s">
        <v>268</v>
      </c>
      <c r="AJ39" s="17">
        <v>142225.52349885998</v>
      </c>
      <c r="AK39" s="17">
        <v>148666.09421416</v>
      </c>
      <c r="AL39" s="17">
        <v>158558.84286839003</v>
      </c>
      <c r="AM39" s="17">
        <v>152755.50757712001</v>
      </c>
      <c r="AN39" s="17">
        <v>149017.03619762001</v>
      </c>
    </row>
    <row r="40" spans="1:40" x14ac:dyDescent="0.25">
      <c r="A40" s="16" t="s">
        <v>264</v>
      </c>
      <c r="B40" s="17">
        <v>13151.427454199998</v>
      </c>
      <c r="C40" s="17">
        <v>12207.087208779998</v>
      </c>
      <c r="D40" s="17">
        <v>12854.352271209998</v>
      </c>
      <c r="E40" s="17">
        <v>13007.99265699</v>
      </c>
      <c r="F40" s="17">
        <v>12727.85141445</v>
      </c>
      <c r="O40" s="16" t="s">
        <v>268</v>
      </c>
      <c r="P40" s="17">
        <v>75919.692587400001</v>
      </c>
      <c r="Q40" s="17">
        <v>82907.815946749994</v>
      </c>
      <c r="R40" s="17">
        <v>85445.982735599988</v>
      </c>
      <c r="S40" s="17">
        <v>81622.273475089998</v>
      </c>
      <c r="T40" s="17">
        <v>79807.144655299999</v>
      </c>
      <c r="AI40" s="100" t="s">
        <v>264</v>
      </c>
      <c r="AJ40" s="17">
        <v>26894.334066580002</v>
      </c>
      <c r="AK40" s="17">
        <v>25902.072508630001</v>
      </c>
      <c r="AL40" s="17">
        <v>26985.460388580002</v>
      </c>
      <c r="AM40" s="17">
        <v>26432.404781519999</v>
      </c>
      <c r="AN40" s="17">
        <v>26350.612761249999</v>
      </c>
    </row>
    <row r="41" spans="1:40" x14ac:dyDescent="0.25">
      <c r="A41" s="16" t="s">
        <v>260</v>
      </c>
      <c r="B41" s="17">
        <v>1594.4057789799999</v>
      </c>
      <c r="C41" s="17">
        <v>1347.1106206099996</v>
      </c>
      <c r="D41" s="17">
        <v>1659.3535268799999</v>
      </c>
      <c r="E41" s="17">
        <v>1849.6748959700001</v>
      </c>
      <c r="F41" s="17">
        <v>1834.6992818900001</v>
      </c>
      <c r="O41" s="16" t="s">
        <v>264</v>
      </c>
      <c r="P41" s="17">
        <v>13742.906612379998</v>
      </c>
      <c r="Q41" s="17">
        <v>13694.985299849999</v>
      </c>
      <c r="R41" s="17">
        <v>14131.108117369999</v>
      </c>
      <c r="S41" s="17">
        <v>13424.412124530001</v>
      </c>
      <c r="T41" s="17">
        <v>13622.7613468</v>
      </c>
      <c r="AI41" s="100" t="s">
        <v>260</v>
      </c>
      <c r="AJ41" s="17">
        <v>3067.2185228600001</v>
      </c>
      <c r="AK41" s="17">
        <v>2700.8395331799998</v>
      </c>
      <c r="AL41" s="17">
        <v>3250.2942336900001</v>
      </c>
      <c r="AM41" s="17">
        <v>3673.34657182</v>
      </c>
      <c r="AN41" s="17">
        <v>3593.5860779</v>
      </c>
    </row>
    <row r="42" spans="1:40" x14ac:dyDescent="0.25">
      <c r="A42" s="16" t="s">
        <v>258</v>
      </c>
      <c r="B42" s="17">
        <v>91.604710499999996</v>
      </c>
      <c r="C42" s="17">
        <v>77.894022000000007</v>
      </c>
      <c r="D42" s="17">
        <v>94.902452430000011</v>
      </c>
      <c r="E42" s="17">
        <v>101.266209</v>
      </c>
      <c r="F42" s="17">
        <v>99.500307000000006</v>
      </c>
      <c r="O42" s="16" t="s">
        <v>260</v>
      </c>
      <c r="P42" s="17">
        <v>1472.81274388</v>
      </c>
      <c r="Q42" s="17">
        <v>1353.7289125699999</v>
      </c>
      <c r="R42" s="17">
        <v>1590.9407068100002</v>
      </c>
      <c r="S42" s="17">
        <v>1823.6716758499999</v>
      </c>
      <c r="T42" s="17">
        <v>1758.8867960099999</v>
      </c>
      <c r="AI42" s="100" t="s">
        <v>258</v>
      </c>
      <c r="AJ42" s="17">
        <v>175.87881300000001</v>
      </c>
      <c r="AK42" s="17">
        <v>156.3216975</v>
      </c>
      <c r="AL42" s="17">
        <v>184.15137393000001</v>
      </c>
      <c r="AM42" s="17">
        <v>198.9563115</v>
      </c>
      <c r="AN42" s="17">
        <v>192.601416</v>
      </c>
    </row>
    <row r="43" spans="1:40" x14ac:dyDescent="0.25">
      <c r="A43" s="16" t="s">
        <v>256</v>
      </c>
      <c r="B43" s="17">
        <v>804.37477165999996</v>
      </c>
      <c r="C43" s="17">
        <v>800.22536600000001</v>
      </c>
      <c r="D43" s="17">
        <v>825.98918174999994</v>
      </c>
      <c r="E43" s="17">
        <v>883.16660000000002</v>
      </c>
      <c r="F43" s="17">
        <v>834.19378900000004</v>
      </c>
      <c r="O43" s="16" t="s">
        <v>258</v>
      </c>
      <c r="P43" s="17">
        <v>84.274102499999998</v>
      </c>
      <c r="Q43" s="17">
        <v>78.427675500000007</v>
      </c>
      <c r="R43" s="17">
        <v>89.248921499999994</v>
      </c>
      <c r="S43" s="17">
        <v>97.690102499999995</v>
      </c>
      <c r="T43" s="17">
        <v>93.101108999999994</v>
      </c>
      <c r="AI43" s="100" t="s">
        <v>256</v>
      </c>
      <c r="AJ43" s="17">
        <v>1610.18101916</v>
      </c>
      <c r="AK43" s="17">
        <v>1610.8364325</v>
      </c>
      <c r="AL43" s="17">
        <v>1638.3010615000001</v>
      </c>
      <c r="AM43" s="17">
        <v>1766.2066374999999</v>
      </c>
      <c r="AN43" s="17">
        <v>1681.55286211</v>
      </c>
    </row>
    <row r="44" spans="1:40" x14ac:dyDescent="0.25">
      <c r="A44" s="16" t="s">
        <v>253</v>
      </c>
      <c r="B44" s="17">
        <v>17068.219290430003</v>
      </c>
      <c r="C44" s="17">
        <v>18587.008761270001</v>
      </c>
      <c r="D44" s="17">
        <v>21910.868182439994</v>
      </c>
      <c r="E44" s="17">
        <v>24797.063537229998</v>
      </c>
      <c r="F44" s="17">
        <v>25782.883549469996</v>
      </c>
      <c r="O44" s="16" t="s">
        <v>256</v>
      </c>
      <c r="P44" s="17">
        <v>805.80624750000004</v>
      </c>
      <c r="Q44" s="17">
        <v>810.61106649999999</v>
      </c>
      <c r="R44" s="17">
        <v>812.31187975</v>
      </c>
      <c r="S44" s="17">
        <v>883.04003750000004</v>
      </c>
      <c r="T44" s="17">
        <v>847.35907311000005</v>
      </c>
      <c r="AI44" s="100" t="s">
        <v>253</v>
      </c>
      <c r="AJ44" s="17">
        <v>31384.241773040001</v>
      </c>
      <c r="AK44" s="17">
        <v>34896.896877209998</v>
      </c>
      <c r="AL44" s="17">
        <v>40927.171347000003</v>
      </c>
      <c r="AM44" s="17">
        <v>44991.918874039999</v>
      </c>
      <c r="AN44" s="17">
        <v>47436.15218415</v>
      </c>
    </row>
    <row r="45" spans="1:40" x14ac:dyDescent="0.25">
      <c r="A45" s="16" t="s">
        <v>251</v>
      </c>
      <c r="B45" s="17">
        <v>587.47837989000004</v>
      </c>
      <c r="C45" s="17">
        <v>1109.1302291700001</v>
      </c>
      <c r="D45" s="17">
        <v>1130.1092964500001</v>
      </c>
      <c r="E45" s="17">
        <v>1187.5848060899998</v>
      </c>
      <c r="F45" s="17">
        <v>1051.60221776</v>
      </c>
      <c r="O45" s="16" t="s">
        <v>253</v>
      </c>
      <c r="P45" s="17">
        <v>14316.02248261</v>
      </c>
      <c r="Q45" s="17">
        <v>16309.888115940001</v>
      </c>
      <c r="R45" s="17">
        <v>19016.303164560002</v>
      </c>
      <c r="S45" s="17">
        <v>20194.855336809997</v>
      </c>
      <c r="T45" s="17">
        <v>21653.26863468</v>
      </c>
      <c r="AI45" s="100" t="s">
        <v>251</v>
      </c>
      <c r="AJ45" s="17">
        <v>1756.76124884</v>
      </c>
      <c r="AK45" s="17">
        <v>2335.4478957199999</v>
      </c>
      <c r="AL45" s="17">
        <v>2397.90576315</v>
      </c>
      <c r="AM45" s="17">
        <v>2407.32873518</v>
      </c>
      <c r="AN45" s="17">
        <v>2058.1258838599997</v>
      </c>
    </row>
    <row r="46" spans="1:40" x14ac:dyDescent="0.25">
      <c r="A46" s="16" t="s">
        <v>249</v>
      </c>
      <c r="B46" s="17">
        <v>2549.57066403</v>
      </c>
      <c r="C46" s="17">
        <v>1798.2036642600001</v>
      </c>
      <c r="D46" s="17">
        <v>2506.0745719899996</v>
      </c>
      <c r="E46" s="17">
        <v>1671.3248192900001</v>
      </c>
      <c r="F46" s="17">
        <v>1908.0804356599999</v>
      </c>
      <c r="O46" s="16" t="s">
        <v>251</v>
      </c>
      <c r="P46" s="17">
        <v>1169.2828689499997</v>
      </c>
      <c r="Q46" s="17">
        <v>1226.31766655</v>
      </c>
      <c r="R46" s="17">
        <v>1267.7964666999999</v>
      </c>
      <c r="S46" s="17">
        <v>1219.7439290899999</v>
      </c>
      <c r="T46" s="17">
        <v>1006.5236661</v>
      </c>
      <c r="AI46" s="100" t="s">
        <v>249</v>
      </c>
      <c r="AJ46" s="17">
        <v>4140.8859338399998</v>
      </c>
      <c r="AK46" s="17">
        <v>3324.6972311899999</v>
      </c>
      <c r="AL46" s="17">
        <v>3586.38667459</v>
      </c>
      <c r="AM46" s="17">
        <v>3204.3860829999999</v>
      </c>
      <c r="AN46" s="17">
        <v>3895.12782027</v>
      </c>
    </row>
    <row r="47" spans="1:40" x14ac:dyDescent="0.25">
      <c r="A47" s="16" t="s">
        <v>246</v>
      </c>
      <c r="B47" s="17">
        <v>375.13161436000001</v>
      </c>
      <c r="C47" s="17">
        <v>387.28732624999998</v>
      </c>
      <c r="D47" s="17">
        <v>280.40263206000003</v>
      </c>
      <c r="E47" s="17">
        <v>535.51867815000003</v>
      </c>
      <c r="F47" s="17">
        <v>573.90759432000004</v>
      </c>
      <c r="O47" s="16" t="s">
        <v>249</v>
      </c>
      <c r="P47" s="17">
        <v>1591.31526981</v>
      </c>
      <c r="Q47" s="17">
        <v>1526.4935669299998</v>
      </c>
      <c r="R47" s="17">
        <v>1080.3121025999999</v>
      </c>
      <c r="S47" s="17">
        <v>1533.06126371</v>
      </c>
      <c r="T47" s="17">
        <v>1987.0473846099999</v>
      </c>
      <c r="AI47" s="100" t="s">
        <v>246</v>
      </c>
      <c r="AJ47" s="17">
        <v>922.08540815999993</v>
      </c>
      <c r="AK47" s="17">
        <v>1093.95216792</v>
      </c>
      <c r="AL47" s="17">
        <v>994.04665622000005</v>
      </c>
      <c r="AM47" s="17">
        <v>1111.79171561</v>
      </c>
      <c r="AN47" s="17">
        <v>1145.0678802</v>
      </c>
    </row>
    <row r="48" spans="1:40" x14ac:dyDescent="0.25">
      <c r="A48" s="16" t="s">
        <v>244</v>
      </c>
      <c r="B48" s="17">
        <v>1897.79175431</v>
      </c>
      <c r="C48" s="17">
        <v>2164.4513024300004</v>
      </c>
      <c r="D48" s="17">
        <v>2335.5950425199999</v>
      </c>
      <c r="E48" s="17">
        <v>2854.87050662</v>
      </c>
      <c r="F48" s="17">
        <v>3167.3840997200004</v>
      </c>
      <c r="O48" s="16" t="s">
        <v>246</v>
      </c>
      <c r="P48" s="17">
        <v>546.95379379999997</v>
      </c>
      <c r="Q48" s="17">
        <v>706.66484166999999</v>
      </c>
      <c r="R48" s="17">
        <v>713.64402415999996</v>
      </c>
      <c r="S48" s="17">
        <v>576.27303746000007</v>
      </c>
      <c r="T48" s="17">
        <v>571.16028587999995</v>
      </c>
      <c r="AI48" s="100" t="s">
        <v>244</v>
      </c>
      <c r="AJ48" s="17">
        <v>5441.1677142099998</v>
      </c>
      <c r="AK48" s="17">
        <v>5227.7180477100001</v>
      </c>
      <c r="AL48" s="17">
        <v>6463.8639797200003</v>
      </c>
      <c r="AM48" s="17">
        <v>5895.9785508500008</v>
      </c>
      <c r="AN48" s="17">
        <v>6189.4872272799994</v>
      </c>
    </row>
    <row r="49" spans="1:40" x14ac:dyDescent="0.25">
      <c r="A49" s="16" t="s">
        <v>242</v>
      </c>
      <c r="B49" s="17">
        <v>3389.3299344000002</v>
      </c>
      <c r="C49" s="17">
        <v>4006.0314488000004</v>
      </c>
      <c r="D49" s="17">
        <v>3172.50914521</v>
      </c>
      <c r="E49" s="17">
        <v>5457.2541539699996</v>
      </c>
      <c r="F49" s="17">
        <v>4949.1567322399997</v>
      </c>
      <c r="O49" s="16" t="s">
        <v>244</v>
      </c>
      <c r="P49" s="17">
        <v>3543.3759599</v>
      </c>
      <c r="Q49" s="17">
        <v>3063.2667452800001</v>
      </c>
      <c r="R49" s="17">
        <v>4128.2689372000004</v>
      </c>
      <c r="S49" s="17">
        <v>3041.1080442299995</v>
      </c>
      <c r="T49" s="17">
        <v>3022.1031275600003</v>
      </c>
      <c r="AI49" s="100" t="s">
        <v>242</v>
      </c>
      <c r="AJ49" s="17">
        <v>7798.8013863199994</v>
      </c>
      <c r="AK49" s="17">
        <v>9258.4683285999999</v>
      </c>
      <c r="AL49" s="17">
        <v>10515.017246180001</v>
      </c>
      <c r="AM49" s="17">
        <v>10875.569863370001</v>
      </c>
      <c r="AN49" s="17">
        <v>9799.0500625799996</v>
      </c>
    </row>
    <row r="50" spans="1:40" x14ac:dyDescent="0.25">
      <c r="A50" s="16" t="s">
        <v>240</v>
      </c>
      <c r="B50" s="17">
        <v>565.47925157999987</v>
      </c>
      <c r="C50" s="17">
        <v>528.38172078000002</v>
      </c>
      <c r="D50" s="17">
        <v>696.18151798999997</v>
      </c>
      <c r="E50" s="17">
        <v>767.21263721000003</v>
      </c>
      <c r="F50" s="17">
        <v>712.96948011999996</v>
      </c>
      <c r="O50" s="16" t="s">
        <v>242</v>
      </c>
      <c r="P50" s="17">
        <v>4409.4714519199997</v>
      </c>
      <c r="Q50" s="17">
        <v>5252.4368798000005</v>
      </c>
      <c r="R50" s="17">
        <v>7342.5081009700007</v>
      </c>
      <c r="S50" s="17">
        <v>5418.3157093999998</v>
      </c>
      <c r="T50" s="17">
        <v>4849.8933303399999</v>
      </c>
      <c r="AI50" s="100" t="s">
        <v>240</v>
      </c>
      <c r="AJ50" s="17">
        <v>1116.46815571</v>
      </c>
      <c r="AK50" s="17">
        <v>1071.12921951</v>
      </c>
      <c r="AL50" s="17">
        <v>1319.9799689200001</v>
      </c>
      <c r="AM50" s="17">
        <v>1389.2521863699999</v>
      </c>
      <c r="AN50" s="17">
        <v>1589.2949823900001</v>
      </c>
    </row>
    <row r="51" spans="1:40" x14ac:dyDescent="0.25">
      <c r="A51" s="16" t="s">
        <v>236</v>
      </c>
      <c r="B51" s="17">
        <v>2395.1262427199999</v>
      </c>
      <c r="C51" s="17">
        <v>1837.0420067699999</v>
      </c>
      <c r="D51" s="17">
        <v>2119.8989128799999</v>
      </c>
      <c r="E51" s="17">
        <v>2007.7941869799999</v>
      </c>
      <c r="F51" s="17">
        <v>2690.9024855699995</v>
      </c>
      <c r="O51" s="16" t="s">
        <v>240</v>
      </c>
      <c r="P51" s="17">
        <v>550.98890413000004</v>
      </c>
      <c r="Q51" s="17">
        <v>542.74749873000007</v>
      </c>
      <c r="R51" s="17">
        <v>623.79845093000006</v>
      </c>
      <c r="S51" s="17">
        <v>622.03954915999998</v>
      </c>
      <c r="T51" s="17">
        <v>876.32550227000002</v>
      </c>
      <c r="AI51" s="100" t="s">
        <v>236</v>
      </c>
      <c r="AJ51" s="17">
        <v>5004.9433609099997</v>
      </c>
      <c r="AK51" s="17">
        <v>4860.7787545900001</v>
      </c>
      <c r="AL51" s="17">
        <v>4664.2582593000006</v>
      </c>
      <c r="AM51" s="17">
        <v>5248.8556132900003</v>
      </c>
      <c r="AN51" s="17">
        <v>5570.4507778100005</v>
      </c>
    </row>
    <row r="52" spans="1:40" x14ac:dyDescent="0.25">
      <c r="A52" s="16" t="s">
        <v>234</v>
      </c>
      <c r="B52" s="17">
        <v>86.320248399999997</v>
      </c>
      <c r="C52" s="17">
        <v>65.999693980000004</v>
      </c>
      <c r="D52" s="17">
        <v>0.12600966</v>
      </c>
      <c r="E52" s="17">
        <v>0.42620715000000003</v>
      </c>
      <c r="F52" s="17">
        <v>0.92879944000000003</v>
      </c>
      <c r="O52" s="16" t="s">
        <v>236</v>
      </c>
      <c r="P52" s="17">
        <v>2609.8171181899997</v>
      </c>
      <c r="Q52" s="17">
        <v>3023.7367478200003</v>
      </c>
      <c r="R52" s="17">
        <v>2544.3593464200003</v>
      </c>
      <c r="S52" s="17">
        <v>3241.0614263100006</v>
      </c>
      <c r="T52" s="17">
        <v>2879.5482922400001</v>
      </c>
      <c r="AI52" s="100" t="s">
        <v>234</v>
      </c>
      <c r="AJ52" s="17">
        <v>184.90437344</v>
      </c>
      <c r="AK52" s="17">
        <v>66.371011629999998</v>
      </c>
      <c r="AL52" s="17">
        <v>1.2882109900000001</v>
      </c>
      <c r="AM52" s="17">
        <v>1.44955783</v>
      </c>
      <c r="AN52" s="17">
        <v>12.56390641</v>
      </c>
    </row>
    <row r="53" spans="1:40" x14ac:dyDescent="0.25">
      <c r="A53" s="16" t="s">
        <v>230</v>
      </c>
      <c r="B53" s="17">
        <v>8647.0868653200014</v>
      </c>
      <c r="C53" s="17">
        <v>15079.389420149997</v>
      </c>
      <c r="D53" s="17">
        <v>13718.697828170001</v>
      </c>
      <c r="E53" s="17">
        <v>11165.1223656</v>
      </c>
      <c r="F53" s="17">
        <v>11054.437943409999</v>
      </c>
      <c r="O53" s="16" t="s">
        <v>234</v>
      </c>
      <c r="P53" s="17">
        <v>98.584125039999989</v>
      </c>
      <c r="Q53" s="17">
        <v>0.37131764999999994</v>
      </c>
      <c r="R53" s="17">
        <v>1.16220133</v>
      </c>
      <c r="S53" s="17">
        <v>1.0233506799999998</v>
      </c>
      <c r="T53" s="17">
        <v>11.635106969999999</v>
      </c>
      <c r="AI53" s="100" t="s">
        <v>230</v>
      </c>
      <c r="AJ53" s="17">
        <v>15351.836168239999</v>
      </c>
      <c r="AK53" s="17">
        <v>30620.25894937</v>
      </c>
      <c r="AL53" s="17">
        <v>23922.018819470002</v>
      </c>
      <c r="AM53" s="17">
        <v>19890.511223319998</v>
      </c>
      <c r="AN53" s="17">
        <v>19584.740063819998</v>
      </c>
    </row>
    <row r="54" spans="1:40" x14ac:dyDescent="0.25">
      <c r="A54" s="16" t="s">
        <v>377</v>
      </c>
      <c r="B54" s="17">
        <v>0</v>
      </c>
      <c r="C54" s="17">
        <v>0</v>
      </c>
      <c r="D54" s="17">
        <v>25763.978523129997</v>
      </c>
      <c r="E54" s="17">
        <v>2666.7683863699999</v>
      </c>
      <c r="F54" s="17">
        <v>2609.72374408</v>
      </c>
      <c r="O54" s="16" t="s">
        <v>230</v>
      </c>
      <c r="P54" s="17">
        <v>6704.7493029200004</v>
      </c>
      <c r="Q54" s="17">
        <v>15540.869529220001</v>
      </c>
      <c r="R54" s="17">
        <v>10203.320991299999</v>
      </c>
      <c r="S54" s="17">
        <v>8725.3888577200014</v>
      </c>
      <c r="T54" s="17">
        <v>8530.3021204100005</v>
      </c>
      <c r="AI54" s="100" t="s">
        <v>377</v>
      </c>
      <c r="AJ54" s="17">
        <v>0</v>
      </c>
      <c r="AK54" s="17">
        <v>0</v>
      </c>
      <c r="AL54" s="17">
        <v>81308.194731369993</v>
      </c>
      <c r="AM54" s="17">
        <v>5534.47283857</v>
      </c>
      <c r="AN54" s="17">
        <v>16242.73232046</v>
      </c>
    </row>
    <row r="55" spans="1:40" x14ac:dyDescent="0.25">
      <c r="A55" s="16" t="s">
        <v>228</v>
      </c>
      <c r="B55" s="17">
        <v>11238.423157830002</v>
      </c>
      <c r="C55" s="17">
        <v>8554.4359538699991</v>
      </c>
      <c r="D55" s="17">
        <v>10927.550626979999</v>
      </c>
      <c r="E55" s="17">
        <v>14062.93383996</v>
      </c>
      <c r="F55" s="17">
        <v>15107.312273779999</v>
      </c>
      <c r="O55" s="16" t="s">
        <v>377</v>
      </c>
      <c r="P55" s="17">
        <v>0</v>
      </c>
      <c r="Q55" s="17">
        <v>0</v>
      </c>
      <c r="R55" s="17">
        <v>55544.216208239995</v>
      </c>
      <c r="S55" s="17">
        <v>2867.7044521999997</v>
      </c>
      <c r="T55" s="17">
        <v>13633.00857638</v>
      </c>
      <c r="AI55" s="100" t="s">
        <v>228</v>
      </c>
      <c r="AJ55" s="17">
        <v>22403.512028919999</v>
      </c>
      <c r="AK55" s="17">
        <v>1718.47172882</v>
      </c>
      <c r="AL55" s="17">
        <v>26485.280648249998</v>
      </c>
      <c r="AM55" s="17">
        <v>28875.558407380002</v>
      </c>
      <c r="AN55" s="17">
        <v>30835.872753709999</v>
      </c>
    </row>
    <row r="56" spans="1:40" x14ac:dyDescent="0.25">
      <c r="A56" s="16" t="s">
        <v>226</v>
      </c>
      <c r="B56" s="17">
        <v>10622.19930634</v>
      </c>
      <c r="C56" s="17">
        <v>8541.8359494699998</v>
      </c>
      <c r="D56" s="17">
        <v>8569.6815292800002</v>
      </c>
      <c r="E56" s="17">
        <v>2027.8291907599998</v>
      </c>
      <c r="F56" s="17">
        <v>7031.2641857500003</v>
      </c>
      <c r="O56" s="16" t="s">
        <v>228</v>
      </c>
      <c r="P56" s="17">
        <v>11165.08887109</v>
      </c>
      <c r="Q56" s="17">
        <v>-6835.9642250500001</v>
      </c>
      <c r="R56" s="17">
        <v>15557.730021270001</v>
      </c>
      <c r="S56" s="17">
        <v>14812.624567420002</v>
      </c>
      <c r="T56" s="17">
        <v>15728.56047993</v>
      </c>
      <c r="AI56" s="100" t="s">
        <v>226</v>
      </c>
      <c r="AJ56" s="17">
        <v>22151.443671320001</v>
      </c>
      <c r="AK56" s="17">
        <v>31119.561881279998</v>
      </c>
      <c r="AL56" s="17">
        <v>14193.652698489999</v>
      </c>
      <c r="AM56" s="17">
        <v>12547.248540190001</v>
      </c>
      <c r="AN56" s="17">
        <v>15096.301864590001</v>
      </c>
    </row>
    <row r="57" spans="1:40" x14ac:dyDescent="0.25">
      <c r="A57" s="16" t="s">
        <v>224</v>
      </c>
      <c r="B57" s="17">
        <v>0</v>
      </c>
      <c r="C57" s="17">
        <v>0</v>
      </c>
      <c r="D57" s="17">
        <v>0</v>
      </c>
      <c r="E57" s="17">
        <v>5548.7062800200001</v>
      </c>
      <c r="F57" s="17">
        <v>1938.0633909199998</v>
      </c>
      <c r="O57" s="16" t="s">
        <v>226</v>
      </c>
      <c r="P57" s="17">
        <v>11529.244364979999</v>
      </c>
      <c r="Q57" s="17">
        <v>22577.725931809997</v>
      </c>
      <c r="R57" s="17">
        <v>5623.97116921</v>
      </c>
      <c r="S57" s="17">
        <v>10519.41934943</v>
      </c>
      <c r="T57" s="17">
        <v>8065.037678839999</v>
      </c>
      <c r="AI57" s="100" t="s">
        <v>224</v>
      </c>
      <c r="AJ57" s="17">
        <v>0</v>
      </c>
      <c r="AK57" s="17">
        <v>0</v>
      </c>
      <c r="AL57" s="17">
        <v>0</v>
      </c>
      <c r="AM57" s="17">
        <v>4299.69705213</v>
      </c>
      <c r="AN57" s="17">
        <v>3646.86347918</v>
      </c>
    </row>
    <row r="58" spans="1:40" x14ac:dyDescent="0.25">
      <c r="A58" s="16" t="s">
        <v>376</v>
      </c>
      <c r="B58" s="17">
        <v>0</v>
      </c>
      <c r="C58" s="17">
        <v>0</v>
      </c>
      <c r="D58" s="17">
        <v>0</v>
      </c>
      <c r="E58" s="17">
        <v>-0.97805125000000004</v>
      </c>
      <c r="F58" s="17">
        <v>0</v>
      </c>
      <c r="O58" s="16" t="s">
        <v>224</v>
      </c>
      <c r="P58" s="17">
        <v>0</v>
      </c>
      <c r="Q58" s="17">
        <v>0</v>
      </c>
      <c r="R58" s="17">
        <v>0</v>
      </c>
      <c r="S58" s="17">
        <v>-1249.0092278900004</v>
      </c>
      <c r="T58" s="17">
        <v>1708.8000882599997</v>
      </c>
      <c r="AI58" s="100" t="s">
        <v>376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</row>
    <row r="59" spans="1:40" x14ac:dyDescent="0.25">
      <c r="A59" s="16" t="s">
        <v>449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O59" s="16" t="s">
        <v>376</v>
      </c>
      <c r="P59" s="17">
        <v>0</v>
      </c>
      <c r="Q59" s="17">
        <v>0</v>
      </c>
      <c r="R59" s="17">
        <v>0</v>
      </c>
      <c r="S59" s="17">
        <v>0.97805125000000004</v>
      </c>
      <c r="T59" s="17">
        <v>0</v>
      </c>
      <c r="AI59" s="100" t="s">
        <v>449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</row>
    <row r="60" spans="1:40" x14ac:dyDescent="0.25">
      <c r="A60" s="16" t="s">
        <v>222</v>
      </c>
      <c r="B60" s="17">
        <v>0.62634681000000003</v>
      </c>
      <c r="C60" s="17">
        <v>1.6698986300000001</v>
      </c>
      <c r="D60" s="17">
        <v>1.63418749</v>
      </c>
      <c r="E60" s="17">
        <v>1.20778703</v>
      </c>
      <c r="F60" s="17">
        <v>1.12717131</v>
      </c>
      <c r="O60" s="16" t="s">
        <v>449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AI60" s="100" t="s">
        <v>222</v>
      </c>
      <c r="AJ60" s="17">
        <v>1.69157074</v>
      </c>
      <c r="AK60" s="17">
        <v>2.7996490600000001</v>
      </c>
      <c r="AL60" s="17">
        <v>2.9655025199999998</v>
      </c>
      <c r="AM60" s="17">
        <v>2.4520053399999999</v>
      </c>
      <c r="AN60" s="17">
        <v>2.4301226800000002</v>
      </c>
    </row>
    <row r="61" spans="1:40" x14ac:dyDescent="0.25">
      <c r="A61" s="16" t="s">
        <v>409</v>
      </c>
      <c r="B61" s="17">
        <v>16.518377000000001</v>
      </c>
      <c r="C61" s="17">
        <v>18.085057410000001</v>
      </c>
      <c r="D61" s="17">
        <v>21.460282109999998</v>
      </c>
      <c r="E61" s="17">
        <v>0</v>
      </c>
      <c r="F61" s="17">
        <v>0</v>
      </c>
      <c r="O61" s="16" t="s">
        <v>222</v>
      </c>
      <c r="P61" s="17">
        <v>1.0652239299999999</v>
      </c>
      <c r="Q61" s="17">
        <v>1.1297504299999999</v>
      </c>
      <c r="R61" s="17">
        <v>1.3313150300000001</v>
      </c>
      <c r="S61" s="17">
        <v>1.2442183099999997</v>
      </c>
      <c r="T61" s="17">
        <v>1.3029513699999999</v>
      </c>
      <c r="AI61" s="100" t="s">
        <v>409</v>
      </c>
      <c r="AJ61" s="17">
        <v>32.903793870000001</v>
      </c>
      <c r="AK61" s="17">
        <v>44.497462759999998</v>
      </c>
      <c r="AL61" s="17">
        <v>21.460282109999998</v>
      </c>
      <c r="AM61" s="17">
        <v>0</v>
      </c>
      <c r="AN61" s="17">
        <v>0</v>
      </c>
    </row>
    <row r="62" spans="1:40" x14ac:dyDescent="0.25">
      <c r="A62" s="16" t="s">
        <v>219</v>
      </c>
      <c r="B62" s="17">
        <v>0</v>
      </c>
      <c r="C62" s="17">
        <v>0</v>
      </c>
      <c r="D62" s="17">
        <v>0</v>
      </c>
      <c r="E62" s="17">
        <v>19.537892620000001</v>
      </c>
      <c r="F62" s="17">
        <v>19.831576069999997</v>
      </c>
      <c r="O62" s="16" t="s">
        <v>409</v>
      </c>
      <c r="P62" s="17">
        <v>16.38541687</v>
      </c>
      <c r="Q62" s="17">
        <v>26.41240535</v>
      </c>
      <c r="R62" s="17">
        <v>0</v>
      </c>
      <c r="S62" s="17">
        <v>0</v>
      </c>
      <c r="T62" s="17">
        <v>0</v>
      </c>
      <c r="AI62" s="100" t="s">
        <v>219</v>
      </c>
      <c r="AJ62" s="17">
        <v>0</v>
      </c>
      <c r="AK62" s="17">
        <v>0</v>
      </c>
      <c r="AL62" s="17">
        <v>20.017957510000002</v>
      </c>
      <c r="AM62" s="17">
        <v>41.418799189999994</v>
      </c>
      <c r="AN62" s="17">
        <v>37.959102189999996</v>
      </c>
    </row>
    <row r="63" spans="1:40" x14ac:dyDescent="0.25">
      <c r="A63" s="16" t="s">
        <v>217</v>
      </c>
      <c r="B63" s="17">
        <v>0</v>
      </c>
      <c r="C63" s="17">
        <v>0</v>
      </c>
      <c r="D63" s="17">
        <v>0</v>
      </c>
      <c r="E63" s="17">
        <v>8.1239986399999999</v>
      </c>
      <c r="F63" s="17">
        <v>7.9966297799999992</v>
      </c>
      <c r="O63" s="16" t="s">
        <v>219</v>
      </c>
      <c r="P63" s="17">
        <v>0</v>
      </c>
      <c r="Q63" s="17">
        <v>0</v>
      </c>
      <c r="R63" s="17">
        <v>20.017957510000002</v>
      </c>
      <c r="S63" s="17">
        <v>21.88090657</v>
      </c>
      <c r="T63" s="17">
        <v>18.127526119999999</v>
      </c>
      <c r="AI63" s="100" t="s">
        <v>217</v>
      </c>
      <c r="AJ63" s="17">
        <v>0</v>
      </c>
      <c r="AK63" s="17">
        <v>0</v>
      </c>
      <c r="AL63" s="17">
        <v>8.5679922299999998</v>
      </c>
      <c r="AM63" s="17">
        <v>16.277821700000001</v>
      </c>
      <c r="AN63" s="17">
        <v>15.62677678</v>
      </c>
    </row>
    <row r="64" spans="1:40" x14ac:dyDescent="0.25">
      <c r="A64" s="16" t="s">
        <v>215</v>
      </c>
      <c r="B64" s="17">
        <v>17.118532030000001</v>
      </c>
      <c r="C64" s="17">
        <v>3.4805999999999999</v>
      </c>
      <c r="D64" s="17">
        <v>8.2582175000000007</v>
      </c>
      <c r="E64" s="17">
        <v>7.3174000000000001</v>
      </c>
      <c r="F64" s="17">
        <v>10.51612049</v>
      </c>
      <c r="O64" s="16" t="s">
        <v>217</v>
      </c>
      <c r="P64" s="17">
        <v>0</v>
      </c>
      <c r="Q64" s="17">
        <v>0</v>
      </c>
      <c r="R64" s="17">
        <v>8.5679922299999998</v>
      </c>
      <c r="S64" s="17">
        <v>8.1538230600000006</v>
      </c>
      <c r="T64" s="17">
        <v>7.630147</v>
      </c>
      <c r="AI64" s="100" t="s">
        <v>215</v>
      </c>
      <c r="AJ64" s="17">
        <v>21.80174178</v>
      </c>
      <c r="AK64" s="17">
        <v>10.6423796</v>
      </c>
      <c r="AL64" s="17">
        <v>10.3987175</v>
      </c>
      <c r="AM64" s="17">
        <v>10.923365820000001</v>
      </c>
      <c r="AN64" s="17">
        <v>14.56904943</v>
      </c>
    </row>
    <row r="65" spans="1:40" x14ac:dyDescent="0.25">
      <c r="A65" s="16" t="s">
        <v>375</v>
      </c>
      <c r="B65" s="17">
        <v>0</v>
      </c>
      <c r="C65" s="17">
        <v>0</v>
      </c>
      <c r="D65" s="17">
        <v>0</v>
      </c>
      <c r="E65" s="17">
        <v>0</v>
      </c>
      <c r="F65" s="17">
        <v>0</v>
      </c>
      <c r="O65" s="16" t="s">
        <v>215</v>
      </c>
      <c r="P65" s="17">
        <v>4.6832097499999996</v>
      </c>
      <c r="Q65" s="17">
        <v>7.1617796</v>
      </c>
      <c r="R65" s="17">
        <v>2.1404999999999998</v>
      </c>
      <c r="S65" s="17">
        <v>3.6059658199999998</v>
      </c>
      <c r="T65" s="17">
        <v>4.0529289400000001</v>
      </c>
      <c r="AI65" s="100" t="s">
        <v>375</v>
      </c>
      <c r="AJ65" s="17">
        <v>0</v>
      </c>
      <c r="AK65" s="17">
        <v>0</v>
      </c>
      <c r="AL65" s="17">
        <v>0</v>
      </c>
      <c r="AM65" s="17">
        <v>7.2407332599999998</v>
      </c>
      <c r="AN65" s="17">
        <v>0</v>
      </c>
    </row>
    <row r="66" spans="1:40" x14ac:dyDescent="0.25">
      <c r="A66" s="16" t="s">
        <v>447</v>
      </c>
      <c r="B66" s="17">
        <v>9.6125999899999997</v>
      </c>
      <c r="C66" s="17">
        <v>0</v>
      </c>
      <c r="D66" s="17">
        <v>0</v>
      </c>
      <c r="E66" s="17">
        <v>0</v>
      </c>
      <c r="F66" s="17">
        <v>0</v>
      </c>
      <c r="O66" s="16" t="s">
        <v>375</v>
      </c>
      <c r="P66" s="17">
        <v>0</v>
      </c>
      <c r="Q66" s="17">
        <v>0</v>
      </c>
      <c r="R66" s="17">
        <v>0</v>
      </c>
      <c r="S66" s="17">
        <v>7.2407332599999998</v>
      </c>
      <c r="T66" s="17">
        <v>0</v>
      </c>
      <c r="AI66" s="100" t="s">
        <v>447</v>
      </c>
      <c r="AJ66" s="17">
        <v>9.6125999899999997</v>
      </c>
      <c r="AK66" s="17">
        <v>0</v>
      </c>
      <c r="AL66" s="17">
        <v>0</v>
      </c>
      <c r="AM66" s="17">
        <v>0</v>
      </c>
      <c r="AN66" s="17">
        <v>0</v>
      </c>
    </row>
    <row r="67" spans="1:40" x14ac:dyDescent="0.25">
      <c r="A67" s="16" t="s">
        <v>213</v>
      </c>
      <c r="B67" s="17">
        <v>59.255349199999998</v>
      </c>
      <c r="C67" s="17">
        <v>11.670227820000001</v>
      </c>
      <c r="D67" s="17">
        <v>19.42082752</v>
      </c>
      <c r="E67" s="17">
        <v>33.367996599999998</v>
      </c>
      <c r="F67" s="17">
        <v>41.54764119</v>
      </c>
      <c r="O67" s="16" t="s">
        <v>447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AI67" s="100" t="s">
        <v>213</v>
      </c>
      <c r="AJ67" s="17">
        <v>31.174942350000002</v>
      </c>
      <c r="AK67" s="17">
        <v>36.292674640000001</v>
      </c>
      <c r="AL67" s="17">
        <v>40.751753289999996</v>
      </c>
      <c r="AM67" s="17">
        <v>77.190659859999997</v>
      </c>
      <c r="AN67" s="17">
        <v>83.9022966</v>
      </c>
    </row>
    <row r="68" spans="1:40" x14ac:dyDescent="0.25">
      <c r="A68" s="16" t="s">
        <v>211</v>
      </c>
      <c r="B68" s="17">
        <v>92.889102750000006</v>
      </c>
      <c r="C68" s="17">
        <v>87.837205060000002</v>
      </c>
      <c r="D68" s="17">
        <v>91.601507760000004</v>
      </c>
      <c r="E68" s="17">
        <v>15.5146037</v>
      </c>
      <c r="F68" s="17">
        <v>62.473355270000006</v>
      </c>
      <c r="O68" s="16" t="s">
        <v>213</v>
      </c>
      <c r="P68" s="17">
        <v>-28.080406849999999</v>
      </c>
      <c r="Q68" s="17">
        <v>24.622446820000004</v>
      </c>
      <c r="R68" s="17">
        <v>21.33092577</v>
      </c>
      <c r="S68" s="17">
        <v>43.822663259999999</v>
      </c>
      <c r="T68" s="17">
        <v>42.354655410000007</v>
      </c>
      <c r="AI68" s="100" t="s">
        <v>211</v>
      </c>
      <c r="AJ68" s="17">
        <v>136.43149668999999</v>
      </c>
      <c r="AK68" s="17">
        <v>198.1410644</v>
      </c>
      <c r="AL68" s="17">
        <v>206.50523587000001</v>
      </c>
      <c r="AM68" s="17">
        <v>231.61204499999999</v>
      </c>
      <c r="AN68" s="17">
        <v>186.85125318999999</v>
      </c>
    </row>
    <row r="69" spans="1:40" x14ac:dyDescent="0.25">
      <c r="A69" s="16" t="s">
        <v>434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  <c r="O69" s="16" t="s">
        <v>211</v>
      </c>
      <c r="P69" s="17">
        <v>43.542393940000004</v>
      </c>
      <c r="Q69" s="17">
        <v>110.30385934</v>
      </c>
      <c r="R69" s="17">
        <v>114.90372811</v>
      </c>
      <c r="S69" s="17">
        <v>216.09744129999999</v>
      </c>
      <c r="T69" s="17">
        <v>124.37789792</v>
      </c>
      <c r="AI69" s="100" t="s">
        <v>434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</row>
    <row r="70" spans="1:40" x14ac:dyDescent="0.25">
      <c r="A70" s="16" t="s">
        <v>209</v>
      </c>
      <c r="B70" s="17">
        <v>12.292583029999999</v>
      </c>
      <c r="C70" s="17">
        <v>0.54459701000000005</v>
      </c>
      <c r="D70" s="17">
        <v>9.6690183099999985</v>
      </c>
      <c r="E70" s="17">
        <v>14.91102345</v>
      </c>
      <c r="F70" s="17">
        <v>8.3821018800000004</v>
      </c>
      <c r="O70" s="16" t="s">
        <v>434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AI70" s="100" t="s">
        <v>209</v>
      </c>
      <c r="AJ70" s="17">
        <v>15.89180576</v>
      </c>
      <c r="AK70" s="17">
        <v>6.15221456</v>
      </c>
      <c r="AL70" s="17">
        <v>15.84896934</v>
      </c>
      <c r="AM70" s="17">
        <v>42.222302460000002</v>
      </c>
      <c r="AN70" s="17">
        <v>31.578521949999999</v>
      </c>
    </row>
    <row r="71" spans="1:40" x14ac:dyDescent="0.25">
      <c r="A71" s="16" t="s">
        <v>433</v>
      </c>
      <c r="B71" s="17">
        <v>0</v>
      </c>
      <c r="C71" s="17">
        <v>9.4009999999999996E-2</v>
      </c>
      <c r="D71" s="17">
        <v>0</v>
      </c>
      <c r="E71" s="17">
        <v>0</v>
      </c>
      <c r="F71" s="17">
        <v>0</v>
      </c>
      <c r="O71" s="16" t="s">
        <v>209</v>
      </c>
      <c r="P71" s="17">
        <v>3.5992227300000001</v>
      </c>
      <c r="Q71" s="17">
        <v>5.6076175500000005</v>
      </c>
      <c r="R71" s="17">
        <v>6.1799510300000007</v>
      </c>
      <c r="S71" s="17">
        <v>27.311279009999996</v>
      </c>
      <c r="T71" s="17">
        <v>23.196420070000002</v>
      </c>
      <c r="AI71" s="100" t="s">
        <v>433</v>
      </c>
      <c r="AJ71" s="17">
        <v>1.225E-3</v>
      </c>
      <c r="AK71" s="17">
        <v>9.4009999999999996E-2</v>
      </c>
      <c r="AL71" s="17">
        <v>0</v>
      </c>
      <c r="AM71" s="17">
        <v>0</v>
      </c>
      <c r="AN71" s="17">
        <v>0</v>
      </c>
    </row>
    <row r="72" spans="1:40" x14ac:dyDescent="0.25">
      <c r="A72" s="16" t="s">
        <v>407</v>
      </c>
      <c r="B72" s="17">
        <v>0.64921768000000002</v>
      </c>
      <c r="C72" s="17">
        <v>0.13807276999999998</v>
      </c>
      <c r="D72" s="17">
        <v>0.13852037</v>
      </c>
      <c r="E72" s="17">
        <v>0</v>
      </c>
      <c r="F72" s="17">
        <v>0</v>
      </c>
      <c r="O72" s="16" t="s">
        <v>433</v>
      </c>
      <c r="P72" s="17">
        <v>1.225E-3</v>
      </c>
      <c r="Q72" s="17">
        <v>0</v>
      </c>
      <c r="R72" s="17">
        <v>0</v>
      </c>
      <c r="S72" s="17">
        <v>0</v>
      </c>
      <c r="T72" s="17">
        <v>0</v>
      </c>
      <c r="AI72" s="100" t="s">
        <v>407</v>
      </c>
      <c r="AJ72" s="17">
        <v>0.74635598999999997</v>
      </c>
      <c r="AK72" s="17">
        <v>0.31878899999999999</v>
      </c>
      <c r="AL72" s="17">
        <v>0.13852037</v>
      </c>
      <c r="AM72" s="17">
        <v>0</v>
      </c>
      <c r="AN72" s="17">
        <v>0</v>
      </c>
    </row>
    <row r="73" spans="1:40" x14ac:dyDescent="0.25">
      <c r="A73" s="16" t="s">
        <v>207</v>
      </c>
      <c r="B73" s="17">
        <v>292.7880543</v>
      </c>
      <c r="C73" s="17">
        <v>230.04141503</v>
      </c>
      <c r="D73" s="17">
        <v>229.22367681</v>
      </c>
      <c r="E73" s="17">
        <v>281.54906691000002</v>
      </c>
      <c r="F73" s="17">
        <v>13.599875000000001</v>
      </c>
      <c r="O73" s="16" t="s">
        <v>407</v>
      </c>
      <c r="P73" s="17">
        <v>9.7138309999999992E-2</v>
      </c>
      <c r="Q73" s="17">
        <v>0.18071623000000001</v>
      </c>
      <c r="R73" s="17">
        <v>0</v>
      </c>
      <c r="S73" s="17">
        <v>0</v>
      </c>
      <c r="T73" s="17">
        <v>0</v>
      </c>
      <c r="AI73" s="100" t="s">
        <v>207</v>
      </c>
      <c r="AJ73" s="17">
        <v>292.7880543</v>
      </c>
      <c r="AK73" s="17">
        <v>230.04141503</v>
      </c>
      <c r="AL73" s="17">
        <v>229.22367681</v>
      </c>
      <c r="AM73" s="17">
        <v>422.63021991000005</v>
      </c>
      <c r="AN73" s="17">
        <v>13.599875000000001</v>
      </c>
    </row>
    <row r="74" spans="1:40" x14ac:dyDescent="0.25">
      <c r="A74" s="16" t="s">
        <v>205</v>
      </c>
      <c r="B74" s="17">
        <v>0</v>
      </c>
      <c r="C74" s="17">
        <v>2.7710880000000002</v>
      </c>
      <c r="D74" s="17">
        <v>378.90574100999999</v>
      </c>
      <c r="E74" s="17">
        <v>417.37747999999999</v>
      </c>
      <c r="F74" s="17">
        <v>637.85720000000003</v>
      </c>
      <c r="O74" s="16" t="s">
        <v>207</v>
      </c>
      <c r="P74" s="17">
        <v>0</v>
      </c>
      <c r="Q74" s="17">
        <v>0</v>
      </c>
      <c r="R74" s="17">
        <v>0</v>
      </c>
      <c r="S74" s="17">
        <v>141.081153</v>
      </c>
      <c r="T74" s="17">
        <v>0</v>
      </c>
      <c r="AI74" s="100" t="s">
        <v>205</v>
      </c>
      <c r="AJ74" s="17">
        <v>0</v>
      </c>
      <c r="AK74" s="17">
        <v>12.675712000000001</v>
      </c>
      <c r="AL74" s="17">
        <v>710.09070100999998</v>
      </c>
      <c r="AM74" s="17">
        <v>1091.25668</v>
      </c>
      <c r="AN74" s="17">
        <v>1192.2106000000001</v>
      </c>
    </row>
    <row r="75" spans="1:40" x14ac:dyDescent="0.25">
      <c r="A75" s="16" t="s">
        <v>374</v>
      </c>
      <c r="B75" s="17">
        <v>7.5849759999999988E-2</v>
      </c>
      <c r="C75" s="17">
        <v>2.47E-3</v>
      </c>
      <c r="D75" s="17">
        <v>1.9800000000000002E-2</v>
      </c>
      <c r="E75" s="17">
        <v>1.11E-2</v>
      </c>
      <c r="F75" s="17">
        <v>1.04E-2</v>
      </c>
      <c r="O75" s="16" t="s">
        <v>205</v>
      </c>
      <c r="P75" s="17">
        <v>0</v>
      </c>
      <c r="Q75" s="17">
        <v>9.9046240000000001</v>
      </c>
      <c r="R75" s="17">
        <v>331.18495999999999</v>
      </c>
      <c r="S75" s="17">
        <v>673.87919999999997</v>
      </c>
      <c r="T75" s="17">
        <v>554.35339999999997</v>
      </c>
      <c r="AI75" s="100" t="s">
        <v>374</v>
      </c>
      <c r="AJ75" s="17">
        <v>8.5629759999999999E-2</v>
      </c>
      <c r="AK75" s="17">
        <v>5.0699999999999999E-3</v>
      </c>
      <c r="AL75" s="17">
        <v>0.28319021</v>
      </c>
      <c r="AM75" s="17">
        <v>1.23E-2</v>
      </c>
      <c r="AN75" s="17">
        <v>1.0800000000000001E-2</v>
      </c>
    </row>
    <row r="76" spans="1:40" x14ac:dyDescent="0.25">
      <c r="A76" s="16" t="s">
        <v>203</v>
      </c>
      <c r="B76" s="17">
        <v>565.51445979000005</v>
      </c>
      <c r="C76" s="17">
        <v>511.06664304999993</v>
      </c>
      <c r="D76" s="17">
        <v>690.03239623000002</v>
      </c>
      <c r="E76" s="17">
        <v>662.32091048999996</v>
      </c>
      <c r="F76" s="17">
        <v>932.82183599999996</v>
      </c>
      <c r="O76" s="16" t="s">
        <v>374</v>
      </c>
      <c r="P76" s="17">
        <v>9.7800000000000005E-3</v>
      </c>
      <c r="Q76" s="17">
        <v>2.5999999999999999E-3</v>
      </c>
      <c r="R76" s="17">
        <v>0.26339020999999996</v>
      </c>
      <c r="S76" s="17">
        <v>1.1999999999999999E-3</v>
      </c>
      <c r="T76" s="17">
        <v>4.0000000000000002E-4</v>
      </c>
      <c r="AI76" s="100" t="s">
        <v>203</v>
      </c>
      <c r="AJ76" s="17">
        <v>3693.4246157900002</v>
      </c>
      <c r="AK76" s="17">
        <v>4707.4339615700001</v>
      </c>
      <c r="AL76" s="17">
        <v>5430.6314763100008</v>
      </c>
      <c r="AM76" s="17">
        <v>5799.1295661800004</v>
      </c>
      <c r="AN76" s="17">
        <v>4070.9838374400001</v>
      </c>
    </row>
    <row r="77" spans="1:40" x14ac:dyDescent="0.25">
      <c r="A77" s="16" t="s">
        <v>200</v>
      </c>
      <c r="B77" s="17">
        <v>23.77904444</v>
      </c>
      <c r="C77" s="17">
        <v>20.49653056</v>
      </c>
      <c r="D77" s="17">
        <v>19.021127509999999</v>
      </c>
      <c r="E77" s="17">
        <v>21.617212290000001</v>
      </c>
      <c r="F77" s="17">
        <v>17.031838710000002</v>
      </c>
      <c r="O77" s="16" t="s">
        <v>203</v>
      </c>
      <c r="P77" s="17">
        <v>3127.9101559999999</v>
      </c>
      <c r="Q77" s="17">
        <v>4196.3673185199996</v>
      </c>
      <c r="R77" s="17">
        <v>4740.59908008</v>
      </c>
      <c r="S77" s="17">
        <v>5136.8086556900007</v>
      </c>
      <c r="T77" s="17">
        <v>3138.16200144</v>
      </c>
      <c r="AI77" s="100" t="s">
        <v>200</v>
      </c>
      <c r="AJ77" s="17">
        <v>43.953068600000002</v>
      </c>
      <c r="AK77" s="17">
        <v>35.493835020000006</v>
      </c>
      <c r="AL77" s="17">
        <v>39.985496149999996</v>
      </c>
      <c r="AM77" s="17">
        <v>39.944230909999995</v>
      </c>
      <c r="AN77" s="17">
        <v>29.760619579999997</v>
      </c>
    </row>
    <row r="78" spans="1:40" x14ac:dyDescent="0.25">
      <c r="A78" s="16" t="s">
        <v>198</v>
      </c>
      <c r="B78" s="17">
        <v>1.5600563000000001</v>
      </c>
      <c r="C78" s="17">
        <v>1.9006993000000001</v>
      </c>
      <c r="D78" s="17">
        <v>1.5491591899999999</v>
      </c>
      <c r="E78" s="17">
        <v>1.5736079999999999</v>
      </c>
      <c r="F78" s="17">
        <v>1.0450600000000001</v>
      </c>
      <c r="O78" s="16" t="s">
        <v>200</v>
      </c>
      <c r="P78" s="17">
        <v>20.174024160000002</v>
      </c>
      <c r="Q78" s="17">
        <v>14.997304460000001</v>
      </c>
      <c r="R78" s="17">
        <v>20.96436864</v>
      </c>
      <c r="S78" s="17">
        <v>18.32701862</v>
      </c>
      <c r="T78" s="17">
        <v>12.72878087</v>
      </c>
      <c r="AI78" s="100" t="s">
        <v>198</v>
      </c>
      <c r="AJ78" s="17">
        <v>3.0152012999999998</v>
      </c>
      <c r="AK78" s="17">
        <v>3.6009533</v>
      </c>
      <c r="AL78" s="17">
        <v>3.3825851899999999</v>
      </c>
      <c r="AM78" s="17">
        <v>2.8795920000000002</v>
      </c>
      <c r="AN78" s="17">
        <v>2.933405</v>
      </c>
    </row>
    <row r="79" spans="1:40" x14ac:dyDescent="0.25">
      <c r="A79" s="16" t="s">
        <v>196</v>
      </c>
      <c r="B79" s="17">
        <v>51.157495750000002</v>
      </c>
      <c r="C79" s="17">
        <v>54.793032359999998</v>
      </c>
      <c r="D79" s="17">
        <v>51.797562859999999</v>
      </c>
      <c r="E79" s="17">
        <v>57.001013189999995</v>
      </c>
      <c r="F79" s="17">
        <v>46.378972009999998</v>
      </c>
      <c r="O79" s="16" t="s">
        <v>198</v>
      </c>
      <c r="P79" s="17">
        <v>1.4551449999999999</v>
      </c>
      <c r="Q79" s="17">
        <v>1.7002539999999999</v>
      </c>
      <c r="R79" s="17">
        <v>1.833426</v>
      </c>
      <c r="S79" s="17">
        <v>1.305984</v>
      </c>
      <c r="T79" s="17">
        <v>1.8883449999999999</v>
      </c>
      <c r="AI79" s="100" t="s">
        <v>196</v>
      </c>
      <c r="AJ79" s="17">
        <v>101.27997747000001</v>
      </c>
      <c r="AK79" s="17">
        <v>104.35677228</v>
      </c>
      <c r="AL79" s="17">
        <v>101.84393449</v>
      </c>
      <c r="AM79" s="17">
        <v>102.84225318999999</v>
      </c>
      <c r="AN79" s="17">
        <v>89.14927895000001</v>
      </c>
    </row>
    <row r="80" spans="1:40" x14ac:dyDescent="0.25">
      <c r="A80" s="16" t="s">
        <v>194</v>
      </c>
      <c r="B80" s="17">
        <v>22.706810999999998</v>
      </c>
      <c r="C80" s="17">
        <v>23.120127699999998</v>
      </c>
      <c r="D80" s="17">
        <v>23.401466500000002</v>
      </c>
      <c r="E80" s="17">
        <v>24.694964460000001</v>
      </c>
      <c r="F80" s="17">
        <v>22.4726575</v>
      </c>
      <c r="O80" s="16" t="s">
        <v>196</v>
      </c>
      <c r="P80" s="17">
        <v>50.122481720000003</v>
      </c>
      <c r="Q80" s="17">
        <v>49.563739920000003</v>
      </c>
      <c r="R80" s="17">
        <v>50.046371629999996</v>
      </c>
      <c r="S80" s="17">
        <v>45.841239999999999</v>
      </c>
      <c r="T80" s="17">
        <v>42.770306939999998</v>
      </c>
      <c r="AI80" s="100" t="s">
        <v>194</v>
      </c>
      <c r="AJ80" s="17">
        <v>54.673745600000004</v>
      </c>
      <c r="AK80" s="17">
        <v>57.285821060000004</v>
      </c>
      <c r="AL80" s="17">
        <v>59.600932020000002</v>
      </c>
      <c r="AM80" s="17">
        <v>57.594064150000001</v>
      </c>
      <c r="AN80" s="17">
        <v>62.88498697</v>
      </c>
    </row>
    <row r="81" spans="1:40" x14ac:dyDescent="0.25">
      <c r="A81" s="16" t="s">
        <v>191</v>
      </c>
      <c r="B81" s="17">
        <v>0</v>
      </c>
      <c r="C81" s="17">
        <v>0</v>
      </c>
      <c r="D81" s="17">
        <v>0.90194454000000002</v>
      </c>
      <c r="E81" s="17">
        <v>1570.5804695300001</v>
      </c>
      <c r="F81" s="17">
        <v>2141.1002266800001</v>
      </c>
      <c r="O81" s="16" t="s">
        <v>194</v>
      </c>
      <c r="P81" s="17">
        <v>31.966934600000002</v>
      </c>
      <c r="Q81" s="17">
        <v>34.165693359999999</v>
      </c>
      <c r="R81" s="17">
        <v>36.199465519999997</v>
      </c>
      <c r="S81" s="17">
        <v>32.89909969</v>
      </c>
      <c r="T81" s="17">
        <v>40.412329469999996</v>
      </c>
      <c r="AI81" s="100" t="s">
        <v>191</v>
      </c>
      <c r="AJ81" s="17">
        <v>0</v>
      </c>
      <c r="AK81" s="17">
        <v>0</v>
      </c>
      <c r="AL81" s="17">
        <v>4927.5677048500002</v>
      </c>
      <c r="AM81" s="17">
        <v>4561.2113990799999</v>
      </c>
      <c r="AN81" s="17">
        <v>5400.7982588300001</v>
      </c>
    </row>
    <row r="82" spans="1:40" x14ac:dyDescent="0.25">
      <c r="A82" s="16" t="s">
        <v>189</v>
      </c>
      <c r="B82" s="17">
        <v>0</v>
      </c>
      <c r="C82" s="17">
        <v>0</v>
      </c>
      <c r="D82" s="17">
        <v>59.84009768</v>
      </c>
      <c r="E82" s="17">
        <v>123.88608733</v>
      </c>
      <c r="F82" s="17">
        <v>134.9605961</v>
      </c>
      <c r="O82" s="16" t="s">
        <v>191</v>
      </c>
      <c r="P82" s="17">
        <v>0</v>
      </c>
      <c r="Q82" s="17">
        <v>0</v>
      </c>
      <c r="R82" s="17">
        <v>4926.6657603099993</v>
      </c>
      <c r="S82" s="17">
        <v>2990.63092955</v>
      </c>
      <c r="T82" s="17">
        <v>3259.6980321499996</v>
      </c>
      <c r="AI82" s="100" t="s">
        <v>189</v>
      </c>
      <c r="AJ82" s="17">
        <v>0</v>
      </c>
      <c r="AK82" s="17">
        <v>0</v>
      </c>
      <c r="AL82" s="17">
        <v>225.29094516999999</v>
      </c>
      <c r="AM82" s="17">
        <v>255.25406354</v>
      </c>
      <c r="AN82" s="17">
        <v>473.64239077999997</v>
      </c>
    </row>
    <row r="83" spans="1:40" x14ac:dyDescent="0.25">
      <c r="A83" s="16" t="s">
        <v>187</v>
      </c>
      <c r="B83" s="17">
        <v>11.80306163</v>
      </c>
      <c r="C83" s="17">
        <v>12.0982804</v>
      </c>
      <c r="D83" s="17">
        <v>9.9592728799999986</v>
      </c>
      <c r="E83" s="17">
        <v>10.918625879999999</v>
      </c>
      <c r="F83" s="17">
        <v>11.135999999999999</v>
      </c>
      <c r="O83" s="16" t="s">
        <v>189</v>
      </c>
      <c r="P83" s="17">
        <v>0</v>
      </c>
      <c r="Q83" s="17">
        <v>0</v>
      </c>
      <c r="R83" s="17">
        <v>165.45084749</v>
      </c>
      <c r="S83" s="17">
        <v>131.36797620999999</v>
      </c>
      <c r="T83" s="17">
        <v>338.68179468</v>
      </c>
      <c r="AI83" s="100" t="s">
        <v>187</v>
      </c>
      <c r="AJ83" s="17">
        <v>22.128524500000001</v>
      </c>
      <c r="AK83" s="17">
        <v>21.451137760000002</v>
      </c>
      <c r="AL83" s="17">
        <v>20.495272879999998</v>
      </c>
      <c r="AM83" s="17">
        <v>21.19670816</v>
      </c>
      <c r="AN83" s="17">
        <v>18.686</v>
      </c>
    </row>
    <row r="84" spans="1:40" x14ac:dyDescent="0.25">
      <c r="A84" s="16" t="s">
        <v>185</v>
      </c>
      <c r="B84" s="17">
        <v>22.94425</v>
      </c>
      <c r="C84" s="17">
        <v>28.29175</v>
      </c>
      <c r="D84" s="17">
        <v>25.757000000000001</v>
      </c>
      <c r="E84" s="17">
        <v>27.173734530000001</v>
      </c>
      <c r="F84" s="17">
        <v>26.537500000000001</v>
      </c>
      <c r="O84" s="16" t="s">
        <v>187</v>
      </c>
      <c r="P84" s="17">
        <v>10.325462869999999</v>
      </c>
      <c r="Q84" s="17">
        <v>9.3528573600000016</v>
      </c>
      <c r="R84" s="17">
        <v>10.536</v>
      </c>
      <c r="S84" s="17">
        <v>10.27808228</v>
      </c>
      <c r="T84" s="17">
        <v>7.55</v>
      </c>
      <c r="AI84" s="100" t="s">
        <v>185</v>
      </c>
      <c r="AJ84" s="17">
        <v>33.332250000000002</v>
      </c>
      <c r="AK84" s="17">
        <v>32.294750000000001</v>
      </c>
      <c r="AL84" s="17">
        <v>28.401669999999999</v>
      </c>
      <c r="AM84" s="17">
        <v>30.330734530000001</v>
      </c>
      <c r="AN84" s="17">
        <v>28.5105</v>
      </c>
    </row>
    <row r="85" spans="1:40" x14ac:dyDescent="0.25">
      <c r="A85" s="16" t="s">
        <v>183</v>
      </c>
      <c r="B85" s="17">
        <v>0</v>
      </c>
      <c r="C85" s="17">
        <v>92.556176739999998</v>
      </c>
      <c r="D85" s="17">
        <v>383.67577193</v>
      </c>
      <c r="E85" s="17">
        <v>529.97899014999996</v>
      </c>
      <c r="F85" s="17">
        <v>594.39457805999996</v>
      </c>
      <c r="O85" s="16" t="s">
        <v>185</v>
      </c>
      <c r="P85" s="17">
        <v>10.388</v>
      </c>
      <c r="Q85" s="17">
        <v>4.0030000000000001</v>
      </c>
      <c r="R85" s="17">
        <v>2.6446700000000001</v>
      </c>
      <c r="S85" s="17">
        <v>3.157</v>
      </c>
      <c r="T85" s="17">
        <v>1.9730000000000001</v>
      </c>
      <c r="AI85" s="100" t="s">
        <v>183</v>
      </c>
      <c r="AJ85" s="17">
        <v>259.78283711</v>
      </c>
      <c r="AK85" s="17">
        <v>296.68459060999999</v>
      </c>
      <c r="AL85" s="17">
        <v>413.83904892000004</v>
      </c>
      <c r="AM85" s="17">
        <v>618.04805295000006</v>
      </c>
      <c r="AN85" s="17">
        <v>712.28457674000003</v>
      </c>
    </row>
    <row r="86" spans="1:40" x14ac:dyDescent="0.25">
      <c r="A86" s="16" t="s">
        <v>181</v>
      </c>
      <c r="B86" s="17">
        <v>0</v>
      </c>
      <c r="C86" s="17">
        <v>0</v>
      </c>
      <c r="D86" s="17">
        <v>0</v>
      </c>
      <c r="E86" s="17">
        <v>0</v>
      </c>
      <c r="F86" s="17">
        <v>0.87580753</v>
      </c>
      <c r="O86" s="16" t="s">
        <v>183</v>
      </c>
      <c r="P86" s="17">
        <v>259.78283711</v>
      </c>
      <c r="Q86" s="17">
        <v>204.12841387</v>
      </c>
      <c r="R86" s="17">
        <v>30.163276990000004</v>
      </c>
      <c r="S86" s="17">
        <v>88.069062799999998</v>
      </c>
      <c r="T86" s="17">
        <v>117.88999868000001</v>
      </c>
      <c r="AI86" s="100" t="s">
        <v>181</v>
      </c>
      <c r="AJ86" s="17">
        <v>0</v>
      </c>
      <c r="AK86" s="17">
        <v>0</v>
      </c>
      <c r="AL86" s="17">
        <v>0</v>
      </c>
      <c r="AM86" s="17">
        <v>3.0764545000000001</v>
      </c>
      <c r="AN86" s="17">
        <v>23.673250260000003</v>
      </c>
    </row>
    <row r="87" spans="1:40" x14ac:dyDescent="0.25">
      <c r="A87" s="16" t="s">
        <v>178</v>
      </c>
      <c r="B87" s="17">
        <v>0</v>
      </c>
      <c r="C87" s="17">
        <v>11211.43049026</v>
      </c>
      <c r="D87" s="17">
        <v>6259.2650252399999</v>
      </c>
      <c r="E87" s="17">
        <v>17800.972155759999</v>
      </c>
      <c r="F87" s="17">
        <v>20450.383145970001</v>
      </c>
      <c r="O87" s="16" t="s">
        <v>181</v>
      </c>
      <c r="P87" s="17">
        <v>0</v>
      </c>
      <c r="Q87" s="17">
        <v>0</v>
      </c>
      <c r="R87" s="17">
        <v>0</v>
      </c>
      <c r="S87" s="17">
        <v>3.0764545000000001</v>
      </c>
      <c r="T87" s="17">
        <v>22.79744273</v>
      </c>
      <c r="AI87" s="100" t="s">
        <v>178</v>
      </c>
      <c r="AJ87" s="17">
        <v>0</v>
      </c>
      <c r="AK87" s="17">
        <v>11211.43049026</v>
      </c>
      <c r="AL87" s="17">
        <v>6259.2650252399999</v>
      </c>
      <c r="AM87" s="17">
        <v>17800.972155759999</v>
      </c>
      <c r="AN87" s="17">
        <v>20450.383145970001</v>
      </c>
    </row>
    <row r="88" spans="1:40" x14ac:dyDescent="0.25">
      <c r="A88" s="16" t="s">
        <v>373</v>
      </c>
      <c r="B88" s="17">
        <v>0</v>
      </c>
      <c r="C88" s="17">
        <v>0</v>
      </c>
      <c r="D88" s="17">
        <v>2.7888699999999997E-3</v>
      </c>
      <c r="E88" s="17">
        <v>0</v>
      </c>
      <c r="F88" s="17">
        <v>0</v>
      </c>
      <c r="O88" s="16" t="s">
        <v>178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AI88" s="100" t="s">
        <v>373</v>
      </c>
      <c r="AJ88" s="17">
        <v>0</v>
      </c>
      <c r="AK88" s="17">
        <v>0</v>
      </c>
      <c r="AL88" s="17">
        <v>7.4354899999999995E-3</v>
      </c>
      <c r="AM88" s="17">
        <v>0</v>
      </c>
      <c r="AN88" s="17">
        <v>0</v>
      </c>
    </row>
    <row r="89" spans="1:40" x14ac:dyDescent="0.25">
      <c r="A89" s="16" t="s">
        <v>176</v>
      </c>
      <c r="B89" s="17">
        <v>699.35297088000004</v>
      </c>
      <c r="C89" s="17">
        <v>153.64945316999999</v>
      </c>
      <c r="D89" s="17">
        <v>1089.7038968299998</v>
      </c>
      <c r="E89" s="17">
        <v>434.46468753000005</v>
      </c>
      <c r="F89" s="17">
        <v>78.353828120000003</v>
      </c>
      <c r="O89" s="16" t="s">
        <v>373</v>
      </c>
      <c r="P89" s="17">
        <v>0</v>
      </c>
      <c r="Q89" s="17">
        <v>0</v>
      </c>
      <c r="R89" s="17">
        <v>4.6466199999999997E-3</v>
      </c>
      <c r="S89" s="17">
        <v>0</v>
      </c>
      <c r="T89" s="17">
        <v>0</v>
      </c>
      <c r="AI89" s="100" t="s">
        <v>176</v>
      </c>
      <c r="AJ89" s="17">
        <v>906.47376558000008</v>
      </c>
      <c r="AK89" s="17">
        <v>223.01911052</v>
      </c>
      <c r="AL89" s="17">
        <v>405.63203626999996</v>
      </c>
      <c r="AM89" s="17">
        <v>2763.1842993400001</v>
      </c>
      <c r="AN89" s="17">
        <v>396.30305337999999</v>
      </c>
    </row>
    <row r="90" spans="1:40" x14ac:dyDescent="0.25">
      <c r="A90" s="16" t="s">
        <v>174</v>
      </c>
      <c r="B90" s="17">
        <v>5.9999999999999995E-4</v>
      </c>
      <c r="C90" s="17">
        <v>11.978815089999999</v>
      </c>
      <c r="D90" s="17">
        <v>27.041750059999998</v>
      </c>
      <c r="E90" s="17">
        <v>28.306264710000001</v>
      </c>
      <c r="F90" s="17">
        <v>20.349617859999999</v>
      </c>
      <c r="O90" s="16" t="s">
        <v>176</v>
      </c>
      <c r="P90" s="17">
        <v>207.12079469999998</v>
      </c>
      <c r="Q90" s="17">
        <v>69.369657349999997</v>
      </c>
      <c r="R90" s="17">
        <v>-684.07186055999989</v>
      </c>
      <c r="S90" s="17">
        <v>2328.7196118100001</v>
      </c>
      <c r="T90" s="17">
        <v>317.94922526000005</v>
      </c>
      <c r="AI90" s="100" t="s">
        <v>174</v>
      </c>
      <c r="AJ90" s="17">
        <v>91.681751919999996</v>
      </c>
      <c r="AK90" s="17">
        <v>113.62328619</v>
      </c>
      <c r="AL90" s="17">
        <v>249.53996991</v>
      </c>
      <c r="AM90" s="17">
        <v>268.42372347000003</v>
      </c>
      <c r="AN90" s="17">
        <v>284.28025575999999</v>
      </c>
    </row>
    <row r="91" spans="1:40" x14ac:dyDescent="0.25">
      <c r="A91" s="16" t="s">
        <v>172</v>
      </c>
      <c r="B91" s="17">
        <v>924.92183315000011</v>
      </c>
      <c r="C91" s="17">
        <v>1450.8987650900001</v>
      </c>
      <c r="D91" s="17">
        <v>1836.8823237500001</v>
      </c>
      <c r="E91" s="17">
        <v>3939.2003588699999</v>
      </c>
      <c r="F91" s="17">
        <v>2987.7513190099999</v>
      </c>
      <c r="O91" s="16" t="s">
        <v>174</v>
      </c>
      <c r="P91" s="17">
        <v>91.681151920000005</v>
      </c>
      <c r="Q91" s="17">
        <v>101.64447109999999</v>
      </c>
      <c r="R91" s="17">
        <v>222.49821985</v>
      </c>
      <c r="S91" s="17">
        <v>240.11745875999998</v>
      </c>
      <c r="T91" s="17">
        <v>263.93063790000002</v>
      </c>
      <c r="AI91" s="100" t="s">
        <v>172</v>
      </c>
      <c r="AJ91" s="17">
        <v>2263.3056525000002</v>
      </c>
      <c r="AK91" s="17">
        <v>4129.3979074099998</v>
      </c>
      <c r="AL91" s="17">
        <v>3920.3973438400003</v>
      </c>
      <c r="AM91" s="17">
        <v>6100.9913750799997</v>
      </c>
      <c r="AN91" s="17">
        <v>6086.6924067899999</v>
      </c>
    </row>
    <row r="92" spans="1:40" x14ac:dyDescent="0.25">
      <c r="A92" s="16" t="s">
        <v>170</v>
      </c>
      <c r="B92" s="17">
        <v>367.20557113000001</v>
      </c>
      <c r="C92" s="17">
        <v>579.02001214999996</v>
      </c>
      <c r="D92" s="17">
        <v>332.41360667000004</v>
      </c>
      <c r="E92" s="17">
        <v>354.84915031000003</v>
      </c>
      <c r="F92" s="17">
        <v>429.65470950999998</v>
      </c>
      <c r="O92" s="16" t="s">
        <v>172</v>
      </c>
      <c r="P92" s="17">
        <v>1338.3838193499998</v>
      </c>
      <c r="Q92" s="17">
        <v>2678.4991423199999</v>
      </c>
      <c r="R92" s="17">
        <v>2083.5150200899998</v>
      </c>
      <c r="S92" s="17">
        <v>2161.7910162100002</v>
      </c>
      <c r="T92" s="17">
        <v>3098.9410877800001</v>
      </c>
      <c r="AI92" s="100" t="s">
        <v>170</v>
      </c>
      <c r="AJ92" s="17">
        <v>977.74673519000009</v>
      </c>
      <c r="AK92" s="17">
        <v>1125.26097613</v>
      </c>
      <c r="AL92" s="17">
        <v>1929.7917315899999</v>
      </c>
      <c r="AM92" s="17">
        <v>883.22149066999998</v>
      </c>
      <c r="AN92" s="17">
        <v>1107.52697285</v>
      </c>
    </row>
    <row r="93" spans="1:40" x14ac:dyDescent="0.25">
      <c r="A93" s="16" t="s">
        <v>167</v>
      </c>
      <c r="B93" s="17">
        <v>3697.1342285199999</v>
      </c>
      <c r="C93" s="17">
        <v>3728.38343614</v>
      </c>
      <c r="D93" s="17">
        <v>3105.5665610000001</v>
      </c>
      <c r="E93" s="17">
        <v>3617.1002469999999</v>
      </c>
      <c r="F93" s="17">
        <v>2369.1166505000001</v>
      </c>
      <c r="O93" s="16" t="s">
        <v>170</v>
      </c>
      <c r="P93" s="17">
        <v>610.54116405999991</v>
      </c>
      <c r="Q93" s="17">
        <v>546.24096397999995</v>
      </c>
      <c r="R93" s="17">
        <v>1597.3781249200001</v>
      </c>
      <c r="S93" s="17">
        <v>528.37234036000007</v>
      </c>
      <c r="T93" s="17">
        <v>677.8722633399999</v>
      </c>
      <c r="AI93" s="100" t="s">
        <v>167</v>
      </c>
      <c r="AJ93" s="17">
        <v>9471.2444337699999</v>
      </c>
      <c r="AK93" s="17">
        <v>6986.0163007600004</v>
      </c>
      <c r="AL93" s="17">
        <v>5542.2604243199994</v>
      </c>
      <c r="AM93" s="17">
        <v>6169.35991698</v>
      </c>
      <c r="AN93" s="17">
        <v>6869.4883229300003</v>
      </c>
    </row>
    <row r="94" spans="1:40" x14ac:dyDescent="0.25">
      <c r="A94" s="16" t="s">
        <v>165</v>
      </c>
      <c r="B94" s="17">
        <v>26.07366103</v>
      </c>
      <c r="C94" s="17">
        <v>2.6792585600000001</v>
      </c>
      <c r="D94" s="17">
        <v>29.068877029999999</v>
      </c>
      <c r="E94" s="17">
        <v>106.59439785000001</v>
      </c>
      <c r="F94" s="17">
        <v>37.225149930000008</v>
      </c>
      <c r="O94" s="16" t="s">
        <v>167</v>
      </c>
      <c r="P94" s="17">
        <v>5774.11020525</v>
      </c>
      <c r="Q94" s="17">
        <v>3257.6328646200004</v>
      </c>
      <c r="R94" s="17">
        <v>2436.6938633199998</v>
      </c>
      <c r="S94" s="17">
        <v>2552.2596699800001</v>
      </c>
      <c r="T94" s="17">
        <v>4500.3716724299993</v>
      </c>
      <c r="AI94" s="100" t="s">
        <v>165</v>
      </c>
      <c r="AJ94" s="17">
        <v>58.788872429999998</v>
      </c>
      <c r="AK94" s="17">
        <v>362.27353885000002</v>
      </c>
      <c r="AL94" s="17">
        <v>63.575594289999998</v>
      </c>
      <c r="AM94" s="17">
        <v>251.93986233999999</v>
      </c>
      <c r="AN94" s="17">
        <v>83.595461049999997</v>
      </c>
    </row>
    <row r="95" spans="1:40" x14ac:dyDescent="0.25">
      <c r="A95" s="16" t="s">
        <v>445</v>
      </c>
      <c r="B95" s="17">
        <v>0</v>
      </c>
      <c r="C95" s="17">
        <v>0</v>
      </c>
      <c r="D95" s="17">
        <v>0</v>
      </c>
      <c r="E95" s="17">
        <v>0</v>
      </c>
      <c r="F95" s="17">
        <v>0</v>
      </c>
      <c r="O95" s="16" t="s">
        <v>165</v>
      </c>
      <c r="P95" s="17">
        <v>32.715211400000001</v>
      </c>
      <c r="Q95" s="17">
        <v>359.59428029000003</v>
      </c>
      <c r="R95" s="17">
        <v>34.506717259999995</v>
      </c>
      <c r="S95" s="17">
        <v>145.34546448999998</v>
      </c>
      <c r="T95" s="17">
        <v>46.370311120000004</v>
      </c>
      <c r="AI95" s="100" t="s">
        <v>445</v>
      </c>
      <c r="AJ95" s="17">
        <v>0</v>
      </c>
      <c r="AK95" s="17">
        <v>0</v>
      </c>
      <c r="AL95" s="17">
        <v>0</v>
      </c>
      <c r="AM95" s="17">
        <v>0</v>
      </c>
      <c r="AN95" s="17">
        <v>42.12</v>
      </c>
    </row>
    <row r="96" spans="1:40" x14ac:dyDescent="0.25">
      <c r="A96" s="16" t="s">
        <v>163</v>
      </c>
      <c r="B96" s="17">
        <v>195.111873</v>
      </c>
      <c r="C96" s="17">
        <v>249.87278900000001</v>
      </c>
      <c r="D96" s="17">
        <v>179.60630760000001</v>
      </c>
      <c r="E96" s="17">
        <v>220.21950000000001</v>
      </c>
      <c r="F96" s="17">
        <v>114.223</v>
      </c>
      <c r="O96" s="16" t="s">
        <v>445</v>
      </c>
      <c r="P96" s="17">
        <v>0</v>
      </c>
      <c r="Q96" s="17">
        <v>0</v>
      </c>
      <c r="R96" s="17">
        <v>0</v>
      </c>
      <c r="S96" s="17">
        <v>0</v>
      </c>
      <c r="T96" s="17">
        <v>42.12</v>
      </c>
      <c r="AI96" s="100" t="s">
        <v>163</v>
      </c>
      <c r="AJ96" s="17">
        <v>777.981269</v>
      </c>
      <c r="AK96" s="17">
        <v>538.47249599999998</v>
      </c>
      <c r="AL96" s="17">
        <v>495.38093260000005</v>
      </c>
      <c r="AM96" s="17">
        <v>480.0095</v>
      </c>
      <c r="AN96" s="17">
        <v>181.28299999999999</v>
      </c>
    </row>
    <row r="97" spans="1:40" x14ac:dyDescent="0.25">
      <c r="A97" s="16" t="s">
        <v>161</v>
      </c>
      <c r="B97" s="17">
        <v>78.335991759999999</v>
      </c>
      <c r="C97" s="17">
        <v>104.5991913</v>
      </c>
      <c r="D97" s="17">
        <v>284.75829291999997</v>
      </c>
      <c r="E97" s="17">
        <v>35.917430059999994</v>
      </c>
      <c r="F97" s="17">
        <v>66.375646209999999</v>
      </c>
      <c r="O97" s="16" t="s">
        <v>163</v>
      </c>
      <c r="P97" s="17">
        <v>582.86939600000005</v>
      </c>
      <c r="Q97" s="17">
        <v>288.59970700000002</v>
      </c>
      <c r="R97" s="17">
        <v>315.77462500000001</v>
      </c>
      <c r="S97" s="17">
        <v>259.79000000000002</v>
      </c>
      <c r="T97" s="17">
        <v>67.06</v>
      </c>
      <c r="AI97" s="100" t="s">
        <v>161</v>
      </c>
      <c r="AJ97" s="17">
        <v>437.22028297000003</v>
      </c>
      <c r="AK97" s="17">
        <v>449.76617742000002</v>
      </c>
      <c r="AL97" s="17">
        <v>328.67665001999995</v>
      </c>
      <c r="AM97" s="17">
        <v>239.45653737000001</v>
      </c>
      <c r="AN97" s="17">
        <v>179.13160458999999</v>
      </c>
    </row>
    <row r="98" spans="1:40" x14ac:dyDescent="0.25">
      <c r="A98" s="16" t="s">
        <v>159</v>
      </c>
      <c r="B98" s="17">
        <v>0</v>
      </c>
      <c r="C98" s="17">
        <v>153.68876903</v>
      </c>
      <c r="D98" s="17">
        <v>92.858411840000002</v>
      </c>
      <c r="E98" s="17">
        <v>176.31281315000001</v>
      </c>
      <c r="F98" s="17">
        <v>0</v>
      </c>
      <c r="O98" s="16" t="s">
        <v>161</v>
      </c>
      <c r="P98" s="17">
        <v>358.88429121000001</v>
      </c>
      <c r="Q98" s="17">
        <v>345.16698611999999</v>
      </c>
      <c r="R98" s="17">
        <v>43.918357100000001</v>
      </c>
      <c r="S98" s="17">
        <v>203.53909176999997</v>
      </c>
      <c r="T98" s="17">
        <v>112.75595838</v>
      </c>
      <c r="AI98" s="100" t="s">
        <v>159</v>
      </c>
      <c r="AJ98" s="17">
        <v>133.6161812</v>
      </c>
      <c r="AK98" s="17">
        <v>153.68876903</v>
      </c>
      <c r="AL98" s="17">
        <v>92.858411840000002</v>
      </c>
      <c r="AM98" s="17">
        <v>176.31281315000001</v>
      </c>
      <c r="AN98" s="17">
        <v>168.26824762999999</v>
      </c>
    </row>
    <row r="99" spans="1:40" x14ac:dyDescent="0.25">
      <c r="A99" s="16" t="s">
        <v>157</v>
      </c>
      <c r="B99" s="17">
        <v>0</v>
      </c>
      <c r="C99" s="17">
        <v>0</v>
      </c>
      <c r="D99" s="17">
        <v>0</v>
      </c>
      <c r="E99" s="17">
        <v>6.3630000000000004</v>
      </c>
      <c r="F99" s="17">
        <v>4.1452</v>
      </c>
      <c r="O99" s="16" t="s">
        <v>159</v>
      </c>
      <c r="P99" s="17">
        <v>133.6161812</v>
      </c>
      <c r="Q99" s="17">
        <v>0</v>
      </c>
      <c r="R99" s="17">
        <v>0</v>
      </c>
      <c r="S99" s="17">
        <v>0</v>
      </c>
      <c r="T99" s="17">
        <v>168.26824762999999</v>
      </c>
      <c r="AI99" s="100" t="s">
        <v>157</v>
      </c>
      <c r="AJ99" s="17">
        <v>0</v>
      </c>
      <c r="AK99" s="17">
        <v>0</v>
      </c>
      <c r="AL99" s="17">
        <v>17.434000000000001</v>
      </c>
      <c r="AM99" s="17">
        <v>10.501099999999999</v>
      </c>
      <c r="AN99" s="17">
        <v>23.4862</v>
      </c>
    </row>
    <row r="100" spans="1:40" x14ac:dyDescent="0.25">
      <c r="A100" s="16" t="s">
        <v>155</v>
      </c>
      <c r="B100" s="17">
        <v>0</v>
      </c>
      <c r="C100" s="17">
        <v>0</v>
      </c>
      <c r="D100" s="17">
        <v>0</v>
      </c>
      <c r="E100" s="17">
        <v>0</v>
      </c>
      <c r="F100" s="17">
        <v>0</v>
      </c>
      <c r="O100" s="16" t="s">
        <v>157</v>
      </c>
      <c r="P100" s="17">
        <v>0</v>
      </c>
      <c r="Q100" s="17">
        <v>0</v>
      </c>
      <c r="R100" s="17">
        <v>17.434000000000001</v>
      </c>
      <c r="S100" s="17">
        <v>4.1380999999999997</v>
      </c>
      <c r="T100" s="17">
        <v>19.341000000000001</v>
      </c>
      <c r="AI100" s="100" t="s">
        <v>155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</row>
    <row r="101" spans="1:40" x14ac:dyDescent="0.25">
      <c r="A101" s="16" t="s">
        <v>153</v>
      </c>
      <c r="B101" s="17">
        <v>35.487915710000003</v>
      </c>
      <c r="C101" s="17">
        <v>116.06214329000001</v>
      </c>
      <c r="D101" s="17">
        <v>66.944386470000012</v>
      </c>
      <c r="E101" s="17">
        <v>103.23578325999999</v>
      </c>
      <c r="F101" s="17">
        <v>28.798939200000003</v>
      </c>
      <c r="O101" s="16" t="s">
        <v>155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AI101" s="100" t="s">
        <v>153</v>
      </c>
      <c r="AJ101" s="17">
        <v>173.85449015999998</v>
      </c>
      <c r="AK101" s="17">
        <v>185.21599377999999</v>
      </c>
      <c r="AL101" s="17">
        <v>1796.5088399599999</v>
      </c>
      <c r="AM101" s="17">
        <v>479.87066997000005</v>
      </c>
      <c r="AN101" s="17">
        <v>138.15689727</v>
      </c>
    </row>
    <row r="102" spans="1:40" x14ac:dyDescent="0.25">
      <c r="A102" s="16" t="s">
        <v>150</v>
      </c>
      <c r="B102" s="17">
        <v>45.617388929999997</v>
      </c>
      <c r="C102" s="17">
        <v>86.469046079999998</v>
      </c>
      <c r="D102" s="17">
        <v>30.97424943</v>
      </c>
      <c r="E102" s="17">
        <v>11.894282049999999</v>
      </c>
      <c r="F102" s="17">
        <v>31.066419109999998</v>
      </c>
      <c r="O102" s="16" t="s">
        <v>153</v>
      </c>
      <c r="P102" s="17">
        <v>138.36657445000003</v>
      </c>
      <c r="Q102" s="17">
        <v>69.153850489999996</v>
      </c>
      <c r="R102" s="17">
        <v>1729.5644534900002</v>
      </c>
      <c r="S102" s="17">
        <v>376.63488670999999</v>
      </c>
      <c r="T102" s="17">
        <v>109.35795807000001</v>
      </c>
      <c r="AI102" s="100" t="s">
        <v>150</v>
      </c>
      <c r="AJ102" s="17">
        <v>84.917328449999999</v>
      </c>
      <c r="AK102" s="17">
        <v>153.27679456999999</v>
      </c>
      <c r="AL102" s="17">
        <v>69.446524030000006</v>
      </c>
      <c r="AM102" s="17">
        <v>112.30572731999999</v>
      </c>
      <c r="AN102" s="17">
        <v>59.732514680000001</v>
      </c>
    </row>
    <row r="103" spans="1:40" x14ac:dyDescent="0.25">
      <c r="A103" s="16" t="s">
        <v>147</v>
      </c>
      <c r="B103" s="17">
        <v>338.17222851999998</v>
      </c>
      <c r="C103" s="17">
        <v>228.452268</v>
      </c>
      <c r="D103" s="17">
        <v>1950.96112453</v>
      </c>
      <c r="E103" s="17">
        <v>232.45183564999996</v>
      </c>
      <c r="F103" s="17">
        <v>254.74646402000002</v>
      </c>
      <c r="O103" s="16" t="s">
        <v>150</v>
      </c>
      <c r="P103" s="17">
        <v>39.299939520000002</v>
      </c>
      <c r="Q103" s="17">
        <v>66.807748490000009</v>
      </c>
      <c r="R103" s="17">
        <v>38.472274599999999</v>
      </c>
      <c r="S103" s="17">
        <v>100.41144527000002</v>
      </c>
      <c r="T103" s="17">
        <v>28.666095570000024</v>
      </c>
      <c r="AI103" s="100" t="s">
        <v>147</v>
      </c>
      <c r="AJ103" s="17">
        <v>357.36062480999999</v>
      </c>
      <c r="AK103" s="17">
        <v>13898.037553600001</v>
      </c>
      <c r="AL103" s="17">
        <v>2203.8331830399998</v>
      </c>
      <c r="AM103" s="17">
        <v>446.18489698000002</v>
      </c>
      <c r="AN103" s="17">
        <v>511.30222199999997</v>
      </c>
    </row>
    <row r="104" spans="1:40" x14ac:dyDescent="0.25">
      <c r="A104" s="16" t="s">
        <v>144</v>
      </c>
      <c r="B104" s="17">
        <v>2129.72702166</v>
      </c>
      <c r="C104" s="17">
        <v>1085.1057206199998</v>
      </c>
      <c r="D104" s="17">
        <v>1776.3420096499999</v>
      </c>
      <c r="E104" s="17">
        <v>17707.651869249999</v>
      </c>
      <c r="F104" s="17">
        <v>3872.1041095099999</v>
      </c>
      <c r="O104" s="16" t="s">
        <v>147</v>
      </c>
      <c r="P104" s="17">
        <v>19.188396289999993</v>
      </c>
      <c r="Q104" s="17">
        <v>13669.5852856</v>
      </c>
      <c r="R104" s="17">
        <v>252.87205850999999</v>
      </c>
      <c r="S104" s="17">
        <v>213.73306132999997</v>
      </c>
      <c r="T104" s="17">
        <v>256.55575798000001</v>
      </c>
      <c r="AI104" s="100" t="s">
        <v>144</v>
      </c>
      <c r="AJ104" s="17">
        <v>3580.1986367700001</v>
      </c>
      <c r="AK104" s="17">
        <v>2900.85272983</v>
      </c>
      <c r="AL104" s="17">
        <v>5781.1968074099996</v>
      </c>
      <c r="AM104" s="17">
        <v>21631.627613020002</v>
      </c>
      <c r="AN104" s="17">
        <v>5049.3890243400001</v>
      </c>
    </row>
    <row r="105" spans="1:40" x14ac:dyDescent="0.25">
      <c r="A105" s="16" t="s">
        <v>142</v>
      </c>
      <c r="B105" s="17">
        <v>700.55568460000006</v>
      </c>
      <c r="C105" s="17">
        <v>1064.89464561</v>
      </c>
      <c r="D105" s="17">
        <v>1301.1916474500001</v>
      </c>
      <c r="E105" s="17">
        <v>1912.8594589799998</v>
      </c>
      <c r="F105" s="17">
        <v>2067.29604715</v>
      </c>
      <c r="O105" s="16" t="s">
        <v>144</v>
      </c>
      <c r="P105" s="17">
        <v>1450.4716151100001</v>
      </c>
      <c r="Q105" s="17">
        <v>1815.74700921</v>
      </c>
      <c r="R105" s="17">
        <v>4004.8547977600001</v>
      </c>
      <c r="S105" s="17">
        <v>3923.97574377</v>
      </c>
      <c r="T105" s="17">
        <v>1177.2849148300002</v>
      </c>
      <c r="AI105" s="100" t="s">
        <v>142</v>
      </c>
      <c r="AJ105" s="17">
        <v>3079.2986836100004</v>
      </c>
      <c r="AK105" s="17">
        <v>2953.2222171399999</v>
      </c>
      <c r="AL105" s="17">
        <v>2874.9720689000001</v>
      </c>
      <c r="AM105" s="17">
        <v>3695.0067453899997</v>
      </c>
      <c r="AN105" s="17">
        <v>4191.1963995900005</v>
      </c>
    </row>
    <row r="106" spans="1:40" x14ac:dyDescent="0.25">
      <c r="A106" s="16" t="s">
        <v>403</v>
      </c>
      <c r="B106" s="17">
        <v>0</v>
      </c>
      <c r="C106" s="17">
        <v>0</v>
      </c>
      <c r="D106" s="17">
        <v>0</v>
      </c>
      <c r="E106" s="17">
        <v>0</v>
      </c>
      <c r="F106" s="17">
        <v>0</v>
      </c>
      <c r="O106" s="16" t="s">
        <v>142</v>
      </c>
      <c r="P106" s="17">
        <v>2378.7429990100004</v>
      </c>
      <c r="Q106" s="17">
        <v>1888.3275715299999</v>
      </c>
      <c r="R106" s="17">
        <v>1573.7804214499999</v>
      </c>
      <c r="S106" s="17">
        <v>1782.1472864099999</v>
      </c>
      <c r="T106" s="17">
        <v>2123.90035244</v>
      </c>
      <c r="AI106" s="100" t="s">
        <v>403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</row>
    <row r="107" spans="1:40" x14ac:dyDescent="0.25">
      <c r="A107" s="16" t="s">
        <v>402</v>
      </c>
      <c r="B107" s="17">
        <v>0</v>
      </c>
      <c r="C107" s="17">
        <v>0</v>
      </c>
      <c r="D107" s="17">
        <v>0</v>
      </c>
      <c r="E107" s="17">
        <v>0</v>
      </c>
      <c r="F107" s="17">
        <v>0</v>
      </c>
      <c r="O107" s="16" t="s">
        <v>403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AI107" s="100" t="s">
        <v>402</v>
      </c>
      <c r="AJ107" s="17">
        <v>0</v>
      </c>
      <c r="AK107" s="17">
        <v>0</v>
      </c>
      <c r="AL107" s="17">
        <v>1450</v>
      </c>
      <c r="AM107" s="17">
        <v>0</v>
      </c>
      <c r="AN107" s="17">
        <v>0</v>
      </c>
    </row>
    <row r="108" spans="1:40" x14ac:dyDescent="0.25">
      <c r="A108" s="16" t="s">
        <v>140</v>
      </c>
      <c r="B108" s="17">
        <v>3108.9464039999998</v>
      </c>
      <c r="C108" s="17">
        <v>19690.073613779998</v>
      </c>
      <c r="D108" s="17">
        <v>2084.64223008</v>
      </c>
      <c r="E108" s="17">
        <v>5944.1969852600005</v>
      </c>
      <c r="F108" s="17">
        <v>17273.139762239996</v>
      </c>
      <c r="O108" s="16" t="s">
        <v>402</v>
      </c>
      <c r="P108" s="17">
        <v>0</v>
      </c>
      <c r="Q108" s="17">
        <v>0</v>
      </c>
      <c r="R108" s="17">
        <v>1450</v>
      </c>
      <c r="S108" s="17">
        <v>0</v>
      </c>
      <c r="T108" s="17">
        <v>0</v>
      </c>
      <c r="AI108" s="100" t="s">
        <v>140</v>
      </c>
      <c r="AJ108" s="17">
        <v>26682.221380999999</v>
      </c>
      <c r="AK108" s="17">
        <v>27416</v>
      </c>
      <c r="AL108" s="17">
        <v>28963.278908</v>
      </c>
      <c r="AM108" s="17">
        <v>31039.65420234</v>
      </c>
      <c r="AN108" s="17">
        <v>31608.191648520002</v>
      </c>
    </row>
    <row r="109" spans="1:40" x14ac:dyDescent="0.25">
      <c r="A109" s="16" t="s">
        <v>372</v>
      </c>
      <c r="B109" s="17">
        <v>1517.5541800399999</v>
      </c>
      <c r="C109" s="17">
        <v>0</v>
      </c>
      <c r="D109" s="17">
        <v>0</v>
      </c>
      <c r="E109" s="17">
        <v>0</v>
      </c>
      <c r="F109" s="17">
        <v>0</v>
      </c>
      <c r="O109" s="16" t="s">
        <v>140</v>
      </c>
      <c r="P109" s="17">
        <v>23573.274977000001</v>
      </c>
      <c r="Q109" s="17">
        <v>7725.9263862199978</v>
      </c>
      <c r="R109" s="17">
        <v>26878.636677920003</v>
      </c>
      <c r="S109" s="17">
        <v>25095.457217079998</v>
      </c>
      <c r="T109" s="17">
        <v>14335.05188628</v>
      </c>
      <c r="AI109" s="100" t="s">
        <v>372</v>
      </c>
      <c r="AJ109" s="17">
        <v>1517.5541800399999</v>
      </c>
      <c r="AK109" s="17">
        <v>0</v>
      </c>
      <c r="AL109" s="17">
        <v>0</v>
      </c>
      <c r="AM109" s="17">
        <v>0</v>
      </c>
      <c r="AN109" s="17">
        <v>0</v>
      </c>
    </row>
    <row r="110" spans="1:40" x14ac:dyDescent="0.25">
      <c r="A110" s="16" t="s">
        <v>138</v>
      </c>
      <c r="B110" s="17">
        <v>2965.9937500000001</v>
      </c>
      <c r="C110" s="17">
        <v>2643.4160000000002</v>
      </c>
      <c r="D110" s="17">
        <v>6531.6324999999997</v>
      </c>
      <c r="E110" s="17">
        <v>4498.3824999999997</v>
      </c>
      <c r="F110" s="17">
        <v>4477.8874999999998</v>
      </c>
      <c r="O110" s="16" t="s">
        <v>372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AI110" s="100" t="s">
        <v>138</v>
      </c>
      <c r="AJ110" s="17">
        <v>7617.5137500000001</v>
      </c>
      <c r="AK110" s="17">
        <v>12547.2835</v>
      </c>
      <c r="AL110" s="17">
        <v>14988.807500000001</v>
      </c>
      <c r="AM110" s="17">
        <v>10058.606250000001</v>
      </c>
      <c r="AN110" s="17">
        <v>9292.6662500000002</v>
      </c>
    </row>
    <row r="111" spans="1:40" x14ac:dyDescent="0.25">
      <c r="A111" s="16" t="s">
        <v>136</v>
      </c>
      <c r="B111" s="17">
        <v>500</v>
      </c>
      <c r="C111" s="17">
        <v>500</v>
      </c>
      <c r="D111" s="17">
        <v>666.66666666999993</v>
      </c>
      <c r="E111" s="17">
        <v>750</v>
      </c>
      <c r="F111" s="17">
        <v>750</v>
      </c>
      <c r="O111" s="16" t="s">
        <v>138</v>
      </c>
      <c r="P111" s="17">
        <v>4651.5200000000004</v>
      </c>
      <c r="Q111" s="17">
        <v>9903.8675000000003</v>
      </c>
      <c r="R111" s="17">
        <v>8457.1749999999993</v>
      </c>
      <c r="S111" s="17">
        <v>5560.2237500000001</v>
      </c>
      <c r="T111" s="17">
        <v>4814.7787500000004</v>
      </c>
      <c r="AI111" s="100" t="s">
        <v>136</v>
      </c>
      <c r="AJ111" s="17">
        <v>900</v>
      </c>
      <c r="AK111" s="17">
        <v>1300</v>
      </c>
      <c r="AL111" s="17">
        <v>2000.00000002</v>
      </c>
      <c r="AM111" s="17">
        <v>1350</v>
      </c>
      <c r="AN111" s="17">
        <v>1500</v>
      </c>
    </row>
    <row r="112" spans="1:40" x14ac:dyDescent="0.25">
      <c r="A112" s="16" t="s">
        <v>134</v>
      </c>
      <c r="B112" s="17">
        <v>29924.999500000002</v>
      </c>
      <c r="C112" s="17">
        <v>28903.0000005</v>
      </c>
      <c r="D112" s="17">
        <v>29839.0105635</v>
      </c>
      <c r="E112" s="17">
        <v>32379.718840739999</v>
      </c>
      <c r="F112" s="17">
        <v>38130.131423400002</v>
      </c>
      <c r="O112" s="16" t="s">
        <v>136</v>
      </c>
      <c r="P112" s="17">
        <v>400</v>
      </c>
      <c r="Q112" s="17">
        <v>800</v>
      </c>
      <c r="R112" s="17">
        <v>1333.33333335</v>
      </c>
      <c r="S112" s="17">
        <v>600</v>
      </c>
      <c r="T112" s="17">
        <v>750</v>
      </c>
      <c r="AI112" s="100" t="s">
        <v>134</v>
      </c>
      <c r="AJ112" s="17">
        <v>59849.999000000003</v>
      </c>
      <c r="AK112" s="17">
        <v>69806</v>
      </c>
      <c r="AL112" s="17">
        <v>69380.271107499997</v>
      </c>
      <c r="AM112" s="17">
        <v>69048.916373339991</v>
      </c>
      <c r="AN112" s="17">
        <v>76552.457942990004</v>
      </c>
    </row>
    <row r="113" spans="1:40" x14ac:dyDescent="0.25">
      <c r="A113" s="16" t="s">
        <v>132</v>
      </c>
      <c r="B113" s="17">
        <v>20114.050028330003</v>
      </c>
      <c r="C113" s="17">
        <v>2587.5969679999998</v>
      </c>
      <c r="D113" s="17">
        <v>15765.425866879999</v>
      </c>
      <c r="E113" s="17">
        <v>17738.27482898</v>
      </c>
      <c r="F113" s="17">
        <v>18078.60628896</v>
      </c>
      <c r="O113" s="16" t="s">
        <v>134</v>
      </c>
      <c r="P113" s="17">
        <v>29924.999500000002</v>
      </c>
      <c r="Q113" s="17">
        <v>40902.999999500003</v>
      </c>
      <c r="R113" s="17">
        <v>39541.260543999997</v>
      </c>
      <c r="S113" s="17">
        <v>36669.197532599996</v>
      </c>
      <c r="T113" s="17">
        <v>38422.326519589995</v>
      </c>
      <c r="AI113" s="100" t="s">
        <v>132</v>
      </c>
      <c r="AJ113" s="17">
        <v>21248.463764</v>
      </c>
      <c r="AK113" s="17">
        <v>19158</v>
      </c>
      <c r="AL113" s="17">
        <v>19156.518689619999</v>
      </c>
      <c r="AM113" s="17">
        <v>17738.27482898</v>
      </c>
      <c r="AN113" s="17">
        <v>18078.60628896</v>
      </c>
    </row>
    <row r="114" spans="1:40" x14ac:dyDescent="0.25">
      <c r="A114" s="16" t="s">
        <v>130</v>
      </c>
      <c r="B114" s="17">
        <v>18900</v>
      </c>
      <c r="C114" s="17">
        <v>23095.238095000001</v>
      </c>
      <c r="D114" s="17">
        <v>15163.09640215</v>
      </c>
      <c r="E114" s="17">
        <v>23327.664595150003</v>
      </c>
      <c r="F114" s="17">
        <v>23324.933064099998</v>
      </c>
      <c r="O114" s="16" t="s">
        <v>132</v>
      </c>
      <c r="P114" s="17">
        <v>1134.4137356700001</v>
      </c>
      <c r="Q114" s="17">
        <v>16570.403031999998</v>
      </c>
      <c r="R114" s="17">
        <v>3391.09282274</v>
      </c>
      <c r="S114" s="17">
        <v>0</v>
      </c>
      <c r="T114" s="17">
        <v>0</v>
      </c>
      <c r="AI114" s="100" t="s">
        <v>130</v>
      </c>
      <c r="AJ114" s="17">
        <v>48500</v>
      </c>
      <c r="AK114" s="17">
        <v>48500</v>
      </c>
      <c r="AL114" s="17">
        <v>45375.82730615</v>
      </c>
      <c r="AM114" s="17">
        <v>47530.506612550002</v>
      </c>
      <c r="AN114" s="17">
        <v>44165.38618252</v>
      </c>
    </row>
    <row r="115" spans="1:40" x14ac:dyDescent="0.25">
      <c r="A115" s="16" t="s">
        <v>128</v>
      </c>
      <c r="B115" s="17">
        <v>4244</v>
      </c>
      <c r="C115" s="17">
        <v>2010.432</v>
      </c>
      <c r="D115" s="17">
        <v>2756.75</v>
      </c>
      <c r="E115" s="17">
        <v>2990.5176001999998</v>
      </c>
      <c r="F115" s="17">
        <v>3025.61204</v>
      </c>
      <c r="O115" s="16" t="s">
        <v>130</v>
      </c>
      <c r="P115" s="17">
        <v>29600</v>
      </c>
      <c r="Q115" s="17">
        <v>25404.761904999999</v>
      </c>
      <c r="R115" s="17">
        <v>30212.730904</v>
      </c>
      <c r="S115" s="17">
        <v>24202.842017400002</v>
      </c>
      <c r="T115" s="17">
        <v>20840.453118419999</v>
      </c>
      <c r="AI115" s="100" t="s">
        <v>128</v>
      </c>
      <c r="AJ115" s="17">
        <v>7236.5119999999997</v>
      </c>
      <c r="AK115" s="17">
        <v>7036.5</v>
      </c>
      <c r="AL115" s="17">
        <v>7177.2422399999996</v>
      </c>
      <c r="AM115" s="17">
        <v>6579.1387201999996</v>
      </c>
      <c r="AN115" s="17">
        <v>7102.426571</v>
      </c>
    </row>
    <row r="116" spans="1:40" x14ac:dyDescent="0.25">
      <c r="A116" s="16" t="s">
        <v>126</v>
      </c>
      <c r="B116" s="17">
        <v>646.69017199999996</v>
      </c>
      <c r="C116" s="17">
        <v>561.49498400000004</v>
      </c>
      <c r="D116" s="17">
        <v>779.22138900000004</v>
      </c>
      <c r="E116" s="17">
        <v>762.77893115999996</v>
      </c>
      <c r="F116" s="17">
        <v>685.93038363000005</v>
      </c>
      <c r="O116" s="16" t="s">
        <v>128</v>
      </c>
      <c r="P116" s="17">
        <v>2992.5120000000002</v>
      </c>
      <c r="Q116" s="17">
        <v>5026.0680000000002</v>
      </c>
      <c r="R116" s="17">
        <v>4420.4922399999996</v>
      </c>
      <c r="S116" s="17">
        <v>3588.6211199999998</v>
      </c>
      <c r="T116" s="17">
        <v>4076.814531</v>
      </c>
      <c r="AI116" s="100" t="s">
        <v>126</v>
      </c>
      <c r="AJ116" s="17">
        <v>1236.5989589999999</v>
      </c>
      <c r="AK116" s="17">
        <v>1313.070481</v>
      </c>
      <c r="AL116" s="17">
        <v>1564.765126</v>
      </c>
      <c r="AM116" s="17">
        <v>1579.06270277</v>
      </c>
      <c r="AN116" s="17">
        <v>1846.2698466500001</v>
      </c>
    </row>
    <row r="117" spans="1:40" x14ac:dyDescent="0.25">
      <c r="A117" s="16" t="s">
        <v>124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O117" s="16" t="s">
        <v>126</v>
      </c>
      <c r="P117" s="17">
        <v>589.90878699999996</v>
      </c>
      <c r="Q117" s="17">
        <v>751.57549700000004</v>
      </c>
      <c r="R117" s="17">
        <v>785.54373699999996</v>
      </c>
      <c r="S117" s="17">
        <v>816.28377160999992</v>
      </c>
      <c r="T117" s="17">
        <v>1160.33946302</v>
      </c>
      <c r="AI117" s="100" t="s">
        <v>124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</row>
    <row r="118" spans="1:40" x14ac:dyDescent="0.25">
      <c r="A118" s="16" t="s">
        <v>122</v>
      </c>
      <c r="B118" s="17">
        <v>957.84903067999994</v>
      </c>
      <c r="C118" s="17">
        <v>1660.1613067000001</v>
      </c>
      <c r="D118" s="17">
        <v>1295.3289451199998</v>
      </c>
      <c r="E118" s="17">
        <v>1314.92068503</v>
      </c>
      <c r="F118" s="17">
        <v>1380.8028385600001</v>
      </c>
      <c r="O118" s="16" t="s">
        <v>124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AI118" s="100" t="s">
        <v>122</v>
      </c>
      <c r="AJ118" s="17">
        <v>2368.3311657099998</v>
      </c>
      <c r="AK118" s="17">
        <v>3329.49117084</v>
      </c>
      <c r="AL118" s="17">
        <v>3018.0514665400001</v>
      </c>
      <c r="AM118" s="17">
        <v>3116.2607183800001</v>
      </c>
      <c r="AN118" s="17">
        <v>3237.2976666999998</v>
      </c>
    </row>
    <row r="119" spans="1:40" x14ac:dyDescent="0.25">
      <c r="A119" s="16" t="s">
        <v>443</v>
      </c>
      <c r="B119" s="17">
        <v>602.20729547000008</v>
      </c>
      <c r="C119" s="17">
        <v>0</v>
      </c>
      <c r="D119" s="17">
        <v>0</v>
      </c>
      <c r="E119" s="17">
        <v>0</v>
      </c>
      <c r="F119" s="17">
        <v>0</v>
      </c>
      <c r="O119" s="16" t="s">
        <v>122</v>
      </c>
      <c r="P119" s="17">
        <v>1410.4821350299999</v>
      </c>
      <c r="Q119" s="17">
        <v>1669.3298641399999</v>
      </c>
      <c r="R119" s="17">
        <v>1722.72252142</v>
      </c>
      <c r="S119" s="17">
        <v>1801.3400333500001</v>
      </c>
      <c r="T119" s="17">
        <v>1856.4948281399998</v>
      </c>
      <c r="AI119" s="100" t="s">
        <v>443</v>
      </c>
      <c r="AJ119" s="17">
        <v>602.20729547000008</v>
      </c>
      <c r="AK119" s="17">
        <v>0</v>
      </c>
      <c r="AL119" s="17">
        <v>0</v>
      </c>
      <c r="AM119" s="17">
        <v>0</v>
      </c>
      <c r="AN119" s="17">
        <v>0</v>
      </c>
    </row>
    <row r="120" spans="1:40" x14ac:dyDescent="0.25">
      <c r="A120" s="16" t="s">
        <v>120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O120" s="16" t="s">
        <v>443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AI120" s="100" t="s">
        <v>120</v>
      </c>
      <c r="AJ120" s="17">
        <v>0</v>
      </c>
      <c r="AK120" s="17">
        <v>0</v>
      </c>
      <c r="AL120" s="17">
        <v>0</v>
      </c>
      <c r="AM120" s="17">
        <v>529.61199999999997</v>
      </c>
      <c r="AN120" s="17">
        <v>647.73</v>
      </c>
    </row>
    <row r="121" spans="1:40" x14ac:dyDescent="0.25">
      <c r="A121" s="16" t="s">
        <v>118</v>
      </c>
      <c r="B121" s="17">
        <v>0</v>
      </c>
      <c r="C121" s="17">
        <v>0</v>
      </c>
      <c r="D121" s="17">
        <v>42.343580509999995</v>
      </c>
      <c r="E121" s="17">
        <v>218.61956691999998</v>
      </c>
      <c r="F121" s="17">
        <v>233.87001140999999</v>
      </c>
      <c r="O121" s="16" t="s">
        <v>120</v>
      </c>
      <c r="P121" s="17">
        <v>0</v>
      </c>
      <c r="Q121" s="17">
        <v>0</v>
      </c>
      <c r="R121" s="17">
        <v>0</v>
      </c>
      <c r="S121" s="17">
        <v>529.61199999999997</v>
      </c>
      <c r="T121" s="17">
        <v>647.73</v>
      </c>
      <c r="AI121" s="100" t="s">
        <v>118</v>
      </c>
      <c r="AJ121" s="17">
        <v>0</v>
      </c>
      <c r="AK121" s="17">
        <v>304.24479160999999</v>
      </c>
      <c r="AL121" s="17">
        <v>505.30751306000002</v>
      </c>
      <c r="AM121" s="17">
        <v>414.14114455000004</v>
      </c>
      <c r="AN121" s="17">
        <v>428.44068308999999</v>
      </c>
    </row>
    <row r="122" spans="1:40" x14ac:dyDescent="0.25">
      <c r="A122" s="16" t="s">
        <v>431</v>
      </c>
      <c r="B122" s="17">
        <v>0</v>
      </c>
      <c r="C122" s="17">
        <v>2631.4273500200002</v>
      </c>
      <c r="D122" s="17">
        <v>0</v>
      </c>
      <c r="E122" s="17">
        <v>0</v>
      </c>
      <c r="F122" s="17">
        <v>0</v>
      </c>
      <c r="O122" s="16" t="s">
        <v>118</v>
      </c>
      <c r="P122" s="17">
        <v>0</v>
      </c>
      <c r="Q122" s="17">
        <v>304.24479160999999</v>
      </c>
      <c r="R122" s="17">
        <v>462.96393255000004</v>
      </c>
      <c r="S122" s="17">
        <v>195.52157763</v>
      </c>
      <c r="T122" s="17">
        <v>194.57067168</v>
      </c>
      <c r="AI122" s="100" t="s">
        <v>431</v>
      </c>
      <c r="AJ122" s="17">
        <v>0</v>
      </c>
      <c r="AK122" s="17">
        <v>2631.4273500200002</v>
      </c>
      <c r="AL122" s="17">
        <v>0</v>
      </c>
      <c r="AM122" s="17">
        <v>0</v>
      </c>
      <c r="AN122" s="17">
        <v>0</v>
      </c>
    </row>
    <row r="123" spans="1:40" x14ac:dyDescent="0.25">
      <c r="A123" s="16" t="s">
        <v>397</v>
      </c>
      <c r="B123" s="17">
        <v>0</v>
      </c>
      <c r="C123" s="17">
        <v>0</v>
      </c>
      <c r="D123" s="17">
        <v>126.3326</v>
      </c>
      <c r="E123" s="17">
        <v>0</v>
      </c>
      <c r="F123" s="17">
        <v>0</v>
      </c>
      <c r="O123" s="16" t="s">
        <v>431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AI123" s="100" t="s">
        <v>397</v>
      </c>
      <c r="AJ123" s="17">
        <v>0</v>
      </c>
      <c r="AK123" s="17">
        <v>0</v>
      </c>
      <c r="AL123" s="17">
        <v>126.3326</v>
      </c>
      <c r="AM123" s="17">
        <v>0</v>
      </c>
      <c r="AN123" s="17">
        <v>0</v>
      </c>
    </row>
    <row r="124" spans="1:40" x14ac:dyDescent="0.25">
      <c r="A124" s="16" t="s">
        <v>430</v>
      </c>
      <c r="B124" s="17">
        <v>0</v>
      </c>
      <c r="C124" s="17">
        <v>0.3365861</v>
      </c>
      <c r="D124" s="17">
        <v>0</v>
      </c>
      <c r="E124" s="17">
        <v>0</v>
      </c>
      <c r="F124" s="17">
        <v>0</v>
      </c>
      <c r="O124" s="16" t="s">
        <v>397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AI124" s="100" t="s">
        <v>430</v>
      </c>
      <c r="AJ124" s="17">
        <v>0</v>
      </c>
      <c r="AK124" s="17">
        <v>0.3365861</v>
      </c>
      <c r="AL124" s="17">
        <v>0</v>
      </c>
      <c r="AM124" s="17">
        <v>0</v>
      </c>
      <c r="AN124" s="17">
        <v>0</v>
      </c>
    </row>
    <row r="125" spans="1:40" x14ac:dyDescent="0.25">
      <c r="A125" s="16" t="s">
        <v>395</v>
      </c>
      <c r="B125" s="17">
        <v>0</v>
      </c>
      <c r="C125" s="17">
        <v>0</v>
      </c>
      <c r="D125" s="17">
        <v>0</v>
      </c>
      <c r="E125" s="17">
        <v>0</v>
      </c>
      <c r="F125" s="17">
        <v>0</v>
      </c>
      <c r="O125" s="16" t="s">
        <v>430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AI125" s="100" t="s">
        <v>395</v>
      </c>
      <c r="AJ125" s="17">
        <v>0</v>
      </c>
      <c r="AK125" s="17">
        <v>0</v>
      </c>
      <c r="AL125" s="17">
        <v>32.664045000000002</v>
      </c>
      <c r="AM125" s="17">
        <v>0</v>
      </c>
      <c r="AN125" s="17">
        <v>0</v>
      </c>
    </row>
    <row r="126" spans="1:40" x14ac:dyDescent="0.25">
      <c r="A126" s="16" t="s">
        <v>371</v>
      </c>
      <c r="B126" s="17">
        <v>0</v>
      </c>
      <c r="C126" s="17">
        <v>0</v>
      </c>
      <c r="D126" s="17">
        <v>0</v>
      </c>
      <c r="E126" s="17">
        <v>0</v>
      </c>
      <c r="F126" s="17">
        <v>0</v>
      </c>
      <c r="O126" s="16" t="s">
        <v>395</v>
      </c>
      <c r="P126" s="17">
        <v>0</v>
      </c>
      <c r="Q126" s="17">
        <v>0</v>
      </c>
      <c r="R126" s="17">
        <v>32.664045000000002</v>
      </c>
      <c r="S126" s="17">
        <v>0</v>
      </c>
      <c r="T126" s="17">
        <v>0</v>
      </c>
      <c r="AI126" s="100" t="s">
        <v>371</v>
      </c>
      <c r="AJ126" s="17">
        <v>0</v>
      </c>
      <c r="AK126" s="17">
        <v>0</v>
      </c>
      <c r="AL126" s="17">
        <v>0</v>
      </c>
      <c r="AM126" s="17">
        <v>385.92512058999995</v>
      </c>
      <c r="AN126" s="17">
        <v>0</v>
      </c>
    </row>
    <row r="127" spans="1:40" x14ac:dyDescent="0.25">
      <c r="A127" s="16" t="s">
        <v>115</v>
      </c>
      <c r="B127" s="17">
        <v>3</v>
      </c>
      <c r="C127" s="17">
        <v>7</v>
      </c>
      <c r="D127" s="17">
        <v>0</v>
      </c>
      <c r="E127" s="17">
        <v>3.7</v>
      </c>
      <c r="F127" s="17">
        <v>0</v>
      </c>
      <c r="O127" s="16" t="s">
        <v>371</v>
      </c>
      <c r="P127" s="17">
        <v>0</v>
      </c>
      <c r="Q127" s="17">
        <v>0</v>
      </c>
      <c r="R127" s="17">
        <v>0</v>
      </c>
      <c r="S127" s="17">
        <v>385.92512058999995</v>
      </c>
      <c r="T127" s="17">
        <v>0</v>
      </c>
      <c r="AI127" s="100" t="s">
        <v>115</v>
      </c>
      <c r="AJ127" s="17">
        <v>3</v>
      </c>
      <c r="AK127" s="17">
        <v>7</v>
      </c>
      <c r="AL127" s="17">
        <v>0</v>
      </c>
      <c r="AM127" s="17">
        <v>3.7</v>
      </c>
      <c r="AN127" s="17">
        <v>0</v>
      </c>
    </row>
    <row r="128" spans="1:40" x14ac:dyDescent="0.25">
      <c r="A128" s="16" t="s">
        <v>113</v>
      </c>
      <c r="B128" s="17">
        <v>0.3</v>
      </c>
      <c r="C128" s="17">
        <v>0</v>
      </c>
      <c r="D128" s="17">
        <v>0</v>
      </c>
      <c r="E128" s="17">
        <v>0</v>
      </c>
      <c r="F128" s="17">
        <v>0.3</v>
      </c>
      <c r="O128" s="16" t="s">
        <v>115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AI128" s="100" t="s">
        <v>113</v>
      </c>
      <c r="AJ128" s="17">
        <v>0.3</v>
      </c>
      <c r="AK128" s="17">
        <v>0</v>
      </c>
      <c r="AL128" s="17">
        <v>0.2</v>
      </c>
      <c r="AM128" s="17">
        <v>0</v>
      </c>
      <c r="AN128" s="17">
        <v>0.3</v>
      </c>
    </row>
    <row r="129" spans="1:40" x14ac:dyDescent="0.25">
      <c r="A129" s="16" t="s">
        <v>111</v>
      </c>
      <c r="B129" s="17">
        <v>0</v>
      </c>
      <c r="C129" s="17">
        <v>0</v>
      </c>
      <c r="D129" s="17">
        <v>32.9</v>
      </c>
      <c r="E129" s="17">
        <v>38.799999999999997</v>
      </c>
      <c r="F129" s="17">
        <v>35.200000000000003</v>
      </c>
      <c r="O129" s="16" t="s">
        <v>113</v>
      </c>
      <c r="P129" s="17">
        <v>0</v>
      </c>
      <c r="Q129" s="17">
        <v>0</v>
      </c>
      <c r="R129" s="17">
        <v>0.2</v>
      </c>
      <c r="S129" s="17">
        <v>0</v>
      </c>
      <c r="T129" s="17">
        <v>0</v>
      </c>
      <c r="AI129" s="100" t="s">
        <v>111</v>
      </c>
      <c r="AJ129" s="17">
        <v>11.7</v>
      </c>
      <c r="AK129" s="17">
        <v>44.1</v>
      </c>
      <c r="AL129" s="17">
        <v>32.9</v>
      </c>
      <c r="AM129" s="17">
        <v>38.799999999999997</v>
      </c>
      <c r="AN129" s="17">
        <v>35.200000000000003</v>
      </c>
    </row>
    <row r="130" spans="1:40" x14ac:dyDescent="0.25">
      <c r="A130" s="16" t="s">
        <v>109</v>
      </c>
      <c r="B130" s="17">
        <v>2.7</v>
      </c>
      <c r="C130" s="17">
        <v>4.0999999999999996</v>
      </c>
      <c r="D130" s="17">
        <v>5.0999999999999996</v>
      </c>
      <c r="E130" s="17">
        <v>0</v>
      </c>
      <c r="F130" s="17">
        <v>7</v>
      </c>
      <c r="O130" s="16" t="s">
        <v>111</v>
      </c>
      <c r="P130" s="17">
        <v>11.7</v>
      </c>
      <c r="Q130" s="17">
        <v>44.1</v>
      </c>
      <c r="R130" s="17">
        <v>0</v>
      </c>
      <c r="S130" s="17">
        <v>0</v>
      </c>
      <c r="T130" s="17">
        <v>0</v>
      </c>
      <c r="AI130" s="100" t="s">
        <v>109</v>
      </c>
      <c r="AJ130" s="17">
        <v>2.7</v>
      </c>
      <c r="AK130" s="17">
        <v>4.0999999999999996</v>
      </c>
      <c r="AL130" s="17">
        <v>5.0999999999999996</v>
      </c>
      <c r="AM130" s="17">
        <v>7.1</v>
      </c>
      <c r="AN130" s="17">
        <v>7</v>
      </c>
    </row>
    <row r="131" spans="1:40" x14ac:dyDescent="0.25">
      <c r="A131" s="16" t="s">
        <v>107</v>
      </c>
      <c r="B131" s="17">
        <v>9.3000000000000007</v>
      </c>
      <c r="C131" s="17">
        <v>10.1</v>
      </c>
      <c r="D131" s="17">
        <v>19.5</v>
      </c>
      <c r="E131" s="17">
        <v>53.3</v>
      </c>
      <c r="F131" s="17">
        <v>51.4</v>
      </c>
      <c r="O131" s="16" t="s">
        <v>109</v>
      </c>
      <c r="P131" s="17">
        <v>0</v>
      </c>
      <c r="Q131" s="17">
        <v>0</v>
      </c>
      <c r="R131" s="17">
        <v>0</v>
      </c>
      <c r="S131" s="17">
        <v>7.1</v>
      </c>
      <c r="T131" s="17">
        <v>0</v>
      </c>
      <c r="AI131" s="100" t="s">
        <v>107</v>
      </c>
      <c r="AJ131" s="17">
        <v>9.3000000000000007</v>
      </c>
      <c r="AK131" s="17">
        <v>10.1</v>
      </c>
      <c r="AL131" s="17">
        <v>19.5</v>
      </c>
      <c r="AM131" s="17">
        <v>53.3</v>
      </c>
      <c r="AN131" s="17">
        <v>51.4</v>
      </c>
    </row>
    <row r="132" spans="1:40" x14ac:dyDescent="0.25">
      <c r="A132" s="16" t="s">
        <v>105</v>
      </c>
      <c r="B132" s="17">
        <v>10.3</v>
      </c>
      <c r="C132" s="17">
        <v>22.1</v>
      </c>
      <c r="D132" s="17">
        <v>26.7</v>
      </c>
      <c r="E132" s="17">
        <v>0</v>
      </c>
      <c r="F132" s="17">
        <v>0</v>
      </c>
      <c r="O132" s="16" t="s">
        <v>107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AI132" s="100" t="s">
        <v>105</v>
      </c>
      <c r="AJ132" s="17">
        <v>10.3</v>
      </c>
      <c r="AK132" s="17">
        <v>22.1</v>
      </c>
      <c r="AL132" s="17">
        <v>26.7</v>
      </c>
      <c r="AM132" s="17">
        <v>41.7</v>
      </c>
      <c r="AN132" s="17">
        <v>37</v>
      </c>
    </row>
    <row r="133" spans="1:40" x14ac:dyDescent="0.25">
      <c r="A133" s="16" t="s">
        <v>103</v>
      </c>
      <c r="B133" s="17">
        <v>0</v>
      </c>
      <c r="C133" s="17">
        <v>33.4</v>
      </c>
      <c r="D133" s="17">
        <v>45.1</v>
      </c>
      <c r="E133" s="17">
        <v>56</v>
      </c>
      <c r="F133" s="17">
        <v>0</v>
      </c>
      <c r="O133" s="16" t="s">
        <v>105</v>
      </c>
      <c r="P133" s="17">
        <v>0</v>
      </c>
      <c r="Q133" s="17">
        <v>0</v>
      </c>
      <c r="R133" s="17">
        <v>0</v>
      </c>
      <c r="S133" s="17">
        <v>41.7</v>
      </c>
      <c r="T133" s="17">
        <v>37</v>
      </c>
      <c r="AI133" s="100" t="s">
        <v>103</v>
      </c>
      <c r="AJ133" s="17">
        <v>18.399999999999999</v>
      </c>
      <c r="AK133" s="17">
        <v>33.4</v>
      </c>
      <c r="AL133" s="17">
        <v>45.1</v>
      </c>
      <c r="AM133" s="17">
        <v>85.812854250000001</v>
      </c>
      <c r="AN133" s="17">
        <v>83.8</v>
      </c>
    </row>
    <row r="134" spans="1:40" x14ac:dyDescent="0.25">
      <c r="A134" s="16" t="s">
        <v>101</v>
      </c>
      <c r="B134" s="17">
        <v>3</v>
      </c>
      <c r="C134" s="17">
        <v>0</v>
      </c>
      <c r="D134" s="17">
        <v>0</v>
      </c>
      <c r="E134" s="17">
        <v>0</v>
      </c>
      <c r="F134" s="17">
        <v>8.5</v>
      </c>
      <c r="O134" s="16" t="s">
        <v>103</v>
      </c>
      <c r="P134" s="17">
        <v>18.399999999999999</v>
      </c>
      <c r="Q134" s="17">
        <v>0</v>
      </c>
      <c r="R134" s="17">
        <v>0</v>
      </c>
      <c r="S134" s="17">
        <v>29.812854250000001</v>
      </c>
      <c r="T134" s="17">
        <v>83.8</v>
      </c>
      <c r="AI134" s="100" t="s">
        <v>101</v>
      </c>
      <c r="AJ134" s="17">
        <v>3</v>
      </c>
      <c r="AK134" s="17">
        <v>5.5</v>
      </c>
      <c r="AL134" s="17">
        <v>10.5</v>
      </c>
      <c r="AM134" s="17">
        <v>10</v>
      </c>
      <c r="AN134" s="17">
        <v>8.5</v>
      </c>
    </row>
    <row r="135" spans="1:40" x14ac:dyDescent="0.25">
      <c r="A135" s="16" t="s">
        <v>99</v>
      </c>
      <c r="B135" s="17">
        <v>15.4</v>
      </c>
      <c r="C135" s="17">
        <v>25.7</v>
      </c>
      <c r="D135" s="17">
        <v>35</v>
      </c>
      <c r="E135" s="17">
        <v>60.2</v>
      </c>
      <c r="F135" s="17">
        <v>47</v>
      </c>
      <c r="O135" s="16" t="s">
        <v>101</v>
      </c>
      <c r="P135" s="17">
        <v>0</v>
      </c>
      <c r="Q135" s="17">
        <v>5.5</v>
      </c>
      <c r="R135" s="17">
        <v>10.5</v>
      </c>
      <c r="S135" s="17">
        <v>10</v>
      </c>
      <c r="T135" s="17">
        <v>0</v>
      </c>
      <c r="AI135" s="100" t="s">
        <v>99</v>
      </c>
      <c r="AJ135" s="17">
        <v>15.4</v>
      </c>
      <c r="AK135" s="17">
        <v>25.7</v>
      </c>
      <c r="AL135" s="17">
        <v>35</v>
      </c>
      <c r="AM135" s="17">
        <v>60.2</v>
      </c>
      <c r="AN135" s="17">
        <v>47</v>
      </c>
    </row>
    <row r="136" spans="1:40" x14ac:dyDescent="0.25">
      <c r="A136" s="16" t="s">
        <v>97</v>
      </c>
      <c r="B136" s="17">
        <v>0</v>
      </c>
      <c r="C136" s="17">
        <v>5.4</v>
      </c>
      <c r="D136" s="17">
        <v>7</v>
      </c>
      <c r="E136" s="17">
        <v>8.1999999999999993</v>
      </c>
      <c r="F136" s="17">
        <v>7</v>
      </c>
      <c r="O136" s="16" t="s">
        <v>99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AI136" s="100" t="s">
        <v>97</v>
      </c>
      <c r="AJ136" s="17">
        <v>3.7</v>
      </c>
      <c r="AK136" s="17">
        <v>5.4</v>
      </c>
      <c r="AL136" s="17">
        <v>7</v>
      </c>
      <c r="AM136" s="17">
        <v>8.1999999999999993</v>
      </c>
      <c r="AN136" s="17">
        <v>7</v>
      </c>
    </row>
    <row r="137" spans="1:40" x14ac:dyDescent="0.25">
      <c r="A137" s="16" t="s">
        <v>95</v>
      </c>
      <c r="B137" s="17">
        <v>50.3</v>
      </c>
      <c r="C137" s="17">
        <v>0</v>
      </c>
      <c r="D137" s="17">
        <v>0</v>
      </c>
      <c r="E137" s="17">
        <v>0</v>
      </c>
      <c r="F137" s="17">
        <v>127</v>
      </c>
      <c r="O137" s="16" t="s">
        <v>97</v>
      </c>
      <c r="P137" s="17">
        <v>3.7</v>
      </c>
      <c r="Q137" s="17">
        <v>0</v>
      </c>
      <c r="R137" s="17">
        <v>0</v>
      </c>
      <c r="S137" s="17">
        <v>0</v>
      </c>
      <c r="T137" s="17">
        <v>0</v>
      </c>
      <c r="AI137" s="100" t="s">
        <v>95</v>
      </c>
      <c r="AJ137" s="17">
        <v>50.3</v>
      </c>
      <c r="AK137" s="17">
        <v>71.7</v>
      </c>
      <c r="AL137" s="17">
        <v>96.3</v>
      </c>
      <c r="AM137" s="17">
        <v>146</v>
      </c>
      <c r="AN137" s="17">
        <v>127</v>
      </c>
    </row>
    <row r="138" spans="1:40" x14ac:dyDescent="0.25">
      <c r="A138" s="16" t="s">
        <v>93</v>
      </c>
      <c r="B138" s="17">
        <v>0</v>
      </c>
      <c r="C138" s="17">
        <v>3.65</v>
      </c>
      <c r="D138" s="17">
        <v>8.25</v>
      </c>
      <c r="E138" s="17">
        <v>16.975000000000001</v>
      </c>
      <c r="F138" s="17">
        <v>30</v>
      </c>
      <c r="O138" s="16" t="s">
        <v>95</v>
      </c>
      <c r="P138" s="17">
        <v>0</v>
      </c>
      <c r="Q138" s="17">
        <v>71.7</v>
      </c>
      <c r="R138" s="17">
        <v>96.3</v>
      </c>
      <c r="S138" s="17">
        <v>146</v>
      </c>
      <c r="T138" s="17">
        <v>0</v>
      </c>
      <c r="AI138" s="100" t="s">
        <v>93</v>
      </c>
      <c r="AJ138" s="17">
        <v>12.85</v>
      </c>
      <c r="AK138" s="17">
        <v>10.95</v>
      </c>
      <c r="AL138" s="17">
        <v>12.85</v>
      </c>
      <c r="AM138" s="17">
        <v>40.299999999999997</v>
      </c>
      <c r="AN138" s="17">
        <v>30</v>
      </c>
    </row>
    <row r="139" spans="1:40" x14ac:dyDescent="0.25">
      <c r="A139" s="16" t="s">
        <v>91</v>
      </c>
      <c r="B139" s="17">
        <v>4647.6019560000004</v>
      </c>
      <c r="C139" s="17">
        <v>4938.5969260000002</v>
      </c>
      <c r="D139" s="17">
        <v>0</v>
      </c>
      <c r="E139" s="17">
        <v>0</v>
      </c>
      <c r="F139" s="17">
        <v>5647.9182300000002</v>
      </c>
      <c r="O139" s="16" t="s">
        <v>93</v>
      </c>
      <c r="P139" s="17">
        <v>12.85</v>
      </c>
      <c r="Q139" s="17">
        <v>7.3</v>
      </c>
      <c r="R139" s="17">
        <v>4.5999999999999996</v>
      </c>
      <c r="S139" s="17">
        <v>23.324999999999999</v>
      </c>
      <c r="T139" s="17">
        <v>0</v>
      </c>
      <c r="AI139" s="100" t="s">
        <v>91</v>
      </c>
      <c r="AJ139" s="17">
        <v>4647.6019560000004</v>
      </c>
      <c r="AK139" s="17">
        <v>4938.5969260000002</v>
      </c>
      <c r="AL139" s="17">
        <v>5119.1290989999998</v>
      </c>
      <c r="AM139" s="17">
        <v>5408.6884909999999</v>
      </c>
      <c r="AN139" s="17">
        <v>5647.9182300000002</v>
      </c>
    </row>
    <row r="140" spans="1:40" x14ac:dyDescent="0.25">
      <c r="A140" s="16" t="s">
        <v>89</v>
      </c>
      <c r="B140" s="17">
        <v>256.99320795</v>
      </c>
      <c r="C140" s="17">
        <v>262.28185000000002</v>
      </c>
      <c r="D140" s="17">
        <v>228.13789539999996</v>
      </c>
      <c r="E140" s="17">
        <v>70.272610159999999</v>
      </c>
      <c r="F140" s="17">
        <v>375.92344679999997</v>
      </c>
      <c r="O140" s="16" t="s">
        <v>91</v>
      </c>
      <c r="P140" s="17">
        <v>0</v>
      </c>
      <c r="Q140" s="17">
        <v>0</v>
      </c>
      <c r="R140" s="17">
        <v>5119.1290989999998</v>
      </c>
      <c r="S140" s="17">
        <v>5408.6884909999999</v>
      </c>
      <c r="T140" s="17">
        <v>0</v>
      </c>
      <c r="AI140" s="100" t="s">
        <v>89</v>
      </c>
      <c r="AJ140" s="17">
        <v>616.78422225999998</v>
      </c>
      <c r="AK140" s="17">
        <v>577.02007000000003</v>
      </c>
      <c r="AL140" s="17">
        <v>432.39951841999999</v>
      </c>
      <c r="AM140" s="17">
        <v>247.90594347999999</v>
      </c>
      <c r="AN140" s="17">
        <v>675.71933049000006</v>
      </c>
    </row>
    <row r="141" spans="1:40" x14ac:dyDescent="0.25">
      <c r="A141" s="16" t="s">
        <v>87</v>
      </c>
      <c r="B141" s="17">
        <v>386.33942250000001</v>
      </c>
      <c r="C141" s="17">
        <v>414.99024500000002</v>
      </c>
      <c r="D141" s="17">
        <v>424.32907299999999</v>
      </c>
      <c r="E141" s="17">
        <v>403.93017650000002</v>
      </c>
      <c r="F141" s="17">
        <v>411.81341049999997</v>
      </c>
      <c r="O141" s="16" t="s">
        <v>89</v>
      </c>
      <c r="P141" s="17">
        <v>359.79101430999992</v>
      </c>
      <c r="Q141" s="17">
        <v>314.73822000000001</v>
      </c>
      <c r="R141" s="17">
        <v>204.26162301999997</v>
      </c>
      <c r="S141" s="17">
        <v>177.63333331999999</v>
      </c>
      <c r="T141" s="17">
        <v>299.79588368999998</v>
      </c>
      <c r="AI141" s="100" t="s">
        <v>87</v>
      </c>
      <c r="AJ141" s="17">
        <v>560</v>
      </c>
      <c r="AK141" s="17">
        <v>476.46173539999995</v>
      </c>
      <c r="AL141" s="17">
        <v>424.32907299999999</v>
      </c>
      <c r="AM141" s="17">
        <v>445.07444600000002</v>
      </c>
      <c r="AN141" s="17">
        <v>449.23785600000002</v>
      </c>
    </row>
    <row r="142" spans="1:40" x14ac:dyDescent="0.25">
      <c r="A142" s="16" t="s">
        <v>428</v>
      </c>
      <c r="B142" s="17">
        <v>0</v>
      </c>
      <c r="C142" s="17">
        <v>0.3</v>
      </c>
      <c r="D142" s="17">
        <v>0</v>
      </c>
      <c r="E142" s="17">
        <v>0</v>
      </c>
      <c r="F142" s="17">
        <v>0</v>
      </c>
      <c r="O142" s="16" t="s">
        <v>87</v>
      </c>
      <c r="P142" s="17">
        <v>173.66057749999999</v>
      </c>
      <c r="Q142" s="17">
        <v>61.4714904</v>
      </c>
      <c r="R142" s="17">
        <v>0</v>
      </c>
      <c r="S142" s="17">
        <v>41.1442695</v>
      </c>
      <c r="T142" s="17">
        <v>37.424445499999997</v>
      </c>
      <c r="AI142" s="100" t="s">
        <v>428</v>
      </c>
      <c r="AJ142" s="17">
        <v>0</v>
      </c>
      <c r="AK142" s="17">
        <v>0.3</v>
      </c>
      <c r="AL142" s="17">
        <v>0</v>
      </c>
      <c r="AM142" s="17">
        <v>0</v>
      </c>
      <c r="AN142" s="17">
        <v>0</v>
      </c>
    </row>
    <row r="143" spans="1:40" x14ac:dyDescent="0.25">
      <c r="A143" s="16" t="s">
        <v>85</v>
      </c>
      <c r="B143" s="17">
        <v>0</v>
      </c>
      <c r="C143" s="17">
        <v>0</v>
      </c>
      <c r="D143" s="17">
        <v>0</v>
      </c>
      <c r="E143" s="17">
        <v>1.2</v>
      </c>
      <c r="F143" s="17">
        <v>25.48242746</v>
      </c>
      <c r="O143" s="16" t="s">
        <v>428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AI143" s="100" t="s">
        <v>85</v>
      </c>
      <c r="AJ143" s="17">
        <v>0</v>
      </c>
      <c r="AK143" s="17">
        <v>0</v>
      </c>
      <c r="AL143" s="17">
        <v>0</v>
      </c>
      <c r="AM143" s="17">
        <v>1.2</v>
      </c>
      <c r="AN143" s="17">
        <v>25.48242746</v>
      </c>
    </row>
    <row r="144" spans="1:40" x14ac:dyDescent="0.25">
      <c r="A144" s="16" t="s">
        <v>393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O144" s="16" t="s">
        <v>85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AI144" s="100" t="s">
        <v>393</v>
      </c>
      <c r="AJ144" s="17">
        <v>0</v>
      </c>
      <c r="AK144" s="17">
        <v>0</v>
      </c>
      <c r="AL144" s="17">
        <v>100</v>
      </c>
      <c r="AM144" s="17">
        <v>0</v>
      </c>
      <c r="AN144" s="17">
        <v>0</v>
      </c>
    </row>
    <row r="145" spans="1:40" x14ac:dyDescent="0.25">
      <c r="A145" s="16" t="s">
        <v>83</v>
      </c>
      <c r="B145" s="17">
        <v>185.04993206999998</v>
      </c>
      <c r="C145" s="17">
        <v>295.68447811999999</v>
      </c>
      <c r="D145" s="17">
        <v>401.7669789599999</v>
      </c>
      <c r="E145" s="17">
        <v>512.00318369000001</v>
      </c>
      <c r="F145" s="17">
        <v>480.21158507999996</v>
      </c>
      <c r="O145" s="16" t="s">
        <v>393</v>
      </c>
      <c r="P145" s="17">
        <v>0</v>
      </c>
      <c r="Q145" s="17">
        <v>0</v>
      </c>
      <c r="R145" s="17">
        <v>100</v>
      </c>
      <c r="S145" s="17">
        <v>0</v>
      </c>
      <c r="T145" s="17">
        <v>0</v>
      </c>
      <c r="AI145" s="100" t="s">
        <v>83</v>
      </c>
      <c r="AJ145" s="17">
        <v>649.85695024000006</v>
      </c>
      <c r="AK145" s="17">
        <v>715.50241627000003</v>
      </c>
      <c r="AL145" s="17">
        <v>887.56760402999998</v>
      </c>
      <c r="AM145" s="17">
        <v>1022.82989222</v>
      </c>
      <c r="AN145" s="17">
        <v>1127.2122333699999</v>
      </c>
    </row>
    <row r="146" spans="1:40" x14ac:dyDescent="0.25">
      <c r="A146" s="16" t="s">
        <v>426</v>
      </c>
      <c r="B146" s="17">
        <v>0</v>
      </c>
      <c r="C146" s="17">
        <v>32.635350000000003</v>
      </c>
      <c r="D146" s="17">
        <v>0</v>
      </c>
      <c r="E146" s="17">
        <v>0</v>
      </c>
      <c r="F146" s="17">
        <v>0</v>
      </c>
      <c r="O146" s="16" t="s">
        <v>83</v>
      </c>
      <c r="P146" s="17">
        <v>464.80701816999999</v>
      </c>
      <c r="Q146" s="17">
        <v>419.81793814999997</v>
      </c>
      <c r="R146" s="17">
        <v>485.80062506999991</v>
      </c>
      <c r="S146" s="17">
        <v>510.82670852999996</v>
      </c>
      <c r="T146" s="17">
        <v>647.00064828999996</v>
      </c>
      <c r="AI146" s="100" t="s">
        <v>426</v>
      </c>
      <c r="AJ146" s="17">
        <v>0</v>
      </c>
      <c r="AK146" s="17">
        <v>32.635350000000003</v>
      </c>
      <c r="AL146" s="17">
        <v>0</v>
      </c>
      <c r="AM146" s="17">
        <v>0</v>
      </c>
      <c r="AN146" s="17">
        <v>0</v>
      </c>
    </row>
    <row r="147" spans="1:40" x14ac:dyDescent="0.25">
      <c r="A147" s="16" t="s">
        <v>80</v>
      </c>
      <c r="B147" s="17">
        <v>44.6</v>
      </c>
      <c r="C147" s="17">
        <v>60</v>
      </c>
      <c r="D147" s="17">
        <v>100</v>
      </c>
      <c r="E147" s="17">
        <v>120</v>
      </c>
      <c r="F147" s="17">
        <v>141.1</v>
      </c>
      <c r="O147" s="16" t="s">
        <v>426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AI147" s="100" t="s">
        <v>80</v>
      </c>
      <c r="AJ147" s="17">
        <v>44.6</v>
      </c>
      <c r="AK147" s="17">
        <v>84</v>
      </c>
      <c r="AL147" s="17">
        <v>116.7</v>
      </c>
      <c r="AM147" s="17">
        <v>145.9</v>
      </c>
      <c r="AN147" s="17">
        <v>141.1</v>
      </c>
    </row>
    <row r="148" spans="1:40" x14ac:dyDescent="0.25">
      <c r="A148" s="16" t="s">
        <v>78</v>
      </c>
      <c r="B148" s="17">
        <v>91.4</v>
      </c>
      <c r="C148" s="17">
        <v>0</v>
      </c>
      <c r="D148" s="17">
        <v>345.2</v>
      </c>
      <c r="E148" s="17">
        <v>0</v>
      </c>
      <c r="F148" s="17">
        <v>0</v>
      </c>
      <c r="O148" s="16" t="s">
        <v>80</v>
      </c>
      <c r="P148" s="17">
        <v>0</v>
      </c>
      <c r="Q148" s="17">
        <v>24</v>
      </c>
      <c r="R148" s="17">
        <v>16.7</v>
      </c>
      <c r="S148" s="17">
        <v>25.9</v>
      </c>
      <c r="T148" s="17">
        <v>0</v>
      </c>
      <c r="AI148" s="100" t="s">
        <v>78</v>
      </c>
      <c r="AJ148" s="17">
        <v>91.4</v>
      </c>
      <c r="AK148" s="17">
        <v>0</v>
      </c>
      <c r="AL148" s="17">
        <v>345.2</v>
      </c>
      <c r="AM148" s="17">
        <v>303.89999999999998</v>
      </c>
      <c r="AN148" s="17">
        <v>245</v>
      </c>
    </row>
    <row r="149" spans="1:40" x14ac:dyDescent="0.25">
      <c r="A149" s="16" t="s">
        <v>76</v>
      </c>
      <c r="B149" s="17">
        <v>9.6</v>
      </c>
      <c r="C149" s="17">
        <v>11.8</v>
      </c>
      <c r="D149" s="17">
        <v>28.8</v>
      </c>
      <c r="E149" s="17">
        <v>19.5</v>
      </c>
      <c r="F149" s="17">
        <v>0</v>
      </c>
      <c r="O149" s="16" t="s">
        <v>78</v>
      </c>
      <c r="P149" s="17">
        <v>0</v>
      </c>
      <c r="Q149" s="17">
        <v>0</v>
      </c>
      <c r="R149" s="17">
        <v>0</v>
      </c>
      <c r="S149" s="17">
        <v>303.89999999999998</v>
      </c>
      <c r="T149" s="17">
        <v>245</v>
      </c>
      <c r="AI149" s="100" t="s">
        <v>76</v>
      </c>
      <c r="AJ149" s="17">
        <v>9.6</v>
      </c>
      <c r="AK149" s="17">
        <v>11.8</v>
      </c>
      <c r="AL149" s="17">
        <v>14.1</v>
      </c>
      <c r="AM149" s="17">
        <v>19.5</v>
      </c>
      <c r="AN149" s="17">
        <v>21.8</v>
      </c>
    </row>
    <row r="150" spans="1:40" x14ac:dyDescent="0.25">
      <c r="A150" s="16" t="s">
        <v>74</v>
      </c>
      <c r="B150" s="17">
        <v>12.3</v>
      </c>
      <c r="C150" s="17">
        <v>0</v>
      </c>
      <c r="D150" s="17">
        <v>45.3</v>
      </c>
      <c r="E150" s="17">
        <v>33</v>
      </c>
      <c r="F150" s="17">
        <v>33</v>
      </c>
      <c r="O150" s="16" t="s">
        <v>76</v>
      </c>
      <c r="P150" s="17">
        <v>0</v>
      </c>
      <c r="Q150" s="17">
        <v>0</v>
      </c>
      <c r="R150" s="17">
        <v>-14.7</v>
      </c>
      <c r="S150" s="17">
        <v>0</v>
      </c>
      <c r="T150" s="17">
        <v>21.8</v>
      </c>
      <c r="AI150" s="100" t="s">
        <v>74</v>
      </c>
      <c r="AJ150" s="17">
        <v>12.3</v>
      </c>
      <c r="AK150" s="17">
        <v>0</v>
      </c>
      <c r="AL150" s="17">
        <v>45.3</v>
      </c>
      <c r="AM150" s="17">
        <v>38</v>
      </c>
      <c r="AN150" s="17">
        <v>33</v>
      </c>
    </row>
    <row r="151" spans="1:40" x14ac:dyDescent="0.25">
      <c r="A151" s="16" t="s">
        <v>72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O151" s="16" t="s">
        <v>74</v>
      </c>
      <c r="P151" s="17">
        <v>0</v>
      </c>
      <c r="Q151" s="17">
        <v>0</v>
      </c>
      <c r="R151" s="17">
        <v>0</v>
      </c>
      <c r="S151" s="17">
        <v>5</v>
      </c>
      <c r="T151" s="17">
        <v>0</v>
      </c>
      <c r="AI151" s="100" t="s">
        <v>72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</row>
    <row r="152" spans="1:40" x14ac:dyDescent="0.25">
      <c r="A152" s="16" t="s">
        <v>70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  <c r="O152" s="16" t="s">
        <v>72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AI152" s="100" t="s">
        <v>70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</row>
    <row r="153" spans="1:40" x14ac:dyDescent="0.25">
      <c r="A153" s="16" t="s">
        <v>68</v>
      </c>
      <c r="B153" s="17">
        <v>0</v>
      </c>
      <c r="C153" s="17">
        <v>0</v>
      </c>
      <c r="D153" s="17">
        <v>444.8</v>
      </c>
      <c r="E153" s="17">
        <v>598.70000000000005</v>
      </c>
      <c r="F153" s="17">
        <v>0</v>
      </c>
      <c r="O153" s="16" t="s">
        <v>70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AI153" s="100" t="s">
        <v>68</v>
      </c>
      <c r="AJ153" s="17">
        <v>0</v>
      </c>
      <c r="AK153" s="17">
        <v>0</v>
      </c>
      <c r="AL153" s="17">
        <v>444.8</v>
      </c>
      <c r="AM153" s="17">
        <v>1377.3</v>
      </c>
      <c r="AN153" s="17">
        <v>0</v>
      </c>
    </row>
    <row r="154" spans="1:40" x14ac:dyDescent="0.25">
      <c r="A154" s="16" t="s">
        <v>66</v>
      </c>
      <c r="B154" s="17">
        <v>23.649999960000002</v>
      </c>
      <c r="C154" s="17">
        <v>29.66666665</v>
      </c>
      <c r="D154" s="17">
        <v>47.150004000000003</v>
      </c>
      <c r="E154" s="17">
        <v>61.65</v>
      </c>
      <c r="F154" s="17">
        <v>62.425000020000006</v>
      </c>
      <c r="O154" s="16" t="s">
        <v>68</v>
      </c>
      <c r="P154" s="17">
        <v>0</v>
      </c>
      <c r="Q154" s="17">
        <v>0</v>
      </c>
      <c r="R154" s="17">
        <v>0</v>
      </c>
      <c r="S154" s="17">
        <v>778.6</v>
      </c>
      <c r="T154" s="17">
        <v>0</v>
      </c>
      <c r="AI154" s="100" t="s">
        <v>66</v>
      </c>
      <c r="AJ154" s="17">
        <v>47.3</v>
      </c>
      <c r="AK154" s="17">
        <v>65.266666670000006</v>
      </c>
      <c r="AL154" s="17">
        <v>94.3</v>
      </c>
      <c r="AM154" s="17">
        <v>113.02500000000001</v>
      </c>
      <c r="AN154" s="17">
        <v>114.57500004000001</v>
      </c>
    </row>
    <row r="155" spans="1:40" x14ac:dyDescent="0.25">
      <c r="A155" s="16" t="s">
        <v>64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O155" s="16" t="s">
        <v>66</v>
      </c>
      <c r="P155" s="17">
        <v>23.650000039999998</v>
      </c>
      <c r="Q155" s="17">
        <v>35.600000019999996</v>
      </c>
      <c r="R155" s="17">
        <v>47.149996000000002</v>
      </c>
      <c r="S155" s="17">
        <v>51.375</v>
      </c>
      <c r="T155" s="17">
        <v>52.150000019999993</v>
      </c>
      <c r="AI155" s="100" t="s">
        <v>64</v>
      </c>
      <c r="AJ155" s="17">
        <v>401.3</v>
      </c>
      <c r="AK155" s="17">
        <v>639.29999999999995</v>
      </c>
      <c r="AL155" s="17">
        <v>848.6</v>
      </c>
      <c r="AM155" s="17">
        <v>1027.7</v>
      </c>
      <c r="AN155" s="17">
        <v>963</v>
      </c>
    </row>
    <row r="156" spans="1:40" x14ac:dyDescent="0.25">
      <c r="A156" s="16" t="s">
        <v>62</v>
      </c>
      <c r="B156" s="17">
        <v>0</v>
      </c>
      <c r="C156" s="17">
        <v>23.3</v>
      </c>
      <c r="D156" s="17">
        <v>21</v>
      </c>
      <c r="E156" s="17">
        <v>27.9</v>
      </c>
      <c r="F156" s="17">
        <v>19.399999999999999</v>
      </c>
      <c r="O156" s="16" t="s">
        <v>64</v>
      </c>
      <c r="P156" s="17">
        <v>401.3</v>
      </c>
      <c r="Q156" s="17">
        <v>639.29999999999995</v>
      </c>
      <c r="R156" s="17">
        <v>848.6</v>
      </c>
      <c r="S156" s="17">
        <v>1027.7</v>
      </c>
      <c r="T156" s="17">
        <v>963</v>
      </c>
      <c r="AI156" s="100" t="s">
        <v>62</v>
      </c>
      <c r="AJ156" s="17">
        <v>0</v>
      </c>
      <c r="AK156" s="17">
        <v>23.3</v>
      </c>
      <c r="AL156" s="17">
        <v>21</v>
      </c>
      <c r="AM156" s="17">
        <v>27.9</v>
      </c>
      <c r="AN156" s="17">
        <v>19.399999999999999</v>
      </c>
    </row>
    <row r="157" spans="1:40" x14ac:dyDescent="0.25">
      <c r="A157" s="16" t="s">
        <v>60</v>
      </c>
      <c r="B157" s="17">
        <v>6.8</v>
      </c>
      <c r="C157" s="17">
        <v>10.4</v>
      </c>
      <c r="D157" s="17">
        <v>0</v>
      </c>
      <c r="E157" s="17">
        <v>18.3</v>
      </c>
      <c r="F157" s="17">
        <v>0</v>
      </c>
      <c r="O157" s="16" t="s">
        <v>62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AI157" s="100" t="s">
        <v>60</v>
      </c>
      <c r="AJ157" s="17">
        <v>6.8</v>
      </c>
      <c r="AK157" s="17">
        <v>10.4</v>
      </c>
      <c r="AL157" s="17">
        <v>14.7</v>
      </c>
      <c r="AM157" s="17">
        <v>18.3</v>
      </c>
      <c r="AN157" s="17">
        <v>20.6</v>
      </c>
    </row>
    <row r="158" spans="1:40" x14ac:dyDescent="0.25">
      <c r="A158" s="16" t="s">
        <v>441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O158" s="16" t="s">
        <v>60</v>
      </c>
      <c r="P158" s="17">
        <v>0</v>
      </c>
      <c r="Q158" s="17">
        <v>0</v>
      </c>
      <c r="R158" s="17">
        <v>14.7</v>
      </c>
      <c r="S158" s="17">
        <v>0</v>
      </c>
      <c r="T158" s="17">
        <v>20.6</v>
      </c>
      <c r="AI158" s="100" t="s">
        <v>441</v>
      </c>
      <c r="AJ158" s="17">
        <v>1.2682182</v>
      </c>
      <c r="AK158" s="17">
        <v>0</v>
      </c>
      <c r="AL158" s="17">
        <v>0</v>
      </c>
      <c r="AM158" s="17">
        <v>0</v>
      </c>
      <c r="AN158" s="17">
        <v>0</v>
      </c>
    </row>
    <row r="159" spans="1:40" x14ac:dyDescent="0.25">
      <c r="A159" s="16" t="s">
        <v>439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O159" s="16" t="s">
        <v>441</v>
      </c>
      <c r="P159" s="17">
        <v>1.2682182</v>
      </c>
      <c r="Q159" s="17">
        <v>0</v>
      </c>
      <c r="R159" s="17">
        <v>0</v>
      </c>
      <c r="S159" s="17">
        <v>0</v>
      </c>
      <c r="T159" s="17">
        <v>0</v>
      </c>
      <c r="AI159" s="100" t="s">
        <v>439</v>
      </c>
      <c r="AJ159" s="17">
        <v>2.03713269</v>
      </c>
      <c r="AK159" s="17">
        <v>0</v>
      </c>
      <c r="AL159" s="17">
        <v>0</v>
      </c>
      <c r="AM159" s="17">
        <v>0</v>
      </c>
      <c r="AN159" s="17">
        <v>0</v>
      </c>
    </row>
    <row r="160" spans="1:40" x14ac:dyDescent="0.25">
      <c r="A160" s="16" t="s">
        <v>370</v>
      </c>
      <c r="B160" s="17">
        <v>3030.6873599999999</v>
      </c>
      <c r="C160" s="17">
        <v>0</v>
      </c>
      <c r="D160" s="17">
        <v>0</v>
      </c>
      <c r="E160" s="17">
        <v>0</v>
      </c>
      <c r="F160" s="17">
        <v>0</v>
      </c>
      <c r="O160" s="16" t="s">
        <v>439</v>
      </c>
      <c r="P160" s="17">
        <v>2.03713269</v>
      </c>
      <c r="Q160" s="17">
        <v>0</v>
      </c>
      <c r="R160" s="17">
        <v>0</v>
      </c>
      <c r="S160" s="17">
        <v>0</v>
      </c>
      <c r="T160" s="17">
        <v>0</v>
      </c>
      <c r="AI160" s="100" t="s">
        <v>370</v>
      </c>
      <c r="AJ160" s="17">
        <v>3030.6873599999999</v>
      </c>
      <c r="AK160" s="17">
        <v>2441.0945999999999</v>
      </c>
      <c r="AL160" s="17">
        <v>0</v>
      </c>
      <c r="AM160" s="17">
        <v>1468.54219448</v>
      </c>
      <c r="AN160" s="17">
        <v>0</v>
      </c>
    </row>
    <row r="161" spans="1:40" x14ac:dyDescent="0.25">
      <c r="A161" s="16" t="s">
        <v>57</v>
      </c>
      <c r="B161" s="17">
        <v>0</v>
      </c>
      <c r="C161" s="17">
        <v>0</v>
      </c>
      <c r="D161" s="17">
        <v>26.890499999999999</v>
      </c>
      <c r="E161" s="17">
        <v>0</v>
      </c>
      <c r="F161" s="17">
        <v>33.999000000000002</v>
      </c>
      <c r="O161" s="16" t="s">
        <v>370</v>
      </c>
      <c r="P161" s="17">
        <v>0</v>
      </c>
      <c r="Q161" s="17">
        <v>2441.0945999999999</v>
      </c>
      <c r="R161" s="17">
        <v>0</v>
      </c>
      <c r="S161" s="17">
        <v>1468.54219448</v>
      </c>
      <c r="T161" s="17">
        <v>0</v>
      </c>
      <c r="AI161" s="100" t="s">
        <v>57</v>
      </c>
      <c r="AJ161" s="17">
        <v>0</v>
      </c>
      <c r="AK161" s="17">
        <v>0</v>
      </c>
      <c r="AL161" s="17">
        <v>87.541200000000003</v>
      </c>
      <c r="AM161" s="17">
        <v>25.291350000000001</v>
      </c>
      <c r="AN161" s="17">
        <v>62.381777</v>
      </c>
    </row>
    <row r="162" spans="1:40" x14ac:dyDescent="0.25">
      <c r="A162" s="16" t="s">
        <v>369</v>
      </c>
      <c r="B162" s="17">
        <v>0</v>
      </c>
      <c r="C162" s="17">
        <v>0</v>
      </c>
      <c r="D162" s="17">
        <v>0</v>
      </c>
      <c r="E162" s="17">
        <v>0</v>
      </c>
      <c r="F162" s="17">
        <v>0</v>
      </c>
      <c r="O162" s="16" t="s">
        <v>57</v>
      </c>
      <c r="P162" s="17">
        <v>0</v>
      </c>
      <c r="Q162" s="17">
        <v>0</v>
      </c>
      <c r="R162" s="17">
        <v>60.650700000000001</v>
      </c>
      <c r="S162" s="17">
        <v>25.291350000000001</v>
      </c>
      <c r="T162" s="17">
        <v>28.382777000000001</v>
      </c>
      <c r="AI162" s="100" t="s">
        <v>369</v>
      </c>
      <c r="AJ162" s="17">
        <v>0</v>
      </c>
      <c r="AK162" s="17">
        <v>0</v>
      </c>
      <c r="AL162" s="17">
        <v>0</v>
      </c>
      <c r="AM162" s="17">
        <v>227.41907406999999</v>
      </c>
      <c r="AN162" s="17">
        <v>0</v>
      </c>
    </row>
    <row r="163" spans="1:40" x14ac:dyDescent="0.25">
      <c r="A163" s="16" t="s">
        <v>368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  <c r="O163" s="16" t="s">
        <v>369</v>
      </c>
      <c r="P163" s="17">
        <v>0</v>
      </c>
      <c r="Q163" s="17">
        <v>0</v>
      </c>
      <c r="R163" s="17">
        <v>0</v>
      </c>
      <c r="S163" s="17">
        <v>227.41907406999999</v>
      </c>
      <c r="T163" s="17">
        <v>0</v>
      </c>
      <c r="AI163" s="100" t="s">
        <v>368</v>
      </c>
      <c r="AJ163" s="17">
        <v>780.5</v>
      </c>
      <c r="AK163" s="17">
        <v>0</v>
      </c>
      <c r="AL163" s="17">
        <v>0</v>
      </c>
      <c r="AM163" s="17">
        <v>240.33914859999999</v>
      </c>
      <c r="AN163" s="17">
        <v>0</v>
      </c>
    </row>
    <row r="164" spans="1:40" x14ac:dyDescent="0.25">
      <c r="A164" s="16" t="s">
        <v>391</v>
      </c>
      <c r="B164" s="17">
        <v>0</v>
      </c>
      <c r="C164" s="17">
        <v>0</v>
      </c>
      <c r="D164" s="17">
        <v>0</v>
      </c>
      <c r="E164" s="17">
        <v>0</v>
      </c>
      <c r="F164" s="17">
        <v>0</v>
      </c>
      <c r="O164" s="16" t="s">
        <v>368</v>
      </c>
      <c r="P164" s="17">
        <v>780.5</v>
      </c>
      <c r="Q164" s="17">
        <v>0</v>
      </c>
      <c r="R164" s="17">
        <v>0</v>
      </c>
      <c r="S164" s="17">
        <v>240.33914859999999</v>
      </c>
      <c r="T164" s="17">
        <v>0</v>
      </c>
      <c r="AI164" s="100" t="s">
        <v>391</v>
      </c>
      <c r="AJ164" s="17">
        <v>0</v>
      </c>
      <c r="AK164" s="17">
        <v>0</v>
      </c>
      <c r="AL164" s="17">
        <v>52.4</v>
      </c>
      <c r="AM164" s="17">
        <v>0</v>
      </c>
      <c r="AN164" s="17">
        <v>0</v>
      </c>
    </row>
    <row r="165" spans="1:40" x14ac:dyDescent="0.25">
      <c r="A165" s="16" t="s">
        <v>389</v>
      </c>
      <c r="B165" s="17">
        <v>0</v>
      </c>
      <c r="C165" s="17">
        <v>770.00193616000001</v>
      </c>
      <c r="D165" s="17">
        <v>616.70319775999997</v>
      </c>
      <c r="E165" s="17">
        <v>0</v>
      </c>
      <c r="F165" s="17">
        <v>0</v>
      </c>
      <c r="O165" s="16" t="s">
        <v>391</v>
      </c>
      <c r="P165" s="17">
        <v>0</v>
      </c>
      <c r="Q165" s="17">
        <v>0</v>
      </c>
      <c r="R165" s="17">
        <v>52.4</v>
      </c>
      <c r="S165" s="17">
        <v>0</v>
      </c>
      <c r="T165" s="17">
        <v>0</v>
      </c>
      <c r="AI165" s="100" t="s">
        <v>389</v>
      </c>
      <c r="AJ165" s="17">
        <v>0</v>
      </c>
      <c r="AK165" s="17">
        <v>670.71266330999993</v>
      </c>
      <c r="AL165" s="17">
        <v>480.3064784</v>
      </c>
      <c r="AM165" s="17">
        <v>0</v>
      </c>
      <c r="AN165" s="17">
        <v>0</v>
      </c>
    </row>
    <row r="166" spans="1:40" x14ac:dyDescent="0.25">
      <c r="A166" s="16" t="s">
        <v>423</v>
      </c>
      <c r="B166" s="17">
        <v>0</v>
      </c>
      <c r="C166" s="17">
        <v>69.30532045999999</v>
      </c>
      <c r="D166" s="17">
        <v>0</v>
      </c>
      <c r="E166" s="17">
        <v>0</v>
      </c>
      <c r="F166" s="17">
        <v>0</v>
      </c>
      <c r="O166" s="16" t="s">
        <v>389</v>
      </c>
      <c r="P166" s="17">
        <v>0</v>
      </c>
      <c r="Q166" s="17">
        <v>-99.289272850000003</v>
      </c>
      <c r="R166" s="17">
        <v>-136.39671936000002</v>
      </c>
      <c r="S166" s="17">
        <v>0</v>
      </c>
      <c r="T166" s="17">
        <v>0</v>
      </c>
      <c r="AI166" s="100" t="s">
        <v>423</v>
      </c>
      <c r="AJ166" s="17">
        <v>816.01601448999998</v>
      </c>
      <c r="AK166" s="17">
        <v>69.30532045999999</v>
      </c>
      <c r="AL166" s="17">
        <v>0</v>
      </c>
      <c r="AM166" s="17">
        <v>0</v>
      </c>
      <c r="AN166" s="17">
        <v>0</v>
      </c>
    </row>
    <row r="167" spans="1:40" x14ac:dyDescent="0.25">
      <c r="A167" s="16" t="s">
        <v>387</v>
      </c>
      <c r="B167" s="17">
        <v>0</v>
      </c>
      <c r="C167" s="17">
        <v>0</v>
      </c>
      <c r="D167" s="17">
        <v>561.49589244000003</v>
      </c>
      <c r="E167" s="17">
        <v>0</v>
      </c>
      <c r="F167" s="17">
        <v>0</v>
      </c>
      <c r="O167" s="16" t="s">
        <v>423</v>
      </c>
      <c r="P167" s="17">
        <v>816.01601448999998</v>
      </c>
      <c r="Q167" s="17">
        <v>0</v>
      </c>
      <c r="R167" s="17">
        <v>0</v>
      </c>
      <c r="S167" s="17">
        <v>0</v>
      </c>
      <c r="T167" s="17">
        <v>0</v>
      </c>
      <c r="AI167" s="100" t="s">
        <v>387</v>
      </c>
      <c r="AJ167" s="17">
        <v>0</v>
      </c>
      <c r="AK167" s="17">
        <v>0</v>
      </c>
      <c r="AL167" s="17">
        <v>561.49589244000003</v>
      </c>
      <c r="AM167" s="17">
        <v>0</v>
      </c>
      <c r="AN167" s="17">
        <v>0</v>
      </c>
    </row>
    <row r="168" spans="1:40" x14ac:dyDescent="0.25">
      <c r="A168" s="16" t="s">
        <v>367</v>
      </c>
      <c r="B168" s="17">
        <v>0</v>
      </c>
      <c r="C168" s="17">
        <v>0</v>
      </c>
      <c r="D168" s="17">
        <v>3437.6850271500002</v>
      </c>
      <c r="E168" s="17">
        <v>1586.8968338299999</v>
      </c>
      <c r="F168" s="17">
        <v>0</v>
      </c>
      <c r="O168" s="16" t="s">
        <v>387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AI168" s="100" t="s">
        <v>367</v>
      </c>
      <c r="AJ168" s="17">
        <v>0</v>
      </c>
      <c r="AK168" s="17">
        <v>0</v>
      </c>
      <c r="AL168" s="17">
        <v>4304.7364711499995</v>
      </c>
      <c r="AM168" s="17">
        <v>1586.8968338299999</v>
      </c>
      <c r="AN168" s="17">
        <v>0</v>
      </c>
    </row>
    <row r="169" spans="1:40" x14ac:dyDescent="0.25">
      <c r="A169" s="16" t="s">
        <v>366</v>
      </c>
      <c r="B169" s="17">
        <v>0</v>
      </c>
      <c r="C169" s="17">
        <v>0</v>
      </c>
      <c r="D169" s="17">
        <v>0</v>
      </c>
      <c r="E169" s="17">
        <v>0</v>
      </c>
      <c r="F169" s="17">
        <v>952.31309349000003</v>
      </c>
      <c r="O169" s="16" t="s">
        <v>367</v>
      </c>
      <c r="P169" s="17">
        <v>0</v>
      </c>
      <c r="Q169" s="17">
        <v>0</v>
      </c>
      <c r="R169" s="17">
        <v>867.05144399999995</v>
      </c>
      <c r="S169" s="17">
        <v>0</v>
      </c>
      <c r="T169" s="17">
        <v>0</v>
      </c>
      <c r="AI169" s="100" t="s">
        <v>366</v>
      </c>
      <c r="AJ169" s="17">
        <v>0</v>
      </c>
      <c r="AK169" s="17">
        <v>0</v>
      </c>
      <c r="AL169" s="17">
        <v>1447.3988859999999</v>
      </c>
      <c r="AM169" s="17">
        <v>0</v>
      </c>
      <c r="AN169" s="17">
        <v>952.31309349000003</v>
      </c>
    </row>
    <row r="170" spans="1:40" x14ac:dyDescent="0.25">
      <c r="A170" s="16" t="s">
        <v>365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O170" s="16" t="s">
        <v>366</v>
      </c>
      <c r="P170" s="17">
        <v>0</v>
      </c>
      <c r="Q170" s="17">
        <v>0</v>
      </c>
      <c r="R170" s="17">
        <v>1447.3988859999999</v>
      </c>
      <c r="S170" s="17">
        <v>0</v>
      </c>
      <c r="T170" s="17">
        <v>0</v>
      </c>
      <c r="AI170" s="100" t="s">
        <v>365</v>
      </c>
      <c r="AJ170" s="17">
        <v>0</v>
      </c>
      <c r="AK170" s="17">
        <v>0</v>
      </c>
      <c r="AL170" s="17">
        <v>0</v>
      </c>
      <c r="AM170" s="17">
        <v>450</v>
      </c>
      <c r="AN170" s="17">
        <v>0</v>
      </c>
    </row>
    <row r="171" spans="1:40" x14ac:dyDescent="0.25">
      <c r="A171" s="16" t="s">
        <v>364</v>
      </c>
      <c r="B171" s="17">
        <v>0</v>
      </c>
      <c r="C171" s="17">
        <v>0</v>
      </c>
      <c r="D171" s="17">
        <v>0</v>
      </c>
      <c r="E171" s="17">
        <v>430</v>
      </c>
      <c r="F171" s="17">
        <v>0</v>
      </c>
      <c r="O171" s="16" t="s">
        <v>365</v>
      </c>
      <c r="P171" s="17">
        <v>0</v>
      </c>
      <c r="Q171" s="17">
        <v>0</v>
      </c>
      <c r="R171" s="17">
        <v>0</v>
      </c>
      <c r="S171" s="17">
        <v>450</v>
      </c>
      <c r="T171" s="17">
        <v>0</v>
      </c>
      <c r="AI171" s="100" t="s">
        <v>364</v>
      </c>
      <c r="AJ171" s="17">
        <v>0</v>
      </c>
      <c r="AK171" s="17">
        <v>0</v>
      </c>
      <c r="AL171" s="17">
        <v>0</v>
      </c>
      <c r="AM171" s="17">
        <v>430</v>
      </c>
      <c r="AN171" s="17">
        <v>0</v>
      </c>
    </row>
    <row r="172" spans="1:40" x14ac:dyDescent="0.25">
      <c r="A172" s="16" t="s">
        <v>54</v>
      </c>
      <c r="B172" s="17">
        <v>0</v>
      </c>
      <c r="C172" s="17">
        <v>0</v>
      </c>
      <c r="D172" s="17">
        <v>0</v>
      </c>
      <c r="E172" s="17">
        <v>2044.644487</v>
      </c>
      <c r="F172" s="17">
        <v>517.85512800000004</v>
      </c>
      <c r="O172" s="16" t="s">
        <v>364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AI172" s="100" t="s">
        <v>54</v>
      </c>
      <c r="AJ172" s="17">
        <v>0</v>
      </c>
      <c r="AK172" s="17">
        <v>0</v>
      </c>
      <c r="AL172" s="17">
        <v>0</v>
      </c>
      <c r="AM172" s="17">
        <v>2523.7937959999999</v>
      </c>
      <c r="AN172" s="17">
        <v>517.85512800000004</v>
      </c>
    </row>
    <row r="173" spans="1:40" x14ac:dyDescent="0.25">
      <c r="A173" s="16" t="s">
        <v>363</v>
      </c>
      <c r="B173" s="17">
        <v>0</v>
      </c>
      <c r="C173" s="17">
        <v>0</v>
      </c>
      <c r="D173" s="17">
        <v>0</v>
      </c>
      <c r="E173" s="17">
        <v>61.442827000000001</v>
      </c>
      <c r="F173" s="17">
        <v>0</v>
      </c>
      <c r="O173" s="16" t="s">
        <v>54</v>
      </c>
      <c r="P173" s="17">
        <v>0</v>
      </c>
      <c r="Q173" s="17">
        <v>0</v>
      </c>
      <c r="R173" s="17">
        <v>0</v>
      </c>
      <c r="S173" s="17">
        <v>479.14930900000002</v>
      </c>
      <c r="T173" s="17">
        <v>0</v>
      </c>
      <c r="AI173" s="100" t="s">
        <v>363</v>
      </c>
      <c r="AJ173" s="17">
        <v>0</v>
      </c>
      <c r="AK173" s="17">
        <v>0</v>
      </c>
      <c r="AL173" s="17">
        <v>0</v>
      </c>
      <c r="AM173" s="17">
        <v>61.442827000000001</v>
      </c>
      <c r="AN173" s="17">
        <v>0</v>
      </c>
    </row>
    <row r="174" spans="1:40" x14ac:dyDescent="0.25">
      <c r="A174" s="16" t="s">
        <v>362</v>
      </c>
      <c r="B174" s="17">
        <v>0</v>
      </c>
      <c r="C174" s="17">
        <v>0</v>
      </c>
      <c r="D174" s="17">
        <v>0</v>
      </c>
      <c r="E174" s="17">
        <v>1761.7965899999999</v>
      </c>
      <c r="F174" s="17">
        <v>0</v>
      </c>
      <c r="O174" s="16" t="s">
        <v>363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AI174" s="100" t="s">
        <v>362</v>
      </c>
      <c r="AJ174" s="17">
        <v>0</v>
      </c>
      <c r="AK174" s="17">
        <v>0</v>
      </c>
      <c r="AL174" s="17">
        <v>0</v>
      </c>
      <c r="AM174" s="17">
        <v>1761.7965899999999</v>
      </c>
      <c r="AN174" s="17">
        <v>0</v>
      </c>
    </row>
    <row r="175" spans="1:40" x14ac:dyDescent="0.25">
      <c r="A175" s="16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O175" s="16" t="s">
        <v>362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AI175" s="100" t="s">
        <v>52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</row>
    <row r="176" spans="1:40" x14ac:dyDescent="0.25">
      <c r="A176" s="16" t="s">
        <v>421</v>
      </c>
      <c r="B176" s="17">
        <v>0</v>
      </c>
      <c r="C176" s="17">
        <v>0</v>
      </c>
      <c r="D176" s="17">
        <v>0</v>
      </c>
      <c r="E176" s="17">
        <v>0</v>
      </c>
      <c r="F176" s="17">
        <v>0</v>
      </c>
      <c r="O176" s="16" t="s">
        <v>52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AI176" s="100" t="s">
        <v>421</v>
      </c>
      <c r="AJ176" s="17">
        <v>863.53035813999998</v>
      </c>
      <c r="AK176" s="17">
        <v>3.1565894500000002</v>
      </c>
      <c r="AL176" s="17">
        <v>0</v>
      </c>
      <c r="AM176" s="17">
        <v>0</v>
      </c>
      <c r="AN176" s="17">
        <v>0</v>
      </c>
    </row>
    <row r="177" spans="1:40" x14ac:dyDescent="0.25">
      <c r="A177" s="16" t="s">
        <v>49</v>
      </c>
      <c r="B177" s="17">
        <v>80124.164313290006</v>
      </c>
      <c r="C177" s="17">
        <v>111367.67605303999</v>
      </c>
      <c r="D177" s="17">
        <v>97192.417626760012</v>
      </c>
      <c r="E177" s="17">
        <v>78727.233381090002</v>
      </c>
      <c r="F177" s="17">
        <v>280673.28742539004</v>
      </c>
      <c r="O177" s="16" t="s">
        <v>421</v>
      </c>
      <c r="P177" s="17">
        <v>863.53035813999998</v>
      </c>
      <c r="Q177" s="17">
        <v>3.1565894500000002</v>
      </c>
      <c r="R177" s="17">
        <v>0</v>
      </c>
      <c r="S177" s="17">
        <v>0</v>
      </c>
      <c r="T177" s="17">
        <v>0</v>
      </c>
      <c r="AI177" s="100" t="s">
        <v>49</v>
      </c>
      <c r="AJ177" s="17">
        <v>434756.14343647996</v>
      </c>
      <c r="AK177" s="17">
        <v>676983.88175137003</v>
      </c>
      <c r="AL177" s="17">
        <v>575117.07252181997</v>
      </c>
      <c r="AM177" s="17">
        <v>882514.17553796992</v>
      </c>
      <c r="AN177" s="17">
        <v>1117941.4789044398</v>
      </c>
    </row>
    <row r="178" spans="1:40" x14ac:dyDescent="0.25">
      <c r="A178" s="16" t="s">
        <v>47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O178" s="16" t="s">
        <v>49</v>
      </c>
      <c r="P178" s="17">
        <v>354631.97912318993</v>
      </c>
      <c r="Q178" s="17">
        <v>565616.20569832996</v>
      </c>
      <c r="R178" s="17">
        <v>477924.65489505994</v>
      </c>
      <c r="S178" s="17">
        <v>803786.94215688005</v>
      </c>
      <c r="T178" s="17">
        <v>837268.19147905009</v>
      </c>
      <c r="AI178" s="100" t="s">
        <v>47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</row>
    <row r="179" spans="1:40" x14ac:dyDescent="0.25">
      <c r="A179" s="16" t="s">
        <v>45</v>
      </c>
      <c r="B179" s="17">
        <v>0</v>
      </c>
      <c r="C179" s="17">
        <v>0</v>
      </c>
      <c r="D179" s="17">
        <v>0</v>
      </c>
      <c r="E179" s="17">
        <v>0</v>
      </c>
      <c r="F179" s="17">
        <v>0</v>
      </c>
      <c r="O179" s="16" t="s">
        <v>47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AI179" s="100" t="s">
        <v>45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</row>
    <row r="180" spans="1:40" x14ac:dyDescent="0.25">
      <c r="A180" s="16" t="s">
        <v>43</v>
      </c>
      <c r="B180" s="17">
        <v>664619.78331366007</v>
      </c>
      <c r="C180" s="17">
        <v>1169243.30882487</v>
      </c>
      <c r="D180" s="17">
        <v>1066988.31231041</v>
      </c>
      <c r="E180" s="17">
        <v>1256338.0389916699</v>
      </c>
      <c r="F180" s="17">
        <v>1473881.0053617402</v>
      </c>
      <c r="O180" s="16" t="s">
        <v>45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AI180" s="100" t="s">
        <v>43</v>
      </c>
      <c r="AJ180" s="17">
        <v>1332445.1928118798</v>
      </c>
      <c r="AK180" s="17">
        <v>1804628.01270868</v>
      </c>
      <c r="AL180" s="17">
        <v>2420608.8536557998</v>
      </c>
      <c r="AM180" s="17">
        <v>2310164.5185122998</v>
      </c>
      <c r="AN180" s="17">
        <v>2896319.0741417403</v>
      </c>
    </row>
    <row r="181" spans="1:40" x14ac:dyDescent="0.25">
      <c r="A181" s="16" t="s">
        <v>41</v>
      </c>
      <c r="B181" s="17">
        <v>2993.5161840000001</v>
      </c>
      <c r="C181" s="17">
        <v>1080.6199999999999</v>
      </c>
      <c r="D181" s="17">
        <v>4354.7434528399999</v>
      </c>
      <c r="E181" s="17">
        <v>0</v>
      </c>
      <c r="F181" s="17">
        <v>0</v>
      </c>
      <c r="O181" s="16" t="s">
        <v>43</v>
      </c>
      <c r="P181" s="17">
        <v>667825.40949821996</v>
      </c>
      <c r="Q181" s="17">
        <v>635384.70388380997</v>
      </c>
      <c r="R181" s="17">
        <v>1353620.5413453898</v>
      </c>
      <c r="S181" s="17">
        <v>1053826.4795206301</v>
      </c>
      <c r="T181" s="17">
        <v>1422438.0687800001</v>
      </c>
      <c r="AI181" s="100" t="s">
        <v>41</v>
      </c>
      <c r="AJ181" s="17">
        <v>5800.4319199499996</v>
      </c>
      <c r="AK181" s="17">
        <v>6687.6819999999998</v>
      </c>
      <c r="AL181" s="17">
        <v>3660.1547584200002</v>
      </c>
      <c r="AM181" s="17">
        <v>0</v>
      </c>
      <c r="AN181" s="17">
        <v>0</v>
      </c>
    </row>
    <row r="182" spans="1:40" x14ac:dyDescent="0.25">
      <c r="A182" s="16" t="s">
        <v>39</v>
      </c>
      <c r="B182" s="17">
        <v>0</v>
      </c>
      <c r="C182" s="17">
        <v>0</v>
      </c>
      <c r="D182" s="17">
        <v>0</v>
      </c>
      <c r="E182" s="17">
        <v>0</v>
      </c>
      <c r="F182" s="17">
        <v>3300.5407538899999</v>
      </c>
      <c r="O182" s="16" t="s">
        <v>41</v>
      </c>
      <c r="P182" s="17">
        <v>2806.91573595</v>
      </c>
      <c r="Q182" s="17">
        <v>5607.0619999999999</v>
      </c>
      <c r="R182" s="17">
        <v>-694.58869442000002</v>
      </c>
      <c r="S182" s="17">
        <v>0</v>
      </c>
      <c r="T182" s="17">
        <v>0</v>
      </c>
      <c r="AI182" s="100" t="s">
        <v>39</v>
      </c>
      <c r="AJ182" s="17">
        <v>0</v>
      </c>
      <c r="AK182" s="17">
        <v>0</v>
      </c>
      <c r="AL182" s="17">
        <v>0</v>
      </c>
      <c r="AM182" s="17">
        <v>3244.73421706</v>
      </c>
      <c r="AN182" s="17">
        <v>12672.671162409999</v>
      </c>
    </row>
    <row r="183" spans="1:40" x14ac:dyDescent="0.25">
      <c r="A183" s="16" t="s">
        <v>419</v>
      </c>
      <c r="B183" s="17">
        <v>425.35367557999996</v>
      </c>
      <c r="C183" s="17">
        <v>0</v>
      </c>
      <c r="D183" s="17">
        <v>0</v>
      </c>
      <c r="E183" s="17">
        <v>0</v>
      </c>
      <c r="F183" s="17">
        <v>0</v>
      </c>
      <c r="O183" s="16" t="s">
        <v>39</v>
      </c>
      <c r="P183" s="17">
        <v>0</v>
      </c>
      <c r="Q183" s="17">
        <v>0</v>
      </c>
      <c r="R183" s="17">
        <v>0</v>
      </c>
      <c r="S183" s="17">
        <v>3244.73421706</v>
      </c>
      <c r="T183" s="17">
        <v>9372.1304085200009</v>
      </c>
      <c r="AI183" s="100" t="s">
        <v>419</v>
      </c>
      <c r="AJ183" s="17">
        <v>425.35367557999996</v>
      </c>
      <c r="AK183" s="17">
        <v>0</v>
      </c>
      <c r="AL183" s="17">
        <v>0</v>
      </c>
      <c r="AM183" s="17">
        <v>0</v>
      </c>
      <c r="AN183" s="17">
        <v>0</v>
      </c>
    </row>
    <row r="184" spans="1:40" x14ac:dyDescent="0.25">
      <c r="A184" s="16" t="s">
        <v>37</v>
      </c>
      <c r="B184" s="17">
        <v>767.12876346000007</v>
      </c>
      <c r="C184" s="17">
        <v>753.07982271000003</v>
      </c>
      <c r="D184" s="17">
        <v>148.16207263999999</v>
      </c>
      <c r="E184" s="17">
        <v>0</v>
      </c>
      <c r="F184" s="17">
        <v>0</v>
      </c>
      <c r="O184" s="16" t="s">
        <v>419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AI184" s="100" t="s">
        <v>37</v>
      </c>
      <c r="AJ184" s="17">
        <v>1701.98509274</v>
      </c>
      <c r="AK184" s="17">
        <v>1500.9710828599998</v>
      </c>
      <c r="AL184" s="17">
        <v>78.151436319999988</v>
      </c>
      <c r="AM184" s="17">
        <v>0</v>
      </c>
      <c r="AN184" s="17">
        <v>0</v>
      </c>
    </row>
    <row r="185" spans="1:40" x14ac:dyDescent="0.25">
      <c r="A185" s="16" t="s">
        <v>35</v>
      </c>
      <c r="B185" s="17">
        <v>25215.61</v>
      </c>
      <c r="C185" s="17">
        <v>30446.846565290001</v>
      </c>
      <c r="D185" s="17">
        <v>22408.5701099</v>
      </c>
      <c r="E185" s="17">
        <v>0</v>
      </c>
      <c r="F185" s="17">
        <v>0</v>
      </c>
      <c r="O185" s="16" t="s">
        <v>37</v>
      </c>
      <c r="P185" s="17">
        <v>934.85632927999995</v>
      </c>
      <c r="Q185" s="17">
        <v>747.89126014999999</v>
      </c>
      <c r="R185" s="17">
        <v>-70.010636319999989</v>
      </c>
      <c r="S185" s="17">
        <v>0</v>
      </c>
      <c r="T185" s="17">
        <v>0</v>
      </c>
      <c r="AI185" s="100" t="s">
        <v>35</v>
      </c>
      <c r="AJ185" s="17">
        <v>45294.41</v>
      </c>
      <c r="AK185" s="17">
        <v>52063.046565290002</v>
      </c>
      <c r="AL185" s="17">
        <v>23856.623430150001</v>
      </c>
      <c r="AM185" s="17">
        <v>511.67728036</v>
      </c>
      <c r="AN185" s="17">
        <v>0</v>
      </c>
    </row>
    <row r="186" spans="1:40" x14ac:dyDescent="0.25">
      <c r="A186" s="16" t="s">
        <v>33</v>
      </c>
      <c r="B186" s="17">
        <v>379.77357410000002</v>
      </c>
      <c r="C186" s="17">
        <v>2513.2782344300003</v>
      </c>
      <c r="D186" s="17">
        <v>4719.8248105600005</v>
      </c>
      <c r="E186" s="17">
        <v>4691.2742648399999</v>
      </c>
      <c r="F186" s="17">
        <v>764.21226135000006</v>
      </c>
      <c r="O186" s="16" t="s">
        <v>35</v>
      </c>
      <c r="P186" s="17">
        <v>20078.8</v>
      </c>
      <c r="Q186" s="17">
        <v>21616.2</v>
      </c>
      <c r="R186" s="17">
        <v>1448.0533202500001</v>
      </c>
      <c r="S186" s="17">
        <v>511.67728036</v>
      </c>
      <c r="T186" s="17">
        <v>0</v>
      </c>
      <c r="AI186" s="100" t="s">
        <v>33</v>
      </c>
      <c r="AJ186" s="17">
        <v>2449.3313120100001</v>
      </c>
      <c r="AK186" s="17">
        <v>6264.0860160500006</v>
      </c>
      <c r="AL186" s="17">
        <v>10890.086981049999</v>
      </c>
      <c r="AM186" s="17">
        <v>10328.37416177</v>
      </c>
      <c r="AN186" s="17">
        <v>764.21226135000006</v>
      </c>
    </row>
    <row r="187" spans="1:40" x14ac:dyDescent="0.25">
      <c r="A187" s="16" t="s">
        <v>31</v>
      </c>
      <c r="B187" s="17">
        <v>250</v>
      </c>
      <c r="C187" s="17">
        <v>430.24799999999999</v>
      </c>
      <c r="D187" s="17">
        <v>3301.6813971099996</v>
      </c>
      <c r="E187" s="17">
        <v>753.30589394000003</v>
      </c>
      <c r="F187" s="17">
        <v>0</v>
      </c>
      <c r="O187" s="16" t="s">
        <v>33</v>
      </c>
      <c r="P187" s="17">
        <v>2069.55773791</v>
      </c>
      <c r="Q187" s="17">
        <v>3750.8077816199998</v>
      </c>
      <c r="R187" s="17">
        <v>6170.2621704899984</v>
      </c>
      <c r="S187" s="17">
        <v>5637.0998969299999</v>
      </c>
      <c r="T187" s="17">
        <v>0</v>
      </c>
      <c r="AI187" s="100" t="s">
        <v>31</v>
      </c>
      <c r="AJ187" s="17">
        <v>1069.9944599999999</v>
      </c>
      <c r="AK187" s="17">
        <v>2271.8819325999998</v>
      </c>
      <c r="AL187" s="17">
        <v>5557.6056475900004</v>
      </c>
      <c r="AM187" s="17">
        <v>1134.2837143800002</v>
      </c>
      <c r="AN187" s="17">
        <v>0</v>
      </c>
    </row>
    <row r="188" spans="1:40" x14ac:dyDescent="0.25">
      <c r="A188" s="16" t="s">
        <v>29</v>
      </c>
      <c r="B188" s="17">
        <v>5284.8</v>
      </c>
      <c r="C188" s="17">
        <v>16208.597345329999</v>
      </c>
      <c r="D188" s="17">
        <v>8235.6</v>
      </c>
      <c r="E188" s="17">
        <v>0</v>
      </c>
      <c r="F188" s="17">
        <v>6195.2635314099998</v>
      </c>
      <c r="O188" s="16" t="s">
        <v>31</v>
      </c>
      <c r="P188" s="17">
        <v>819.99446</v>
      </c>
      <c r="Q188" s="17">
        <v>1841.6339326</v>
      </c>
      <c r="R188" s="17">
        <v>2255.92425048</v>
      </c>
      <c r="S188" s="17">
        <v>380.97782044000002</v>
      </c>
      <c r="T188" s="17">
        <v>0</v>
      </c>
      <c r="AI188" s="100" t="s">
        <v>29</v>
      </c>
      <c r="AJ188" s="17">
        <v>5284.8</v>
      </c>
      <c r="AK188" s="17">
        <v>16208.597345329999</v>
      </c>
      <c r="AL188" s="17">
        <v>33496.35</v>
      </c>
      <c r="AM188" s="17">
        <v>11259.290310280001</v>
      </c>
      <c r="AN188" s="17">
        <v>6195.2635314099998</v>
      </c>
    </row>
    <row r="189" spans="1:40" x14ac:dyDescent="0.25">
      <c r="A189" s="16" t="s">
        <v>27</v>
      </c>
      <c r="B189" s="17">
        <v>0</v>
      </c>
      <c r="C189" s="17">
        <v>42.99279507</v>
      </c>
      <c r="D189" s="17">
        <v>5318.4682515200002</v>
      </c>
      <c r="E189" s="17">
        <v>436.95872896000003</v>
      </c>
      <c r="F189" s="17">
        <v>803.55230001999996</v>
      </c>
      <c r="O189" s="16" t="s">
        <v>29</v>
      </c>
      <c r="P189" s="17">
        <v>0</v>
      </c>
      <c r="Q189" s="17">
        <v>0</v>
      </c>
      <c r="R189" s="17">
        <v>25260.75</v>
      </c>
      <c r="S189" s="17">
        <v>11259.290310279999</v>
      </c>
      <c r="T189" s="17">
        <v>0</v>
      </c>
      <c r="AI189" s="100" t="s">
        <v>27</v>
      </c>
      <c r="AJ189" s="17">
        <v>13.059301509999999</v>
      </c>
      <c r="AK189" s="17">
        <v>490.79924473</v>
      </c>
      <c r="AL189" s="17">
        <v>3274.6628280800001</v>
      </c>
      <c r="AM189" s="17">
        <v>1471.0033288499999</v>
      </c>
      <c r="AN189" s="17">
        <v>1355.3744949000002</v>
      </c>
    </row>
    <row r="190" spans="1:40" x14ac:dyDescent="0.25">
      <c r="A190" s="16" t="s">
        <v>25</v>
      </c>
      <c r="B190" s="17">
        <v>0</v>
      </c>
      <c r="C190" s="17">
        <v>0</v>
      </c>
      <c r="D190" s="17">
        <v>0</v>
      </c>
      <c r="E190" s="17">
        <v>0</v>
      </c>
      <c r="F190" s="17">
        <v>0</v>
      </c>
      <c r="O190" s="16" t="s">
        <v>27</v>
      </c>
      <c r="P190" s="17">
        <v>13.059301509999999</v>
      </c>
      <c r="Q190" s="17">
        <v>447.80644966000011</v>
      </c>
      <c r="R190" s="17">
        <v>-2043.8054234400001</v>
      </c>
      <c r="S190" s="17">
        <v>1034.04459989</v>
      </c>
      <c r="T190" s="17">
        <v>551.82219487999998</v>
      </c>
      <c r="AI190" s="100" t="s">
        <v>25</v>
      </c>
      <c r="AJ190" s="17">
        <v>0</v>
      </c>
      <c r="AK190" s="17">
        <v>0</v>
      </c>
      <c r="AL190" s="17">
        <v>2797.0535</v>
      </c>
      <c r="AM190" s="17">
        <v>25706.95</v>
      </c>
      <c r="AN190" s="17">
        <v>0</v>
      </c>
    </row>
    <row r="191" spans="1:40" x14ac:dyDescent="0.25">
      <c r="A191" s="16" t="s">
        <v>23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O191" s="16" t="s">
        <v>25</v>
      </c>
      <c r="P191" s="17">
        <v>0</v>
      </c>
      <c r="Q191" s="17">
        <v>0</v>
      </c>
      <c r="R191" s="17">
        <v>2797.0535</v>
      </c>
      <c r="S191" s="17">
        <v>25706.95</v>
      </c>
      <c r="T191" s="17">
        <v>0</v>
      </c>
      <c r="AI191" s="100" t="s">
        <v>23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</row>
    <row r="192" spans="1:40" x14ac:dyDescent="0.25">
      <c r="A192" s="16" t="s">
        <v>21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O192" s="16" t="s">
        <v>23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AI192" s="100" t="s">
        <v>21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</row>
    <row r="193" spans="1:40" x14ac:dyDescent="0.25">
      <c r="A193" s="16" t="s">
        <v>17</v>
      </c>
      <c r="B193" s="17">
        <v>0</v>
      </c>
      <c r="C193" s="17">
        <v>0</v>
      </c>
      <c r="D193" s="17">
        <v>0</v>
      </c>
      <c r="E193" s="17">
        <v>58293.9</v>
      </c>
      <c r="F193" s="17">
        <v>0</v>
      </c>
      <c r="O193" s="16" t="s">
        <v>21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AI193" s="100" t="s">
        <v>17</v>
      </c>
      <c r="AJ193" s="17">
        <v>0</v>
      </c>
      <c r="AK193" s="17">
        <v>0</v>
      </c>
      <c r="AL193" s="17">
        <v>0</v>
      </c>
      <c r="AM193" s="17">
        <v>58293.9</v>
      </c>
      <c r="AN193" s="17">
        <v>17967.900000000001</v>
      </c>
    </row>
    <row r="194" spans="1:40" x14ac:dyDescent="0.25">
      <c r="A194" s="16" t="s">
        <v>383</v>
      </c>
      <c r="B194" s="17">
        <v>86.286859739999997</v>
      </c>
      <c r="C194" s="17">
        <v>0</v>
      </c>
      <c r="D194" s="17">
        <v>0</v>
      </c>
      <c r="E194" s="17">
        <v>0</v>
      </c>
      <c r="F194" s="17">
        <v>0</v>
      </c>
      <c r="O194" s="16" t="s">
        <v>17</v>
      </c>
      <c r="P194" s="17">
        <v>0</v>
      </c>
      <c r="Q194" s="17">
        <v>0</v>
      </c>
      <c r="R194" s="17">
        <v>0</v>
      </c>
      <c r="S194" s="17">
        <v>0</v>
      </c>
      <c r="T194" s="17">
        <v>17967.900000000001</v>
      </c>
      <c r="AI194" s="100" t="s">
        <v>383</v>
      </c>
      <c r="AJ194" s="17">
        <v>86.286859739999997</v>
      </c>
      <c r="AK194" s="17">
        <v>0</v>
      </c>
      <c r="AL194" s="17">
        <v>0</v>
      </c>
      <c r="AM194" s="17">
        <v>0</v>
      </c>
      <c r="AN194" s="17">
        <v>0</v>
      </c>
    </row>
    <row r="195" spans="1:40" x14ac:dyDescent="0.25">
      <c r="A195" s="16" t="s">
        <v>381</v>
      </c>
      <c r="B195" s="17">
        <v>1257.50353</v>
      </c>
      <c r="C195" s="17">
        <v>0</v>
      </c>
      <c r="D195" s="17">
        <v>0</v>
      </c>
      <c r="E195" s="17">
        <v>0</v>
      </c>
      <c r="F195" s="17">
        <v>0</v>
      </c>
      <c r="O195" s="16" t="s">
        <v>383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AI195" s="100" t="s">
        <v>381</v>
      </c>
      <c r="AJ195" s="17">
        <v>1257.50353</v>
      </c>
      <c r="AK195" s="17">
        <v>133.68078077999999</v>
      </c>
      <c r="AL195" s="17">
        <v>0</v>
      </c>
      <c r="AM195" s="17">
        <v>0</v>
      </c>
      <c r="AN195" s="17">
        <v>0</v>
      </c>
    </row>
    <row r="196" spans="1:40" x14ac:dyDescent="0.25">
      <c r="A196" s="16" t="s">
        <v>15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  <c r="O196" s="16" t="s">
        <v>381</v>
      </c>
      <c r="P196" s="17">
        <v>0</v>
      </c>
      <c r="Q196" s="17">
        <v>133.68078077999999</v>
      </c>
      <c r="R196" s="17">
        <v>0</v>
      </c>
      <c r="S196" s="17">
        <v>0</v>
      </c>
      <c r="T196" s="17">
        <v>0</v>
      </c>
      <c r="AI196" s="100" t="s">
        <v>15</v>
      </c>
      <c r="AJ196" s="17">
        <v>0</v>
      </c>
      <c r="AK196" s="17">
        <v>0</v>
      </c>
      <c r="AL196" s="17">
        <v>0</v>
      </c>
      <c r="AM196" s="17">
        <v>6648.8863745299996</v>
      </c>
      <c r="AN196" s="17">
        <v>3200</v>
      </c>
    </row>
    <row r="197" spans="1:40" x14ac:dyDescent="0.25">
      <c r="A197" s="16" t="s">
        <v>417</v>
      </c>
      <c r="B197" s="17">
        <v>2406.4775287500001</v>
      </c>
      <c r="C197" s="17">
        <v>0</v>
      </c>
      <c r="D197" s="17">
        <v>0</v>
      </c>
      <c r="E197" s="17">
        <v>0</v>
      </c>
      <c r="F197" s="17">
        <v>0</v>
      </c>
      <c r="O197" s="16" t="s">
        <v>15</v>
      </c>
      <c r="P197" s="17">
        <v>0</v>
      </c>
      <c r="Q197" s="17">
        <v>0</v>
      </c>
      <c r="R197" s="17">
        <v>0</v>
      </c>
      <c r="S197" s="17">
        <v>6648.8863745299996</v>
      </c>
      <c r="T197" s="17">
        <v>3200</v>
      </c>
      <c r="AI197" s="100" t="s">
        <v>417</v>
      </c>
      <c r="AJ197" s="17">
        <v>2406.4775287500001</v>
      </c>
      <c r="AK197" s="17">
        <v>0</v>
      </c>
      <c r="AL197" s="17">
        <v>0</v>
      </c>
      <c r="AM197" s="17">
        <v>0</v>
      </c>
      <c r="AN197" s="17">
        <v>0</v>
      </c>
    </row>
    <row r="198" spans="1:40" x14ac:dyDescent="0.25">
      <c r="A198" s="16" t="s">
        <v>13</v>
      </c>
      <c r="B198" s="17">
        <v>710.89520000000005</v>
      </c>
      <c r="C198" s="17">
        <v>0</v>
      </c>
      <c r="D198" s="17">
        <v>13474.62227145</v>
      </c>
      <c r="E198" s="17">
        <v>19296.092310709999</v>
      </c>
      <c r="F198" s="17">
        <v>14325.3655</v>
      </c>
      <c r="O198" s="16" t="s">
        <v>417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AI198" s="100" t="s">
        <v>13</v>
      </c>
      <c r="AJ198" s="17">
        <v>6157.6475791700004</v>
      </c>
      <c r="AK198" s="17">
        <v>7789.4817999999996</v>
      </c>
      <c r="AL198" s="17">
        <v>19629.14227145</v>
      </c>
      <c r="AM198" s="17">
        <v>46362.618310710001</v>
      </c>
      <c r="AN198" s="17">
        <v>17605.194500000001</v>
      </c>
    </row>
    <row r="199" spans="1:40" x14ac:dyDescent="0.25">
      <c r="A199" s="16" t="s">
        <v>10</v>
      </c>
      <c r="B199" s="17">
        <v>5338.7294324599998</v>
      </c>
      <c r="C199" s="17">
        <v>9823.0574697000011</v>
      </c>
      <c r="D199" s="17">
        <v>7199.9580835300003</v>
      </c>
      <c r="E199" s="17">
        <v>3499.9671810999998</v>
      </c>
      <c r="F199" s="17">
        <v>2320.70693863</v>
      </c>
      <c r="O199" s="16" t="s">
        <v>13</v>
      </c>
      <c r="P199" s="17">
        <v>5446.7523791700005</v>
      </c>
      <c r="Q199" s="17">
        <v>7789.4817999999996</v>
      </c>
      <c r="R199" s="17">
        <v>6154.52</v>
      </c>
      <c r="S199" s="17">
        <v>27066.526000000002</v>
      </c>
      <c r="T199" s="17">
        <v>3279.8290000000002</v>
      </c>
      <c r="AI199" s="100" t="s">
        <v>10</v>
      </c>
      <c r="AJ199" s="17">
        <v>14491.627754159999</v>
      </c>
      <c r="AK199" s="17">
        <v>20396.83825606</v>
      </c>
      <c r="AL199" s="17">
        <v>7428.6110304899994</v>
      </c>
      <c r="AM199" s="17">
        <v>9491.2726116699996</v>
      </c>
      <c r="AN199" s="17">
        <v>6061.8527976599999</v>
      </c>
    </row>
    <row r="200" spans="1:40" x14ac:dyDescent="0.25">
      <c r="A200" s="16" t="s">
        <v>8</v>
      </c>
      <c r="B200" s="17">
        <v>5770.4183511399997</v>
      </c>
      <c r="C200" s="17">
        <v>2419.54415892</v>
      </c>
      <c r="D200" s="17">
        <v>2573.0111754200002</v>
      </c>
      <c r="E200" s="17">
        <v>1628.6037686700001</v>
      </c>
      <c r="F200" s="17">
        <v>529.37742580999998</v>
      </c>
      <c r="O200" s="16" t="s">
        <v>10</v>
      </c>
      <c r="P200" s="17">
        <v>9152.8983217000005</v>
      </c>
      <c r="Q200" s="17">
        <v>10573.780786360001</v>
      </c>
      <c r="R200" s="17">
        <v>228.65294695999981</v>
      </c>
      <c r="S200" s="17">
        <v>5991.3054305699998</v>
      </c>
      <c r="T200" s="17">
        <v>3741.1458590299999</v>
      </c>
      <c r="AI200" s="100" t="s">
        <v>8</v>
      </c>
      <c r="AJ200" s="17">
        <v>9341.6414125200008</v>
      </c>
      <c r="AK200" s="17">
        <v>5488.6953288699997</v>
      </c>
      <c r="AL200" s="17">
        <v>3436.8641251899999</v>
      </c>
      <c r="AM200" s="17">
        <v>4411.5015615399998</v>
      </c>
      <c r="AN200" s="17">
        <v>529.37742585000001</v>
      </c>
    </row>
    <row r="201" spans="1:40" x14ac:dyDescent="0.25">
      <c r="A201" s="16" t="s">
        <v>6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O201" s="16" t="s">
        <v>8</v>
      </c>
      <c r="P201" s="17">
        <v>3571.2230613800002</v>
      </c>
      <c r="Q201" s="17">
        <v>3069.1511699499997</v>
      </c>
      <c r="R201" s="17">
        <v>863.85294977000001</v>
      </c>
      <c r="S201" s="17">
        <v>2782.8977928700001</v>
      </c>
      <c r="T201" s="17">
        <v>4.0000000000000001E-8</v>
      </c>
      <c r="AI201" s="100" t="s">
        <v>6</v>
      </c>
      <c r="AJ201" s="17">
        <v>0</v>
      </c>
      <c r="AK201" s="17">
        <v>0</v>
      </c>
      <c r="AL201" s="17">
        <v>44057.751996359999</v>
      </c>
      <c r="AM201" s="17">
        <v>1079.87756124</v>
      </c>
      <c r="AN201" s="17">
        <v>3791.0071771799999</v>
      </c>
    </row>
    <row r="202" spans="1:40" x14ac:dyDescent="0.25">
      <c r="A202" s="16" t="s">
        <v>5</v>
      </c>
      <c r="B202" s="17">
        <v>0</v>
      </c>
      <c r="C202" s="17">
        <v>0</v>
      </c>
      <c r="D202" s="17">
        <v>0</v>
      </c>
      <c r="E202" s="17">
        <v>0</v>
      </c>
      <c r="F202" s="17">
        <v>0</v>
      </c>
      <c r="O202" s="16" t="s">
        <v>6</v>
      </c>
      <c r="P202" s="17">
        <v>0</v>
      </c>
      <c r="Q202" s="17">
        <v>0</v>
      </c>
      <c r="R202" s="17">
        <v>44057.751996359999</v>
      </c>
      <c r="S202" s="17">
        <v>1079.87756124</v>
      </c>
      <c r="T202" s="17">
        <v>3791.0071771799999</v>
      </c>
      <c r="AI202" s="100" t="s">
        <v>5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</row>
    <row r="203" spans="1:40" x14ac:dyDescent="0.25">
      <c r="A203" s="16" t="s">
        <v>3</v>
      </c>
      <c r="B203" s="17">
        <v>356.83188201000002</v>
      </c>
      <c r="C203" s="17">
        <v>338.32186107999996</v>
      </c>
      <c r="D203" s="17">
        <v>265.09692588000001</v>
      </c>
      <c r="E203" s="17">
        <v>0</v>
      </c>
      <c r="F203" s="17">
        <v>0</v>
      </c>
      <c r="O203" s="16" t="s">
        <v>5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AI203" s="100" t="s">
        <v>3</v>
      </c>
      <c r="AJ203" s="17">
        <v>697.86274687000002</v>
      </c>
      <c r="AK203" s="17">
        <v>248.75965037</v>
      </c>
      <c r="AL203" s="17">
        <v>513.51729258</v>
      </c>
      <c r="AM203" s="17">
        <v>0</v>
      </c>
      <c r="AN203" s="17">
        <v>0</v>
      </c>
    </row>
    <row r="204" spans="1:40" x14ac:dyDescent="0.25">
      <c r="A204" s="16" t="s">
        <v>415</v>
      </c>
      <c r="B204" s="17">
        <v>552090</v>
      </c>
      <c r="C204" s="17">
        <v>534350</v>
      </c>
      <c r="D204" s="17">
        <v>0</v>
      </c>
      <c r="E204" s="17">
        <v>0</v>
      </c>
      <c r="F204" s="17">
        <v>0</v>
      </c>
      <c r="O204" s="16" t="s">
        <v>3</v>
      </c>
      <c r="P204" s="17">
        <v>341.03086486000001</v>
      </c>
      <c r="Q204" s="17">
        <v>-89.562210709999988</v>
      </c>
      <c r="R204" s="17">
        <v>248.42036669999999</v>
      </c>
      <c r="S204" s="17">
        <v>0</v>
      </c>
      <c r="T204" s="17">
        <v>0</v>
      </c>
      <c r="AI204" s="100" t="s">
        <v>415</v>
      </c>
      <c r="AJ204" s="17">
        <v>552090</v>
      </c>
      <c r="AK204" s="17">
        <v>534350</v>
      </c>
      <c r="AL204" s="17">
        <v>0</v>
      </c>
      <c r="AM204" s="17">
        <v>0</v>
      </c>
      <c r="AN204" s="17">
        <v>0</v>
      </c>
    </row>
    <row r="205" spans="1:40" x14ac:dyDescent="0.25">
      <c r="A205" s="16" t="s">
        <v>436</v>
      </c>
      <c r="B205" s="17">
        <v>17</v>
      </c>
      <c r="C205" s="17">
        <v>0</v>
      </c>
      <c r="D205" s="17">
        <v>0</v>
      </c>
      <c r="E205" s="17">
        <v>0</v>
      </c>
      <c r="F205" s="17">
        <v>0</v>
      </c>
      <c r="O205" s="16" t="s">
        <v>415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AI205" s="100" t="s">
        <v>436</v>
      </c>
      <c r="AJ205" s="17">
        <v>17</v>
      </c>
      <c r="AK205" s="17">
        <v>0</v>
      </c>
      <c r="AL205" s="17">
        <v>0</v>
      </c>
      <c r="AM205" s="17">
        <v>0</v>
      </c>
      <c r="AN205" s="17">
        <v>0</v>
      </c>
    </row>
    <row r="206" spans="1:40" x14ac:dyDescent="0.25">
      <c r="A206" s="16" t="s">
        <v>413</v>
      </c>
      <c r="B206" s="17">
        <v>15531.480475229999</v>
      </c>
      <c r="C206" s="17">
        <v>40470.502793129999</v>
      </c>
      <c r="D206" s="17">
        <v>0</v>
      </c>
      <c r="E206" s="17">
        <v>0</v>
      </c>
      <c r="F206" s="17">
        <v>0</v>
      </c>
      <c r="O206" s="16" t="s">
        <v>436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AI206" s="100" t="s">
        <v>413</v>
      </c>
      <c r="AJ206" s="17">
        <v>15531.480475229999</v>
      </c>
      <c r="AK206" s="17">
        <v>40470.502793129999</v>
      </c>
      <c r="AL206" s="17">
        <v>0</v>
      </c>
      <c r="AM206" s="17">
        <v>0</v>
      </c>
      <c r="AN206" s="17">
        <v>0</v>
      </c>
    </row>
    <row r="207" spans="1:40" x14ac:dyDescent="0.25">
      <c r="A207" s="16" t="s">
        <v>361</v>
      </c>
      <c r="B207" s="17">
        <v>0</v>
      </c>
      <c r="C207" s="17">
        <v>0</v>
      </c>
      <c r="D207" s="17">
        <v>2671.5506650000002</v>
      </c>
      <c r="E207" s="17">
        <v>0</v>
      </c>
      <c r="F207" s="17">
        <v>0</v>
      </c>
      <c r="O207" s="16" t="s">
        <v>413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AI207" s="100" t="s">
        <v>361</v>
      </c>
      <c r="AJ207" s="17">
        <v>0</v>
      </c>
      <c r="AK207" s="17">
        <v>0</v>
      </c>
      <c r="AL207" s="17">
        <v>3389.97735233</v>
      </c>
      <c r="AM207" s="17">
        <v>2807.6358679999998</v>
      </c>
      <c r="AN207" s="17">
        <v>0</v>
      </c>
    </row>
    <row r="208" spans="1:40" x14ac:dyDescent="0.25">
      <c r="A208" s="16" t="s">
        <v>1220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O208" s="16" t="s">
        <v>361</v>
      </c>
      <c r="P208" s="17">
        <v>0</v>
      </c>
      <c r="Q208" s="17">
        <v>0</v>
      </c>
      <c r="R208" s="17">
        <v>718.42668733000005</v>
      </c>
      <c r="S208" s="17">
        <v>2807.6358679999998</v>
      </c>
      <c r="T208" s="17">
        <v>0</v>
      </c>
      <c r="AI208" s="16" t="s">
        <v>1220</v>
      </c>
      <c r="AJ208" s="17">
        <v>0</v>
      </c>
      <c r="AK208" s="17">
        <v>0</v>
      </c>
      <c r="AL208" s="17">
        <v>0</v>
      </c>
      <c r="AM208" s="17">
        <v>0</v>
      </c>
      <c r="AN208" s="17">
        <v>363.73222313000002</v>
      </c>
    </row>
    <row r="209" spans="1:40" x14ac:dyDescent="0.25">
      <c r="A209" s="16" t="s">
        <v>1235</v>
      </c>
      <c r="B209" s="17">
        <v>0</v>
      </c>
      <c r="C209" s="17">
        <v>0</v>
      </c>
      <c r="D209" s="17">
        <v>0</v>
      </c>
      <c r="E209" s="17">
        <v>0</v>
      </c>
      <c r="F209" s="17">
        <v>0</v>
      </c>
      <c r="O209" s="16" t="s">
        <v>1220</v>
      </c>
      <c r="P209" s="17">
        <v>0</v>
      </c>
      <c r="Q209" s="17">
        <v>0</v>
      </c>
      <c r="R209" s="17">
        <v>0</v>
      </c>
      <c r="S209" s="17">
        <v>0</v>
      </c>
      <c r="T209" s="17">
        <v>363.73222313000002</v>
      </c>
      <c r="AI209" s="16" t="s">
        <v>1235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</row>
    <row r="210" spans="1:40" x14ac:dyDescent="0.25">
      <c r="A210" s="16" t="s">
        <v>1239</v>
      </c>
      <c r="B210" s="17">
        <v>0</v>
      </c>
      <c r="C210" s="17">
        <v>0</v>
      </c>
      <c r="D210" s="17">
        <v>0</v>
      </c>
      <c r="E210" s="17">
        <v>0</v>
      </c>
      <c r="F210" s="17">
        <v>0</v>
      </c>
      <c r="O210" s="16" t="s">
        <v>1235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AI210" s="16" t="s">
        <v>1239</v>
      </c>
      <c r="AJ210" s="17">
        <v>0</v>
      </c>
      <c r="AK210" s="17">
        <v>0</v>
      </c>
      <c r="AL210" s="17">
        <v>0</v>
      </c>
      <c r="AM210" s="17">
        <v>0</v>
      </c>
      <c r="AN210" s="17">
        <v>3000</v>
      </c>
    </row>
    <row r="211" spans="1:40" x14ac:dyDescent="0.25">
      <c r="A211" s="16" t="s">
        <v>1241</v>
      </c>
      <c r="B211" s="17">
        <v>0</v>
      </c>
      <c r="C211" s="17">
        <v>0</v>
      </c>
      <c r="D211" s="17">
        <v>0</v>
      </c>
      <c r="E211" s="17">
        <v>0</v>
      </c>
      <c r="F211" s="17">
        <v>0</v>
      </c>
      <c r="O211" s="16" t="s">
        <v>1239</v>
      </c>
      <c r="P211" s="17">
        <v>0</v>
      </c>
      <c r="Q211" s="17">
        <v>0</v>
      </c>
      <c r="R211" s="17">
        <v>0</v>
      </c>
      <c r="S211" s="17">
        <v>0</v>
      </c>
      <c r="T211" s="17">
        <v>3000</v>
      </c>
      <c r="AI211" s="16" t="s">
        <v>1241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</row>
    <row r="212" spans="1:40" x14ac:dyDescent="0.25">
      <c r="A212" s="16" t="s">
        <v>1243</v>
      </c>
      <c r="B212" s="17">
        <v>0</v>
      </c>
      <c r="C212" s="17">
        <v>0</v>
      </c>
      <c r="D212" s="17">
        <v>0</v>
      </c>
      <c r="E212" s="17">
        <v>0</v>
      </c>
      <c r="F212" s="17">
        <v>0</v>
      </c>
      <c r="O212" s="16" t="s">
        <v>1241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AI212" s="16" t="s">
        <v>1243</v>
      </c>
      <c r="AJ212" s="17">
        <v>0</v>
      </c>
      <c r="AK212" s="17">
        <v>0</v>
      </c>
      <c r="AL212" s="17">
        <v>0</v>
      </c>
      <c r="AM212" s="17">
        <v>0</v>
      </c>
      <c r="AN212" s="17">
        <v>6589.9290303500002</v>
      </c>
    </row>
    <row r="213" spans="1:40" x14ac:dyDescent="0.25">
      <c r="A213" s="16" t="s">
        <v>1253</v>
      </c>
      <c r="B213" s="17">
        <v>0</v>
      </c>
      <c r="C213" s="17">
        <v>0</v>
      </c>
      <c r="D213" s="17">
        <v>0</v>
      </c>
      <c r="E213" s="17">
        <v>0</v>
      </c>
      <c r="F213" s="17">
        <v>0</v>
      </c>
      <c r="O213" s="16" t="s">
        <v>1243</v>
      </c>
      <c r="P213" s="17">
        <v>0</v>
      </c>
      <c r="Q213" s="17">
        <v>0</v>
      </c>
      <c r="R213" s="17">
        <v>0</v>
      </c>
      <c r="S213" s="17">
        <v>0</v>
      </c>
      <c r="T213" s="17">
        <v>6589.9290303500002</v>
      </c>
      <c r="AI213" s="16" t="s">
        <v>1253</v>
      </c>
      <c r="AJ213" s="17">
        <v>0</v>
      </c>
      <c r="AK213" s="17">
        <v>0</v>
      </c>
      <c r="AL213" s="17">
        <v>0</v>
      </c>
      <c r="AM213" s="17">
        <v>0</v>
      </c>
      <c r="AN213" s="17">
        <v>29939</v>
      </c>
    </row>
    <row r="214" spans="1:40" x14ac:dyDescent="0.25">
      <c r="A214" s="16" t="s">
        <v>1237</v>
      </c>
      <c r="B214" s="17">
        <v>0</v>
      </c>
      <c r="C214" s="17">
        <v>0</v>
      </c>
      <c r="D214" s="17">
        <v>0</v>
      </c>
      <c r="E214" s="17">
        <v>0</v>
      </c>
      <c r="F214" s="17">
        <v>0</v>
      </c>
      <c r="O214" s="16" t="s">
        <v>1253</v>
      </c>
      <c r="P214" s="17">
        <v>0</v>
      </c>
      <c r="Q214" s="17">
        <v>0</v>
      </c>
      <c r="R214" s="17">
        <v>0</v>
      </c>
      <c r="S214" s="17">
        <v>0</v>
      </c>
      <c r="T214" s="17">
        <v>29939</v>
      </c>
      <c r="AI214" s="100" t="s">
        <v>795</v>
      </c>
      <c r="AJ214" s="17">
        <v>6231297.8552068016</v>
      </c>
      <c r="AK214" s="17">
        <v>7356873.3983024368</v>
      </c>
      <c r="AL214" s="17">
        <v>7725861.7189366342</v>
      </c>
      <c r="AM214" s="17">
        <v>8121229.0878456617</v>
      </c>
      <c r="AN214" s="17">
        <v>9041058.8666389398</v>
      </c>
    </row>
    <row r="215" spans="1:40" x14ac:dyDescent="0.25">
      <c r="A215" s="16" t="s">
        <v>795</v>
      </c>
      <c r="B215" s="17">
        <v>3170962.1462080502</v>
      </c>
      <c r="C215" s="17">
        <v>3871984.4099378302</v>
      </c>
      <c r="D215" s="17">
        <v>3394196.6334699807</v>
      </c>
      <c r="E215" s="17">
        <v>3737189.9126224993</v>
      </c>
      <c r="F215" s="17">
        <v>4126172.5593274795</v>
      </c>
      <c r="O215" s="16" t="s">
        <v>795</v>
      </c>
      <c r="P215" s="17">
        <v>3060335.70899875</v>
      </c>
      <c r="Q215" s="17">
        <v>3484888.9883646099</v>
      </c>
      <c r="R215" s="17">
        <v>4331664.9988375697</v>
      </c>
      <c r="S215" s="17">
        <v>4384039.1752076205</v>
      </c>
      <c r="T215" s="17">
        <v>4914886.3073114604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M368"/>
  <sheetViews>
    <sheetView zoomScale="60" zoomScaleNormal="60" workbookViewId="0">
      <selection activeCell="B22" sqref="B22"/>
    </sheetView>
  </sheetViews>
  <sheetFormatPr baseColWidth="10" defaultRowHeight="15" x14ac:dyDescent="0.25"/>
  <cols>
    <col min="1" max="1" width="165.7109375" bestFit="1" customWidth="1"/>
    <col min="2" max="2" width="24.7109375" bestFit="1" customWidth="1"/>
    <col min="3" max="3" width="24.140625" bestFit="1" customWidth="1"/>
    <col min="4" max="4" width="26.5703125" bestFit="1" customWidth="1"/>
    <col min="5" max="5" width="24.7109375" bestFit="1" customWidth="1"/>
    <col min="6" max="6" width="24.140625" bestFit="1" customWidth="1"/>
    <col min="7" max="7" width="23.7109375" bestFit="1" customWidth="1"/>
    <col min="8" max="9" width="24.7109375" bestFit="1" customWidth="1"/>
    <col min="10" max="10" width="25.42578125" bestFit="1" customWidth="1"/>
    <col min="11" max="11" width="23.7109375" bestFit="1" customWidth="1"/>
    <col min="12" max="12" width="26.5703125" bestFit="1" customWidth="1"/>
    <col min="13" max="13" width="25.42578125" bestFit="1" customWidth="1"/>
    <col min="14" max="14" width="70.140625" bestFit="1" customWidth="1"/>
    <col min="15" max="15" width="80.140625" bestFit="1" customWidth="1"/>
    <col min="16" max="16" width="105.85546875" bestFit="1" customWidth="1"/>
    <col min="17" max="17" width="70" bestFit="1" customWidth="1"/>
    <col min="18" max="18" width="65.7109375" bestFit="1" customWidth="1"/>
    <col min="19" max="19" width="105.28515625" bestFit="1" customWidth="1"/>
    <col min="20" max="20" width="79.42578125" bestFit="1" customWidth="1"/>
    <col min="21" max="21" width="79.28515625" bestFit="1" customWidth="1"/>
    <col min="22" max="22" width="71.85546875" bestFit="1" customWidth="1"/>
    <col min="23" max="23" width="96.28515625" bestFit="1" customWidth="1"/>
    <col min="24" max="24" width="88.42578125" bestFit="1" customWidth="1"/>
    <col min="25" max="25" width="60.7109375" bestFit="1" customWidth="1"/>
    <col min="26" max="26" width="85.42578125" bestFit="1" customWidth="1"/>
    <col min="27" max="27" width="61.7109375" bestFit="1" customWidth="1"/>
    <col min="28" max="28" width="87" bestFit="1" customWidth="1"/>
    <col min="29" max="29" width="100.5703125" bestFit="1" customWidth="1"/>
    <col min="30" max="30" width="116.28515625" bestFit="1" customWidth="1"/>
    <col min="31" max="31" width="89.7109375" bestFit="1" customWidth="1"/>
    <col min="32" max="32" width="91.7109375" bestFit="1" customWidth="1"/>
    <col min="33" max="33" width="110.85546875" bestFit="1" customWidth="1"/>
    <col min="34" max="34" width="75.5703125" bestFit="1" customWidth="1"/>
    <col min="35" max="35" width="41.42578125" bestFit="1" customWidth="1"/>
    <col min="36" max="36" width="63.5703125" bestFit="1" customWidth="1"/>
    <col min="37" max="37" width="63.140625" bestFit="1" customWidth="1"/>
    <col min="38" max="38" width="48" bestFit="1" customWidth="1"/>
    <col min="39" max="39" width="45.140625" bestFit="1" customWidth="1"/>
    <col min="40" max="40" width="17.28515625" bestFit="1" customWidth="1"/>
    <col min="41" max="41" width="41.140625" bestFit="1" customWidth="1"/>
    <col min="42" max="42" width="78.5703125" bestFit="1" customWidth="1"/>
    <col min="43" max="43" width="43.42578125" bestFit="1" customWidth="1"/>
    <col min="44" max="44" width="17.140625" bestFit="1" customWidth="1"/>
    <col min="45" max="45" width="23" bestFit="1" customWidth="1"/>
    <col min="46" max="46" width="30.28515625" bestFit="1" customWidth="1"/>
    <col min="47" max="47" width="52.28515625" bestFit="1" customWidth="1"/>
    <col min="48" max="48" width="53.140625" bestFit="1" customWidth="1"/>
    <col min="49" max="49" width="50.140625" bestFit="1" customWidth="1"/>
    <col min="50" max="50" width="64.42578125" bestFit="1" customWidth="1"/>
    <col min="51" max="51" width="59.140625" bestFit="1" customWidth="1"/>
    <col min="52" max="52" width="47.7109375" bestFit="1" customWidth="1"/>
    <col min="53" max="53" width="43.85546875" bestFit="1" customWidth="1"/>
    <col min="54" max="54" width="23.42578125" bestFit="1" customWidth="1"/>
    <col min="55" max="55" width="28.140625" bestFit="1" customWidth="1"/>
    <col min="56" max="56" width="113.5703125" bestFit="1" customWidth="1"/>
    <col min="57" max="57" width="39.7109375" bestFit="1" customWidth="1"/>
    <col min="58" max="58" width="81.7109375" bestFit="1" customWidth="1"/>
    <col min="59" max="59" width="52.5703125" bestFit="1" customWidth="1"/>
    <col min="60" max="60" width="58.28515625" bestFit="1" customWidth="1"/>
    <col min="61" max="61" width="27" bestFit="1" customWidth="1"/>
    <col min="62" max="62" width="119.5703125" bestFit="1" customWidth="1"/>
    <col min="63" max="63" width="54.5703125" bestFit="1" customWidth="1"/>
    <col min="64" max="64" width="40.42578125" bestFit="1" customWidth="1"/>
    <col min="65" max="65" width="36" bestFit="1" customWidth="1"/>
    <col min="66" max="66" width="47.7109375" bestFit="1" customWidth="1"/>
    <col min="67" max="67" width="68.5703125" bestFit="1" customWidth="1"/>
    <col min="68" max="68" width="60.5703125" bestFit="1" customWidth="1"/>
    <col min="69" max="69" width="29.42578125" bestFit="1" customWidth="1"/>
    <col min="70" max="70" width="22.140625" bestFit="1" customWidth="1"/>
    <col min="71" max="71" width="95.85546875" bestFit="1" customWidth="1"/>
    <col min="72" max="72" width="111.140625" bestFit="1" customWidth="1"/>
    <col min="73" max="73" width="80.85546875" bestFit="1" customWidth="1"/>
    <col min="74" max="74" width="25" bestFit="1" customWidth="1"/>
    <col min="75" max="75" width="47.28515625" bestFit="1" customWidth="1"/>
    <col min="76" max="76" width="34.7109375" bestFit="1" customWidth="1"/>
    <col min="77" max="77" width="55.85546875" bestFit="1" customWidth="1"/>
    <col min="78" max="78" width="41.42578125" bestFit="1" customWidth="1"/>
    <col min="79" max="79" width="28.5703125" bestFit="1" customWidth="1"/>
    <col min="80" max="80" width="35.28515625" bestFit="1" customWidth="1"/>
    <col min="81" max="81" width="19" bestFit="1" customWidth="1"/>
    <col min="82" max="82" width="38.28515625" bestFit="1" customWidth="1"/>
    <col min="83" max="83" width="40.28515625" bestFit="1" customWidth="1"/>
    <col min="84" max="84" width="30.85546875" bestFit="1" customWidth="1"/>
    <col min="85" max="85" width="50" bestFit="1" customWidth="1"/>
    <col min="86" max="86" width="85.28515625" bestFit="1" customWidth="1"/>
    <col min="87" max="87" width="13.7109375" bestFit="1" customWidth="1"/>
    <col min="88" max="88" width="67" bestFit="1" customWidth="1"/>
    <col min="89" max="89" width="54.42578125" bestFit="1" customWidth="1"/>
    <col min="90" max="91" width="38.7109375" bestFit="1" customWidth="1"/>
    <col min="92" max="92" width="41.140625" bestFit="1" customWidth="1"/>
    <col min="93" max="93" width="41" bestFit="1" customWidth="1"/>
    <col min="94" max="94" width="17.85546875" bestFit="1" customWidth="1"/>
    <col min="95" max="95" width="52.85546875" bestFit="1" customWidth="1"/>
    <col min="96" max="97" width="49.85546875" bestFit="1" customWidth="1"/>
    <col min="98" max="98" width="73.85546875" bestFit="1" customWidth="1"/>
    <col min="99" max="99" width="33" bestFit="1" customWidth="1"/>
    <col min="100" max="100" width="60.7109375" bestFit="1" customWidth="1"/>
    <col min="101" max="101" width="57.5703125" bestFit="1" customWidth="1"/>
    <col min="102" max="102" width="52.28515625" bestFit="1" customWidth="1"/>
    <col min="103" max="103" width="75.28515625" bestFit="1" customWidth="1"/>
    <col min="104" max="104" width="44.28515625" bestFit="1" customWidth="1"/>
    <col min="105" max="105" width="77.85546875" bestFit="1" customWidth="1"/>
    <col min="106" max="106" width="59.140625" bestFit="1" customWidth="1"/>
    <col min="107" max="107" width="68.5703125" bestFit="1" customWidth="1"/>
    <col min="108" max="108" width="75.28515625" bestFit="1" customWidth="1"/>
    <col min="109" max="109" width="25.7109375" bestFit="1" customWidth="1"/>
    <col min="110" max="110" width="79.85546875" bestFit="1" customWidth="1"/>
    <col min="111" max="111" width="95.28515625" bestFit="1" customWidth="1"/>
    <col min="112" max="112" width="103" bestFit="1" customWidth="1"/>
    <col min="113" max="113" width="100.42578125" bestFit="1" customWidth="1"/>
    <col min="114" max="114" width="103" bestFit="1" customWidth="1"/>
    <col min="115" max="115" width="65.42578125" bestFit="1" customWidth="1"/>
    <col min="116" max="116" width="62.7109375" bestFit="1" customWidth="1"/>
    <col min="117" max="117" width="58.5703125" bestFit="1" customWidth="1"/>
    <col min="118" max="118" width="55.7109375" bestFit="1" customWidth="1"/>
    <col min="119" max="119" width="76.42578125" bestFit="1" customWidth="1"/>
    <col min="120" max="120" width="76.28515625" bestFit="1" customWidth="1"/>
    <col min="121" max="121" width="54.5703125" bestFit="1" customWidth="1"/>
    <col min="122" max="122" width="32.85546875" bestFit="1" customWidth="1"/>
    <col min="123" max="123" width="82.7109375" bestFit="1" customWidth="1"/>
    <col min="124" max="124" width="82.5703125" bestFit="1" customWidth="1"/>
    <col min="125" max="125" width="71.5703125" bestFit="1" customWidth="1"/>
    <col min="126" max="126" width="53.85546875" bestFit="1" customWidth="1"/>
    <col min="127" max="127" width="18.42578125" bestFit="1" customWidth="1"/>
    <col min="128" max="128" width="18.28515625" bestFit="1" customWidth="1"/>
    <col min="129" max="129" width="76.140625" bestFit="1" customWidth="1"/>
    <col min="130" max="130" width="80.42578125" bestFit="1" customWidth="1"/>
    <col min="131" max="131" width="47.7109375" bestFit="1" customWidth="1"/>
    <col min="132" max="132" width="30.7109375" bestFit="1" customWidth="1"/>
    <col min="133" max="133" width="49.28515625" bestFit="1" customWidth="1"/>
    <col min="134" max="134" width="35" bestFit="1" customWidth="1"/>
    <col min="135" max="135" width="45.5703125" bestFit="1" customWidth="1"/>
    <col min="136" max="136" width="35" bestFit="1" customWidth="1"/>
    <col min="137" max="137" width="35.85546875" bestFit="1" customWidth="1"/>
    <col min="138" max="138" width="42.42578125" bestFit="1" customWidth="1"/>
    <col min="139" max="139" width="31.85546875" bestFit="1" customWidth="1"/>
    <col min="140" max="140" width="26.140625" bestFit="1" customWidth="1"/>
    <col min="141" max="141" width="76" bestFit="1" customWidth="1"/>
    <col min="142" max="142" width="42.28515625" bestFit="1" customWidth="1"/>
    <col min="143" max="143" width="31.5703125" bestFit="1" customWidth="1"/>
    <col min="144" max="144" width="40.5703125" bestFit="1" customWidth="1"/>
    <col min="145" max="145" width="30.7109375" bestFit="1" customWidth="1"/>
    <col min="146" max="146" width="29" bestFit="1" customWidth="1"/>
    <col min="147" max="147" width="31" bestFit="1" customWidth="1"/>
    <col min="148" max="148" width="42.140625" bestFit="1" customWidth="1"/>
    <col min="149" max="149" width="115.28515625" bestFit="1" customWidth="1"/>
    <col min="150" max="150" width="38.85546875" bestFit="1" customWidth="1"/>
    <col min="151" max="151" width="47.5703125" bestFit="1" customWidth="1"/>
    <col min="152" max="152" width="80.5703125" bestFit="1" customWidth="1"/>
    <col min="153" max="153" width="27.7109375" bestFit="1" customWidth="1"/>
    <col min="154" max="154" width="37.42578125" bestFit="1" customWidth="1"/>
    <col min="155" max="155" width="27.28515625" bestFit="1" customWidth="1"/>
    <col min="156" max="156" width="54.7109375" bestFit="1" customWidth="1"/>
    <col min="157" max="157" width="40" bestFit="1" customWidth="1"/>
    <col min="158" max="158" width="49.7109375" bestFit="1" customWidth="1"/>
    <col min="159" max="159" width="44.42578125" bestFit="1" customWidth="1"/>
    <col min="160" max="160" width="26" bestFit="1" customWidth="1"/>
    <col min="161" max="161" width="66" bestFit="1" customWidth="1"/>
    <col min="162" max="162" width="7.5703125" customWidth="1"/>
    <col min="163" max="163" width="46.5703125" bestFit="1" customWidth="1"/>
    <col min="164" max="164" width="42.5703125" bestFit="1" customWidth="1"/>
    <col min="165" max="165" width="50.5703125" bestFit="1" customWidth="1"/>
    <col min="166" max="166" width="42.85546875" bestFit="1" customWidth="1"/>
    <col min="167" max="167" width="45.85546875" bestFit="1" customWidth="1"/>
    <col min="168" max="168" width="44.7109375" bestFit="1" customWidth="1"/>
    <col min="169" max="169" width="30.7109375" bestFit="1" customWidth="1"/>
    <col min="170" max="170" width="97.7109375" bestFit="1" customWidth="1"/>
    <col min="171" max="171" width="46.140625" bestFit="1" customWidth="1"/>
    <col min="172" max="172" width="20.7109375" bestFit="1" customWidth="1"/>
    <col min="173" max="173" width="17.28515625" bestFit="1" customWidth="1"/>
    <col min="174" max="174" width="40.7109375" bestFit="1" customWidth="1"/>
    <col min="175" max="175" width="32.5703125" bestFit="1" customWidth="1"/>
    <col min="176" max="176" width="25.42578125" bestFit="1" customWidth="1"/>
    <col min="177" max="177" width="14.42578125" bestFit="1" customWidth="1"/>
    <col min="178" max="178" width="13" bestFit="1" customWidth="1"/>
    <col min="179" max="179" width="27" bestFit="1" customWidth="1"/>
    <col min="180" max="180" width="45.28515625" bestFit="1" customWidth="1"/>
    <col min="181" max="181" width="14.140625" bestFit="1" customWidth="1"/>
    <col min="182" max="182" width="14.7109375" bestFit="1" customWidth="1"/>
    <col min="183" max="183" width="15.140625" bestFit="1" customWidth="1"/>
    <col min="184" max="184" width="58.85546875" bestFit="1" customWidth="1"/>
    <col min="185" max="185" width="21.42578125" bestFit="1" customWidth="1"/>
    <col min="186" max="186" width="24" bestFit="1" customWidth="1"/>
    <col min="187" max="187" width="20.85546875" bestFit="1" customWidth="1"/>
    <col min="188" max="188" width="30.42578125" bestFit="1" customWidth="1"/>
    <col min="189" max="189" width="90.42578125" bestFit="1" customWidth="1"/>
    <col min="190" max="190" width="31.28515625" bestFit="1" customWidth="1"/>
    <col min="191" max="191" width="30.7109375" bestFit="1" customWidth="1"/>
    <col min="192" max="192" width="51.5703125" bestFit="1" customWidth="1"/>
    <col min="193" max="193" width="50.28515625" bestFit="1" customWidth="1"/>
    <col min="194" max="194" width="37.140625" bestFit="1" customWidth="1"/>
    <col min="195" max="195" width="69.42578125" bestFit="1" customWidth="1"/>
    <col min="196" max="196" width="59.85546875" bestFit="1" customWidth="1"/>
    <col min="197" max="197" width="29" bestFit="1" customWidth="1"/>
    <col min="198" max="198" width="44.5703125" bestFit="1" customWidth="1"/>
    <col min="199" max="199" width="21.28515625" bestFit="1" customWidth="1"/>
    <col min="200" max="200" width="79.85546875" bestFit="1" customWidth="1"/>
    <col min="201" max="201" width="33.42578125" bestFit="1" customWidth="1"/>
    <col min="202" max="202" width="9.28515625" customWidth="1"/>
    <col min="203" max="203" width="39.5703125" bestFit="1" customWidth="1"/>
    <col min="204" max="204" width="42.28515625" bestFit="1" customWidth="1"/>
    <col min="205" max="205" width="38" bestFit="1" customWidth="1"/>
    <col min="206" max="206" width="72.28515625" bestFit="1" customWidth="1"/>
    <col min="207" max="207" width="51.7109375" bestFit="1" customWidth="1"/>
    <col min="208" max="208" width="40.85546875" bestFit="1" customWidth="1"/>
    <col min="209" max="209" width="30.7109375" bestFit="1" customWidth="1"/>
    <col min="210" max="210" width="39.85546875" bestFit="1" customWidth="1"/>
    <col min="211" max="211" width="40.42578125" bestFit="1" customWidth="1"/>
    <col min="212" max="212" width="57.85546875" bestFit="1" customWidth="1"/>
    <col min="213" max="213" width="36.140625" bestFit="1" customWidth="1"/>
    <col min="214" max="214" width="32.85546875" bestFit="1" customWidth="1"/>
    <col min="215" max="215" width="28.7109375" bestFit="1" customWidth="1"/>
    <col min="216" max="216" width="40" bestFit="1" customWidth="1"/>
    <col min="217" max="217" width="44" bestFit="1" customWidth="1"/>
    <col min="218" max="218" width="97.140625" bestFit="1" customWidth="1"/>
    <col min="219" max="219" width="10.85546875" customWidth="1"/>
    <col min="220" max="220" width="28.7109375" bestFit="1" customWidth="1"/>
    <col min="221" max="221" width="19.85546875" bestFit="1" customWidth="1"/>
    <col min="222" max="222" width="19.7109375" bestFit="1" customWidth="1"/>
    <col min="223" max="223" width="48.42578125" bestFit="1" customWidth="1"/>
    <col min="224" max="224" width="30.7109375" bestFit="1" customWidth="1"/>
    <col min="225" max="225" width="22.42578125" bestFit="1" customWidth="1"/>
    <col min="226" max="226" width="29.7109375" bestFit="1" customWidth="1"/>
    <col min="227" max="227" width="35.140625" bestFit="1" customWidth="1"/>
    <col min="228" max="228" width="23.5703125" bestFit="1" customWidth="1"/>
    <col min="229" max="229" width="41.140625" bestFit="1" customWidth="1"/>
    <col min="230" max="230" width="41.85546875" bestFit="1" customWidth="1"/>
    <col min="231" max="231" width="44.85546875" bestFit="1" customWidth="1"/>
    <col min="232" max="232" width="55.140625" bestFit="1" customWidth="1"/>
    <col min="233" max="233" width="41.5703125" bestFit="1" customWidth="1"/>
    <col min="234" max="234" width="27.5703125" bestFit="1" customWidth="1"/>
    <col min="235" max="235" width="52.85546875" bestFit="1" customWidth="1"/>
    <col min="236" max="236" width="76.140625" bestFit="1" customWidth="1"/>
    <col min="237" max="237" width="82.140625" bestFit="1" customWidth="1"/>
    <col min="238" max="238" width="43.28515625" bestFit="1" customWidth="1"/>
    <col min="239" max="239" width="71.85546875" bestFit="1" customWidth="1"/>
    <col min="240" max="240" width="85.42578125" bestFit="1" customWidth="1"/>
    <col min="241" max="241" width="59.7109375" bestFit="1" customWidth="1"/>
    <col min="242" max="242" width="32.7109375" bestFit="1" customWidth="1"/>
    <col min="243" max="243" width="49.140625" bestFit="1" customWidth="1"/>
    <col min="244" max="244" width="28" bestFit="1" customWidth="1"/>
    <col min="245" max="245" width="42.85546875" bestFit="1" customWidth="1"/>
    <col min="246" max="246" width="50.42578125" bestFit="1" customWidth="1"/>
    <col min="247" max="247" width="17.42578125" bestFit="1" customWidth="1"/>
    <col min="248" max="248" width="59.140625" bestFit="1" customWidth="1"/>
    <col min="249" max="249" width="43.28515625" bestFit="1" customWidth="1"/>
    <col min="250" max="250" width="12.5703125" bestFit="1" customWidth="1"/>
  </cols>
  <sheetData>
    <row r="1" spans="1:13" x14ac:dyDescent="0.25">
      <c r="A1" s="15" t="s">
        <v>542</v>
      </c>
      <c r="B1" s="16">
        <v>2019</v>
      </c>
    </row>
    <row r="3" spans="1:13" x14ac:dyDescent="0.25">
      <c r="A3" s="15" t="s">
        <v>794</v>
      </c>
      <c r="B3" t="s">
        <v>796</v>
      </c>
      <c r="C3" t="s">
        <v>797</v>
      </c>
      <c r="D3" t="s">
        <v>798</v>
      </c>
      <c r="E3" t="s">
        <v>807</v>
      </c>
      <c r="F3" t="s">
        <v>799</v>
      </c>
      <c r="G3" t="s">
        <v>800</v>
      </c>
      <c r="H3" t="s">
        <v>801</v>
      </c>
      <c r="I3" t="s">
        <v>802</v>
      </c>
      <c r="J3" t="s">
        <v>803</v>
      </c>
      <c r="K3" t="s">
        <v>804</v>
      </c>
      <c r="L3" t="s">
        <v>805</v>
      </c>
      <c r="M3" t="s">
        <v>806</v>
      </c>
    </row>
    <row r="4" spans="1:13" x14ac:dyDescent="0.25">
      <c r="A4" s="16" t="s">
        <v>360</v>
      </c>
      <c r="B4" s="17">
        <v>19331118412.490002</v>
      </c>
      <c r="C4" s="17">
        <v>19994283796.560001</v>
      </c>
      <c r="D4" s="17">
        <v>20624719686.060001</v>
      </c>
      <c r="E4" s="17">
        <v>23754953654.790001</v>
      </c>
      <c r="F4" s="17">
        <v>20563382286.009998</v>
      </c>
      <c r="G4" s="17">
        <v>20918220743.560001</v>
      </c>
      <c r="H4" s="17">
        <v>21997625880.34</v>
      </c>
      <c r="I4" s="17">
        <v>22064073994.77</v>
      </c>
      <c r="J4" s="17">
        <v>25013223469.360001</v>
      </c>
      <c r="K4" s="17">
        <v>25348352589.549999</v>
      </c>
      <c r="L4" s="30">
        <v>23774016453.389999</v>
      </c>
      <c r="M4" s="30">
        <v>23362712901.669998</v>
      </c>
    </row>
    <row r="5" spans="1:13" x14ac:dyDescent="0.25">
      <c r="A5" s="21" t="s">
        <v>359</v>
      </c>
      <c r="B5" s="17">
        <v>19331118412.490002</v>
      </c>
      <c r="C5" s="17">
        <v>19994283796.560001</v>
      </c>
      <c r="D5" s="17">
        <v>20624719686.060001</v>
      </c>
      <c r="E5" s="17">
        <v>23754953654.790001</v>
      </c>
      <c r="F5" s="17">
        <v>20563382286.009998</v>
      </c>
      <c r="G5" s="17">
        <v>20918220743.560001</v>
      </c>
      <c r="H5" s="17">
        <v>21997625880.34</v>
      </c>
      <c r="I5" s="17">
        <v>22064073994.77</v>
      </c>
      <c r="J5" s="17">
        <v>25013223469.360001</v>
      </c>
      <c r="K5" s="17">
        <v>25348352589.549999</v>
      </c>
      <c r="L5" s="30">
        <v>23774016453.389999</v>
      </c>
      <c r="M5" s="30">
        <v>23362712901.669998</v>
      </c>
    </row>
    <row r="6" spans="1:13" x14ac:dyDescent="0.25">
      <c r="A6" s="16" t="s">
        <v>358</v>
      </c>
      <c r="B6" s="17">
        <v>16304738230.129999</v>
      </c>
      <c r="C6" s="17">
        <v>15201718470.860001</v>
      </c>
      <c r="D6" s="17">
        <v>16300093807.57</v>
      </c>
      <c r="E6" s="17">
        <v>19985464135.689999</v>
      </c>
      <c r="F6" s="17">
        <v>16013384691.799999</v>
      </c>
      <c r="G6" s="17">
        <v>15920488489.950001</v>
      </c>
      <c r="H6" s="17">
        <v>16286653592.200001</v>
      </c>
      <c r="I6" s="17">
        <v>17975885938.099998</v>
      </c>
      <c r="J6" s="17">
        <v>18835795572.450001</v>
      </c>
      <c r="K6" s="17">
        <v>21410662274.119999</v>
      </c>
      <c r="L6" s="30">
        <v>16427807660.6</v>
      </c>
      <c r="M6" s="30">
        <v>18939898279.48</v>
      </c>
    </row>
    <row r="7" spans="1:13" x14ac:dyDescent="0.25">
      <c r="A7" s="21" t="s">
        <v>357</v>
      </c>
      <c r="B7" s="17">
        <v>16304738230.129999</v>
      </c>
      <c r="C7" s="17">
        <v>15201718470.860001</v>
      </c>
      <c r="D7" s="17">
        <v>16300093807.57</v>
      </c>
      <c r="E7" s="17">
        <v>19985464135.689999</v>
      </c>
      <c r="F7" s="17">
        <v>16013384691.799999</v>
      </c>
      <c r="G7" s="17">
        <v>15920488489.950001</v>
      </c>
      <c r="H7" s="17">
        <v>16286653592.200001</v>
      </c>
      <c r="I7" s="17">
        <v>17975885938.099998</v>
      </c>
      <c r="J7" s="17">
        <v>18835795572.450001</v>
      </c>
      <c r="K7" s="17">
        <v>21410662274.119999</v>
      </c>
      <c r="L7" s="30">
        <v>16427807660.6</v>
      </c>
      <c r="M7" s="30">
        <v>18939898279.48</v>
      </c>
    </row>
    <row r="8" spans="1:13" x14ac:dyDescent="0.25">
      <c r="A8" s="16" t="s">
        <v>356</v>
      </c>
      <c r="B8" s="17">
        <v>2870843466</v>
      </c>
      <c r="C8" s="17">
        <v>1151640163.3499999</v>
      </c>
      <c r="D8" s="17">
        <v>7336721482.3400002</v>
      </c>
      <c r="E8" s="17">
        <v>3330020085.2399998</v>
      </c>
      <c r="F8" s="17">
        <v>818778634.23000002</v>
      </c>
      <c r="G8" s="17">
        <v>4339570435.7200003</v>
      </c>
      <c r="H8" s="17">
        <v>3896722317.4400001</v>
      </c>
      <c r="I8" s="17">
        <v>1374588783.1500001</v>
      </c>
      <c r="J8" s="17">
        <v>5518898186.4700003</v>
      </c>
      <c r="K8" s="17">
        <v>4185668472.04</v>
      </c>
      <c r="L8" s="30">
        <v>2384075292.1799998</v>
      </c>
      <c r="M8" s="30">
        <v>21855391026.799999</v>
      </c>
    </row>
    <row r="9" spans="1:13" x14ac:dyDescent="0.25">
      <c r="A9" s="21" t="s">
        <v>355</v>
      </c>
      <c r="B9" s="17">
        <v>2870843466</v>
      </c>
      <c r="C9" s="17">
        <v>1151640163.3499999</v>
      </c>
      <c r="D9" s="17">
        <v>7336721482.3400002</v>
      </c>
      <c r="E9" s="17">
        <v>3330020085.2399998</v>
      </c>
      <c r="F9" s="17">
        <v>818778634.23000002</v>
      </c>
      <c r="G9" s="17">
        <v>4339570435.7200003</v>
      </c>
      <c r="H9" s="17">
        <v>3896722317.4400001</v>
      </c>
      <c r="I9" s="17">
        <v>1374588783.1500001</v>
      </c>
      <c r="J9" s="17">
        <v>5518898186.4700003</v>
      </c>
      <c r="K9" s="17">
        <v>4185668472.04</v>
      </c>
      <c r="L9" s="30">
        <v>2384075292.1799998</v>
      </c>
      <c r="M9" s="30">
        <v>21855391026.799999</v>
      </c>
    </row>
    <row r="10" spans="1:13" x14ac:dyDescent="0.25">
      <c r="A10" s="16" t="s">
        <v>1270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787612895</v>
      </c>
      <c r="J10" s="17">
        <v>1010981281</v>
      </c>
      <c r="K10" s="17">
        <v>818098568</v>
      </c>
      <c r="L10" s="30">
        <v>1052563734</v>
      </c>
      <c r="M10" s="30">
        <v>1185491414</v>
      </c>
    </row>
    <row r="11" spans="1:13" x14ac:dyDescent="0.25">
      <c r="A11" s="21" t="s">
        <v>1271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787612895</v>
      </c>
      <c r="J11" s="17">
        <v>1010981281</v>
      </c>
      <c r="K11" s="17">
        <v>818098568</v>
      </c>
      <c r="L11" s="30">
        <v>1052563734</v>
      </c>
      <c r="M11" s="30">
        <v>1185491414</v>
      </c>
    </row>
    <row r="12" spans="1:13" x14ac:dyDescent="0.25">
      <c r="A12" s="16" t="s">
        <v>1272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33393828</v>
      </c>
      <c r="J12" s="17">
        <v>1891497</v>
      </c>
      <c r="K12" s="17">
        <v>72852084</v>
      </c>
      <c r="L12" s="30">
        <v>72166638</v>
      </c>
      <c r="M12" s="30">
        <v>181534198</v>
      </c>
    </row>
    <row r="13" spans="1:13" x14ac:dyDescent="0.25">
      <c r="A13" s="21" t="s">
        <v>1273</v>
      </c>
      <c r="B13" s="17">
        <v>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33393828</v>
      </c>
      <c r="J13" s="17">
        <v>1891497</v>
      </c>
      <c r="K13" s="17">
        <v>72852084</v>
      </c>
      <c r="L13" s="30">
        <v>72166638</v>
      </c>
      <c r="M13" s="30">
        <v>181534198</v>
      </c>
    </row>
    <row r="14" spans="1:13" x14ac:dyDescent="0.25">
      <c r="A14" s="16" t="s">
        <v>1274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26786916</v>
      </c>
      <c r="J14" s="17">
        <v>52033493</v>
      </c>
      <c r="K14" s="17">
        <v>85380409</v>
      </c>
      <c r="L14" s="30">
        <v>73465605</v>
      </c>
      <c r="M14" s="30">
        <v>87721070</v>
      </c>
    </row>
    <row r="15" spans="1:13" x14ac:dyDescent="0.25">
      <c r="A15" s="21" t="s">
        <v>1275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26786916</v>
      </c>
      <c r="J15" s="17">
        <v>52033493</v>
      </c>
      <c r="K15" s="17">
        <v>85380409</v>
      </c>
      <c r="L15" s="30">
        <v>73465605</v>
      </c>
      <c r="M15" s="30">
        <v>87721070</v>
      </c>
    </row>
    <row r="16" spans="1:13" x14ac:dyDescent="0.25">
      <c r="A16" s="16" t="s">
        <v>353</v>
      </c>
      <c r="B16" s="17">
        <v>13745370134.91</v>
      </c>
      <c r="C16" s="17">
        <v>5152955998.5</v>
      </c>
      <c r="D16" s="17">
        <v>6850292698.8400002</v>
      </c>
      <c r="E16" s="17">
        <v>5907400600.5</v>
      </c>
      <c r="F16" s="17">
        <v>5756094721.8299999</v>
      </c>
      <c r="G16" s="17">
        <v>13323940191.940001</v>
      </c>
      <c r="H16" s="17">
        <v>6882067023.2200003</v>
      </c>
      <c r="I16" s="17">
        <v>5894711833.2600002</v>
      </c>
      <c r="J16" s="17">
        <v>13144967168.299999</v>
      </c>
      <c r="K16" s="17">
        <v>0</v>
      </c>
      <c r="L16" s="30">
        <v>0</v>
      </c>
      <c r="M16" s="30">
        <v>-13144967168.299999</v>
      </c>
    </row>
    <row r="17" spans="1:13" x14ac:dyDescent="0.25">
      <c r="A17" s="21" t="s">
        <v>352</v>
      </c>
      <c r="B17" s="17">
        <v>13745370134.91</v>
      </c>
      <c r="C17" s="17">
        <v>5152955998.5</v>
      </c>
      <c r="D17" s="17">
        <v>6850292698.8400002</v>
      </c>
      <c r="E17" s="17">
        <v>5907400600.5</v>
      </c>
      <c r="F17" s="17">
        <v>5756094721.8299999</v>
      </c>
      <c r="G17" s="17">
        <v>13323940191.940001</v>
      </c>
      <c r="H17" s="17">
        <v>6882067023.2200003</v>
      </c>
      <c r="I17" s="17">
        <v>5894711833.2600002</v>
      </c>
      <c r="J17" s="17">
        <v>13144967168.299999</v>
      </c>
      <c r="K17" s="17">
        <v>0</v>
      </c>
      <c r="L17" s="30">
        <v>0</v>
      </c>
      <c r="M17" s="30">
        <v>-13144967168.299999</v>
      </c>
    </row>
    <row r="18" spans="1:13" x14ac:dyDescent="0.25">
      <c r="A18" s="16" t="s">
        <v>835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5265403025.8999996</v>
      </c>
      <c r="L18" s="30">
        <v>5263293639.0500002</v>
      </c>
      <c r="M18" s="30">
        <v>26272137957.549999</v>
      </c>
    </row>
    <row r="19" spans="1:13" x14ac:dyDescent="0.25">
      <c r="A19" s="21" t="s">
        <v>836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5265403025.8999996</v>
      </c>
      <c r="L19" s="30">
        <v>5263293639.0500002</v>
      </c>
      <c r="M19" s="30">
        <v>26272137957.549999</v>
      </c>
    </row>
    <row r="20" spans="1:13" x14ac:dyDescent="0.25">
      <c r="A20" s="16" t="s">
        <v>1276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2356485</v>
      </c>
      <c r="J20" s="17">
        <v>3852777</v>
      </c>
      <c r="K20" s="17">
        <v>3626284</v>
      </c>
      <c r="L20" s="30">
        <v>5528332</v>
      </c>
      <c r="M20" s="30">
        <v>83620650</v>
      </c>
    </row>
    <row r="21" spans="1:13" x14ac:dyDescent="0.25">
      <c r="A21" s="21" t="s">
        <v>1277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2356485</v>
      </c>
      <c r="J21" s="17">
        <v>3852777</v>
      </c>
      <c r="K21" s="17">
        <v>3626284</v>
      </c>
      <c r="L21" s="30">
        <v>5528332</v>
      </c>
      <c r="M21" s="30">
        <v>83620650</v>
      </c>
    </row>
    <row r="22" spans="1:13" x14ac:dyDescent="0.25">
      <c r="A22" s="16" t="s">
        <v>351</v>
      </c>
      <c r="B22" s="17">
        <v>90350715686.619995</v>
      </c>
      <c r="C22" s="17">
        <v>19560599001.5</v>
      </c>
      <c r="D22" s="17">
        <v>178653641269.47</v>
      </c>
      <c r="E22" s="17">
        <v>25639447542.189999</v>
      </c>
      <c r="F22" s="17">
        <v>11354720212.049999</v>
      </c>
      <c r="G22" s="17">
        <v>130250451847.23</v>
      </c>
      <c r="H22" s="17">
        <v>34804681593.309998</v>
      </c>
      <c r="I22" s="17">
        <v>13696541689.52</v>
      </c>
      <c r="J22" s="17">
        <v>121203183574.49001</v>
      </c>
      <c r="K22" s="17">
        <v>-12849</v>
      </c>
      <c r="L22" s="30">
        <v>12849</v>
      </c>
      <c r="M22" s="30">
        <v>-121202458605.49001</v>
      </c>
    </row>
    <row r="23" spans="1:13" x14ac:dyDescent="0.25">
      <c r="A23" s="21" t="s">
        <v>350</v>
      </c>
      <c r="B23" s="17">
        <v>90350715686.619995</v>
      </c>
      <c r="C23" s="17">
        <v>19560599001.5</v>
      </c>
      <c r="D23" s="17">
        <v>178653641269.47</v>
      </c>
      <c r="E23" s="17">
        <v>25639447542.189999</v>
      </c>
      <c r="F23" s="17">
        <v>11354720212.049999</v>
      </c>
      <c r="G23" s="17">
        <v>130250451847.23</v>
      </c>
      <c r="H23" s="17">
        <v>34804681593.309998</v>
      </c>
      <c r="I23" s="17">
        <v>13696541689.52</v>
      </c>
      <c r="J23" s="17">
        <v>121203183574.49001</v>
      </c>
      <c r="K23" s="17">
        <v>-12849</v>
      </c>
      <c r="L23" s="30">
        <v>12849</v>
      </c>
      <c r="M23" s="30">
        <v>-121202458605.49001</v>
      </c>
    </row>
    <row r="24" spans="1:13" x14ac:dyDescent="0.25">
      <c r="A24" s="16" t="s">
        <v>837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45617043601.5</v>
      </c>
      <c r="L24" s="30">
        <v>15321582368.92</v>
      </c>
      <c r="M24" s="30">
        <v>290344627166.42999</v>
      </c>
    </row>
    <row r="25" spans="1:13" x14ac:dyDescent="0.25">
      <c r="A25" s="21" t="s">
        <v>838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45617043601.5</v>
      </c>
      <c r="L25" s="30">
        <v>15321582368.92</v>
      </c>
      <c r="M25" s="30">
        <v>290344627166.42999</v>
      </c>
    </row>
    <row r="26" spans="1:13" x14ac:dyDescent="0.25">
      <c r="A26" s="16" t="s">
        <v>1278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4141199490</v>
      </c>
      <c r="J26" s="17">
        <v>5187033078</v>
      </c>
      <c r="K26" s="17">
        <v>3692672929</v>
      </c>
      <c r="L26" s="30">
        <v>4885026969</v>
      </c>
      <c r="M26" s="30">
        <v>5098983949</v>
      </c>
    </row>
    <row r="27" spans="1:13" x14ac:dyDescent="0.25">
      <c r="A27" s="21" t="s">
        <v>1279</v>
      </c>
      <c r="B27" s="17">
        <v>0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4141199490</v>
      </c>
      <c r="J27" s="17">
        <v>5187033078</v>
      </c>
      <c r="K27" s="17">
        <v>3692672929</v>
      </c>
      <c r="L27" s="30">
        <v>4885026969</v>
      </c>
      <c r="M27" s="30">
        <v>5098983949</v>
      </c>
    </row>
    <row r="28" spans="1:13" x14ac:dyDescent="0.25">
      <c r="A28" s="16" t="s">
        <v>1280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42554280</v>
      </c>
      <c r="J28" s="17">
        <v>347109</v>
      </c>
      <c r="K28" s="17">
        <v>283063616</v>
      </c>
      <c r="L28" s="30">
        <v>120402040</v>
      </c>
      <c r="M28" s="30">
        <v>41920234933.050003</v>
      </c>
    </row>
    <row r="29" spans="1:13" x14ac:dyDescent="0.25">
      <c r="A29" s="21" t="s">
        <v>1281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42554280</v>
      </c>
      <c r="J29" s="17">
        <v>347109</v>
      </c>
      <c r="K29" s="17">
        <v>283063616</v>
      </c>
      <c r="L29" s="30">
        <v>120402040</v>
      </c>
      <c r="M29" s="30">
        <v>41920234933.050003</v>
      </c>
    </row>
    <row r="30" spans="1:13" x14ac:dyDescent="0.25">
      <c r="A30" s="16" t="s">
        <v>1282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109103284</v>
      </c>
      <c r="J30" s="17">
        <v>736651536</v>
      </c>
      <c r="K30" s="17">
        <v>238147092</v>
      </c>
      <c r="L30" s="30">
        <v>341940534</v>
      </c>
      <c r="M30" s="30">
        <v>582735366</v>
      </c>
    </row>
    <row r="31" spans="1:13" x14ac:dyDescent="0.25">
      <c r="A31" s="21" t="s">
        <v>1283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109103284</v>
      </c>
      <c r="J31" s="17">
        <v>736651536</v>
      </c>
      <c r="K31" s="17">
        <v>238147092</v>
      </c>
      <c r="L31" s="30">
        <v>341940534</v>
      </c>
      <c r="M31" s="30">
        <v>582735366</v>
      </c>
    </row>
    <row r="32" spans="1:13" x14ac:dyDescent="0.25">
      <c r="A32" s="16" t="s">
        <v>1251</v>
      </c>
      <c r="B32" s="17">
        <v>4691731505.4499998</v>
      </c>
      <c r="C32" s="17">
        <v>2641023481.1900001</v>
      </c>
      <c r="D32" s="17">
        <v>2500625138.2399998</v>
      </c>
      <c r="E32" s="17">
        <v>2721867313</v>
      </c>
      <c r="F32" s="17">
        <v>3197647783.9400001</v>
      </c>
      <c r="G32" s="17">
        <v>2838312325.54</v>
      </c>
      <c r="H32" s="17">
        <v>5697655568.8900003</v>
      </c>
      <c r="I32" s="17">
        <v>2591672932.8600001</v>
      </c>
      <c r="J32" s="17">
        <v>1896129315</v>
      </c>
      <c r="K32" s="17">
        <v>3307807934.6500001</v>
      </c>
      <c r="L32" s="30">
        <v>5925193421</v>
      </c>
      <c r="M32" s="30">
        <v>-19418459172.400002</v>
      </c>
    </row>
    <row r="33" spans="1:13" x14ac:dyDescent="0.25">
      <c r="A33" s="21" t="s">
        <v>346</v>
      </c>
      <c r="B33" s="17">
        <v>4691731505.4499998</v>
      </c>
      <c r="C33" s="17">
        <v>2641023481.1900001</v>
      </c>
      <c r="D33" s="17">
        <v>2500625138.2399998</v>
      </c>
      <c r="E33" s="17">
        <v>2721867313</v>
      </c>
      <c r="F33" s="17">
        <v>3197647783.9400001</v>
      </c>
      <c r="G33" s="17">
        <v>2838312325.54</v>
      </c>
      <c r="H33" s="17">
        <v>5697655568.8900003</v>
      </c>
      <c r="I33" s="17">
        <v>2591672932.8600001</v>
      </c>
      <c r="J33" s="17">
        <v>1896129315</v>
      </c>
      <c r="K33" s="17">
        <v>3307807934.6500001</v>
      </c>
      <c r="L33" s="30">
        <v>5925193421</v>
      </c>
      <c r="M33" s="30">
        <v>-19418459172.400002</v>
      </c>
    </row>
    <row r="34" spans="1:13" x14ac:dyDescent="0.25">
      <c r="A34" s="16" t="s">
        <v>1252</v>
      </c>
      <c r="B34" s="17">
        <v>6872105893.1400003</v>
      </c>
      <c r="C34" s="17">
        <v>5054396198.21</v>
      </c>
      <c r="D34" s="17">
        <v>4865248563.75</v>
      </c>
      <c r="E34" s="17">
        <v>8973516333.7900009</v>
      </c>
      <c r="F34" s="17">
        <v>5476148345.04</v>
      </c>
      <c r="G34" s="17">
        <v>8569917260.75</v>
      </c>
      <c r="H34" s="17">
        <v>7214920473.2799997</v>
      </c>
      <c r="I34" s="17">
        <v>8099546926.29</v>
      </c>
      <c r="J34" s="17">
        <v>5124821594.8199997</v>
      </c>
      <c r="K34" s="17">
        <v>10839519554.27</v>
      </c>
      <c r="L34" s="30">
        <v>7003149304.6400003</v>
      </c>
      <c r="M34" s="30">
        <v>-38281957853.300003</v>
      </c>
    </row>
    <row r="35" spans="1:13" x14ac:dyDescent="0.25">
      <c r="A35" s="21" t="s">
        <v>341</v>
      </c>
      <c r="B35" s="17">
        <v>6872105893.1400003</v>
      </c>
      <c r="C35" s="17">
        <v>5054396198.21</v>
      </c>
      <c r="D35" s="17">
        <v>4865248563.75</v>
      </c>
      <c r="E35" s="17">
        <v>8973516333.7900009</v>
      </c>
      <c r="F35" s="17">
        <v>5476148345.04</v>
      </c>
      <c r="G35" s="17">
        <v>8569917260.75</v>
      </c>
      <c r="H35" s="17">
        <v>7214920473.2799997</v>
      </c>
      <c r="I35" s="17">
        <v>8099546926.29</v>
      </c>
      <c r="J35" s="17">
        <v>5124821594.8199997</v>
      </c>
      <c r="K35" s="17">
        <v>10839519554.27</v>
      </c>
      <c r="L35" s="30">
        <v>7003149304.6400003</v>
      </c>
      <c r="M35" s="30">
        <v>-38281957853.300003</v>
      </c>
    </row>
    <row r="36" spans="1:13" x14ac:dyDescent="0.25">
      <c r="A36" s="16" t="s">
        <v>340</v>
      </c>
      <c r="B36" s="17">
        <v>31788055396.540001</v>
      </c>
      <c r="C36" s="17">
        <v>11573731184.32</v>
      </c>
      <c r="D36" s="17">
        <v>16907205260.540001</v>
      </c>
      <c r="E36" s="17">
        <v>19232337561.709999</v>
      </c>
      <c r="F36" s="17">
        <v>12606417782.639999</v>
      </c>
      <c r="G36" s="17">
        <v>13929786036.559999</v>
      </c>
      <c r="H36" s="17">
        <v>20002457599.209999</v>
      </c>
      <c r="I36" s="17">
        <v>10818711378.969999</v>
      </c>
      <c r="J36" s="17">
        <v>10679088097.24</v>
      </c>
      <c r="K36" s="17">
        <v>16597599983.77</v>
      </c>
      <c r="L36" s="30">
        <v>13193777222.709999</v>
      </c>
      <c r="M36" s="30">
        <v>20094814017.84</v>
      </c>
    </row>
    <row r="37" spans="1:13" x14ac:dyDescent="0.25">
      <c r="A37" s="21" t="s">
        <v>339</v>
      </c>
      <c r="B37" s="17">
        <v>31788055396.540001</v>
      </c>
      <c r="C37" s="17">
        <v>11573731184.32</v>
      </c>
      <c r="D37" s="17">
        <v>16907205260.540001</v>
      </c>
      <c r="E37" s="17">
        <v>19232337561.709999</v>
      </c>
      <c r="F37" s="17">
        <v>12606417782.639999</v>
      </c>
      <c r="G37" s="17">
        <v>13929786036.559999</v>
      </c>
      <c r="H37" s="17">
        <v>20002457599.209999</v>
      </c>
      <c r="I37" s="17">
        <v>10818711378.969999</v>
      </c>
      <c r="J37" s="17">
        <v>10679088097.24</v>
      </c>
      <c r="K37" s="17">
        <v>16597599983.77</v>
      </c>
      <c r="L37" s="30">
        <v>13193777222.709999</v>
      </c>
      <c r="M37" s="30">
        <v>20094814017.84</v>
      </c>
    </row>
    <row r="38" spans="1:13" x14ac:dyDescent="0.25">
      <c r="A38" s="16" t="s">
        <v>335</v>
      </c>
      <c r="B38" s="17">
        <v>3653515972</v>
      </c>
      <c r="C38" s="17">
        <v>373590606.14999998</v>
      </c>
      <c r="D38" s="17">
        <v>138136734</v>
      </c>
      <c r="E38" s="17">
        <v>68509301</v>
      </c>
      <c r="F38" s="17">
        <v>79269734</v>
      </c>
      <c r="G38" s="17">
        <v>51785177</v>
      </c>
      <c r="H38" s="17">
        <v>61459137</v>
      </c>
      <c r="I38" s="17">
        <v>31520396</v>
      </c>
      <c r="J38" s="17">
        <v>64754842</v>
      </c>
      <c r="K38" s="17">
        <v>48034090</v>
      </c>
      <c r="L38" s="30">
        <v>36110247</v>
      </c>
      <c r="M38" s="30">
        <v>92657454</v>
      </c>
    </row>
    <row r="39" spans="1:13" x14ac:dyDescent="0.25">
      <c r="A39" s="21" t="s">
        <v>334</v>
      </c>
      <c r="B39" s="17">
        <v>3653515972</v>
      </c>
      <c r="C39" s="17">
        <v>373590606.14999998</v>
      </c>
      <c r="D39" s="17">
        <v>138136734</v>
      </c>
      <c r="E39" s="17">
        <v>68509301</v>
      </c>
      <c r="F39" s="17">
        <v>79269734</v>
      </c>
      <c r="G39" s="17">
        <v>51785177</v>
      </c>
      <c r="H39" s="17">
        <v>61459137</v>
      </c>
      <c r="I39" s="17">
        <v>31520396</v>
      </c>
      <c r="J39" s="17">
        <v>64754842</v>
      </c>
      <c r="K39" s="17">
        <v>48034090</v>
      </c>
      <c r="L39" s="30">
        <v>36110247</v>
      </c>
      <c r="M39" s="30">
        <v>92657454</v>
      </c>
    </row>
    <row r="40" spans="1:13" x14ac:dyDescent="0.25">
      <c r="A40" s="16" t="s">
        <v>332</v>
      </c>
      <c r="B40" s="17">
        <v>12237510574.790001</v>
      </c>
      <c r="C40" s="17">
        <v>2791306335.4899998</v>
      </c>
      <c r="D40" s="17">
        <v>1809652420.6800001</v>
      </c>
      <c r="E40" s="17">
        <v>2134301792.45</v>
      </c>
      <c r="F40" s="17">
        <v>1648686637.0899999</v>
      </c>
      <c r="G40" s="17">
        <v>1603478475.3299999</v>
      </c>
      <c r="H40" s="17">
        <v>1113117335.25</v>
      </c>
      <c r="I40" s="17">
        <v>866078713.34000003</v>
      </c>
      <c r="J40" s="17">
        <v>744749394.25</v>
      </c>
      <c r="K40" s="17">
        <v>599546974</v>
      </c>
      <c r="L40" s="30">
        <v>18844720676</v>
      </c>
      <c r="M40" s="30">
        <v>136804846623.58</v>
      </c>
    </row>
    <row r="41" spans="1:13" x14ac:dyDescent="0.25">
      <c r="A41" s="21" t="s">
        <v>331</v>
      </c>
      <c r="B41" s="17">
        <v>12237510574.790001</v>
      </c>
      <c r="C41" s="17">
        <v>2791306335.4899998</v>
      </c>
      <c r="D41" s="17">
        <v>1809652420.6800001</v>
      </c>
      <c r="E41" s="17">
        <v>2134301792.45</v>
      </c>
      <c r="F41" s="17">
        <v>1648686637.0899999</v>
      </c>
      <c r="G41" s="17">
        <v>1603478475.3299999</v>
      </c>
      <c r="H41" s="17">
        <v>1113117335.25</v>
      </c>
      <c r="I41" s="17">
        <v>866078713.34000003</v>
      </c>
      <c r="J41" s="17">
        <v>744749394.25</v>
      </c>
      <c r="K41" s="17">
        <v>599546974</v>
      </c>
      <c r="L41" s="30">
        <v>18844720676</v>
      </c>
      <c r="M41" s="30">
        <v>136804846623.58</v>
      </c>
    </row>
    <row r="42" spans="1:13" x14ac:dyDescent="0.25">
      <c r="A42" s="16" t="s">
        <v>329</v>
      </c>
      <c r="B42" s="17">
        <v>327572616</v>
      </c>
      <c r="C42" s="17">
        <v>28199474</v>
      </c>
      <c r="D42" s="17">
        <v>23960810</v>
      </c>
      <c r="E42" s="17">
        <v>16108035</v>
      </c>
      <c r="F42" s="17">
        <v>11217760</v>
      </c>
      <c r="G42" s="17">
        <v>10266986</v>
      </c>
      <c r="H42" s="17">
        <v>8542335</v>
      </c>
      <c r="I42" s="17">
        <v>7483212</v>
      </c>
      <c r="J42" s="17">
        <v>6955161</v>
      </c>
      <c r="K42" s="17">
        <v>6333819</v>
      </c>
      <c r="L42" s="30">
        <v>132382533</v>
      </c>
      <c r="M42" s="30">
        <v>1241020631.6500001</v>
      </c>
    </row>
    <row r="43" spans="1:13" x14ac:dyDescent="0.25">
      <c r="A43" s="21" t="s">
        <v>328</v>
      </c>
      <c r="B43" s="17">
        <v>327572616</v>
      </c>
      <c r="C43" s="17">
        <v>28199474</v>
      </c>
      <c r="D43" s="17">
        <v>23960810</v>
      </c>
      <c r="E43" s="17">
        <v>16108035</v>
      </c>
      <c r="F43" s="17">
        <v>11217760</v>
      </c>
      <c r="G43" s="17">
        <v>10266986</v>
      </c>
      <c r="H43" s="17">
        <v>8542335</v>
      </c>
      <c r="I43" s="17">
        <v>7483212</v>
      </c>
      <c r="J43" s="17">
        <v>6955161</v>
      </c>
      <c r="K43" s="17">
        <v>6333819</v>
      </c>
      <c r="L43" s="30">
        <v>132382533</v>
      </c>
      <c r="M43" s="30">
        <v>1241020631.6500001</v>
      </c>
    </row>
    <row r="44" spans="1:13" x14ac:dyDescent="0.25">
      <c r="A44" s="16" t="s">
        <v>325</v>
      </c>
      <c r="B44" s="17">
        <v>5736935.9900000002</v>
      </c>
      <c r="C44" s="17">
        <v>45023376.5</v>
      </c>
      <c r="D44" s="17">
        <v>114306069.03</v>
      </c>
      <c r="E44" s="17">
        <v>23041522.260000002</v>
      </c>
      <c r="F44" s="17">
        <v>200692188.88</v>
      </c>
      <c r="G44" s="17">
        <v>30429534.280000001</v>
      </c>
      <c r="H44" s="17">
        <v>39021671.859999999</v>
      </c>
      <c r="I44" s="17">
        <v>33444989.32</v>
      </c>
      <c r="J44" s="17">
        <v>0</v>
      </c>
      <c r="K44" s="17">
        <v>0</v>
      </c>
      <c r="L44" s="30">
        <v>0</v>
      </c>
      <c r="M44" s="30">
        <v>0</v>
      </c>
    </row>
    <row r="45" spans="1:13" x14ac:dyDescent="0.25">
      <c r="A45" s="21" t="s">
        <v>324</v>
      </c>
      <c r="B45" s="17">
        <v>5736935.9900000002</v>
      </c>
      <c r="C45" s="17">
        <v>45023376.5</v>
      </c>
      <c r="D45" s="17">
        <v>114306069.03</v>
      </c>
      <c r="E45" s="17">
        <v>23041522.260000002</v>
      </c>
      <c r="F45" s="17">
        <v>200692188.88</v>
      </c>
      <c r="G45" s="17">
        <v>30429534.280000001</v>
      </c>
      <c r="H45" s="17">
        <v>39021671.859999999</v>
      </c>
      <c r="I45" s="17">
        <v>33444989.32</v>
      </c>
      <c r="J45" s="17">
        <v>0</v>
      </c>
      <c r="K45" s="17">
        <v>0</v>
      </c>
      <c r="L45" s="30">
        <v>0</v>
      </c>
      <c r="M45" s="30">
        <v>0</v>
      </c>
    </row>
    <row r="46" spans="1:13" x14ac:dyDescent="0.25">
      <c r="A46" s="16" t="s">
        <v>323</v>
      </c>
      <c r="B46" s="17">
        <v>11748031235.120001</v>
      </c>
      <c r="C46" s="17">
        <v>5708708984.1300001</v>
      </c>
      <c r="D46" s="17">
        <v>1993451461.0599999</v>
      </c>
      <c r="E46" s="17">
        <v>1096473436.9400001</v>
      </c>
      <c r="F46" s="17">
        <v>1030609099.59</v>
      </c>
      <c r="G46" s="17">
        <v>918355624.04999995</v>
      </c>
      <c r="H46" s="17">
        <v>805829877.20000005</v>
      </c>
      <c r="I46" s="17">
        <v>806234956.22000003</v>
      </c>
      <c r="J46" s="17">
        <v>1060833923.08</v>
      </c>
      <c r="K46" s="17">
        <v>881923711.23000002</v>
      </c>
      <c r="L46" s="30">
        <v>710517982.64999998</v>
      </c>
      <c r="M46" s="30">
        <v>756302591.38999999</v>
      </c>
    </row>
    <row r="47" spans="1:13" x14ac:dyDescent="0.25">
      <c r="A47" s="21" t="s">
        <v>321</v>
      </c>
      <c r="B47" s="17">
        <v>11748031235.120001</v>
      </c>
      <c r="C47" s="17">
        <v>5708708984.1300001</v>
      </c>
      <c r="D47" s="17">
        <v>1993451461.0599999</v>
      </c>
      <c r="E47" s="17">
        <v>1096473436.9400001</v>
      </c>
      <c r="F47" s="17">
        <v>1030609099.59</v>
      </c>
      <c r="G47" s="17">
        <v>918355624.04999995</v>
      </c>
      <c r="H47" s="17">
        <v>805829877.20000005</v>
      </c>
      <c r="I47" s="17">
        <v>806234956.22000003</v>
      </c>
      <c r="J47" s="17">
        <v>1060833923.08</v>
      </c>
      <c r="K47" s="17">
        <v>881923711.23000002</v>
      </c>
      <c r="L47" s="30">
        <v>710517982.64999998</v>
      </c>
      <c r="M47" s="30">
        <v>756302591.38999999</v>
      </c>
    </row>
    <row r="48" spans="1:13" x14ac:dyDescent="0.25">
      <c r="A48" s="16" t="s">
        <v>320</v>
      </c>
      <c r="B48" s="17">
        <v>2429715634</v>
      </c>
      <c r="C48" s="17">
        <v>2601224218</v>
      </c>
      <c r="D48" s="17">
        <v>3369140665</v>
      </c>
      <c r="E48" s="17">
        <v>2817842323</v>
      </c>
      <c r="F48" s="17">
        <v>3937208792.5</v>
      </c>
      <c r="G48" s="17">
        <v>6512902139.5</v>
      </c>
      <c r="H48" s="17">
        <v>5875002513</v>
      </c>
      <c r="I48" s="17">
        <v>2944749991</v>
      </c>
      <c r="J48" s="17">
        <v>3181540981.52</v>
      </c>
      <c r="K48" s="17">
        <v>2924889591</v>
      </c>
      <c r="L48" s="30">
        <v>2990374351.3200002</v>
      </c>
      <c r="M48" s="30">
        <v>2969827026</v>
      </c>
    </row>
    <row r="49" spans="1:13" x14ac:dyDescent="0.25">
      <c r="A49" s="21" t="s">
        <v>319</v>
      </c>
      <c r="B49" s="17">
        <v>2429715634</v>
      </c>
      <c r="C49" s="17">
        <v>2601224218</v>
      </c>
      <c r="D49" s="17">
        <v>3369140665</v>
      </c>
      <c r="E49" s="17">
        <v>2817842323</v>
      </c>
      <c r="F49" s="17">
        <v>3937208792.5</v>
      </c>
      <c r="G49" s="17">
        <v>6512902139.5</v>
      </c>
      <c r="H49" s="17">
        <v>5875002513</v>
      </c>
      <c r="I49" s="17">
        <v>2944749991</v>
      </c>
      <c r="J49" s="17">
        <v>3181540981.52</v>
      </c>
      <c r="K49" s="17">
        <v>2924889591</v>
      </c>
      <c r="L49" s="30">
        <v>2990374351.3200002</v>
      </c>
      <c r="M49" s="30">
        <v>2969827026</v>
      </c>
    </row>
    <row r="50" spans="1:13" x14ac:dyDescent="0.25">
      <c r="A50" s="16" t="s">
        <v>317</v>
      </c>
      <c r="B50" s="17">
        <v>2100176038</v>
      </c>
      <c r="C50" s="17">
        <v>2021850592</v>
      </c>
      <c r="D50" s="17">
        <v>2068296478</v>
      </c>
      <c r="E50" s="17">
        <v>1708733682</v>
      </c>
      <c r="F50" s="17">
        <v>2142786462</v>
      </c>
      <c r="G50" s="17">
        <v>2077372977</v>
      </c>
      <c r="H50" s="17">
        <v>2127995866</v>
      </c>
      <c r="I50" s="17">
        <v>1787045613</v>
      </c>
      <c r="J50" s="17">
        <v>1786705173</v>
      </c>
      <c r="K50" s="17">
        <v>2085319600</v>
      </c>
      <c r="L50" s="30">
        <v>1858353298</v>
      </c>
      <c r="M50" s="30">
        <v>1458078238</v>
      </c>
    </row>
    <row r="51" spans="1:13" x14ac:dyDescent="0.25">
      <c r="A51" s="21" t="s">
        <v>316</v>
      </c>
      <c r="B51" s="17">
        <v>2100176038</v>
      </c>
      <c r="C51" s="17">
        <v>2021850592</v>
      </c>
      <c r="D51" s="17">
        <v>2068296478</v>
      </c>
      <c r="E51" s="17">
        <v>1708733682</v>
      </c>
      <c r="F51" s="17">
        <v>2142786462</v>
      </c>
      <c r="G51" s="17">
        <v>2077372977</v>
      </c>
      <c r="H51" s="17">
        <v>2127995866</v>
      </c>
      <c r="I51" s="17">
        <v>1787045613</v>
      </c>
      <c r="J51" s="17">
        <v>1786705173</v>
      </c>
      <c r="K51" s="17">
        <v>2085319600</v>
      </c>
      <c r="L51" s="30">
        <v>1858353298</v>
      </c>
      <c r="M51" s="30">
        <v>1458078238</v>
      </c>
    </row>
    <row r="52" spans="1:13" x14ac:dyDescent="0.25">
      <c r="A52" s="16" t="s">
        <v>313</v>
      </c>
      <c r="B52" s="17">
        <v>89003899513.880005</v>
      </c>
      <c r="C52" s="17">
        <v>67979772273.080002</v>
      </c>
      <c r="D52" s="17">
        <v>64988540995.010002</v>
      </c>
      <c r="E52" s="17">
        <v>65146291425.110001</v>
      </c>
      <c r="F52" s="17">
        <v>67528773604.610001</v>
      </c>
      <c r="G52" s="17">
        <v>62407881452.169998</v>
      </c>
      <c r="H52" s="17">
        <v>70319897654.830002</v>
      </c>
      <c r="I52" s="17">
        <v>89098977789.440002</v>
      </c>
      <c r="J52" s="17">
        <v>95804930385.880005</v>
      </c>
      <c r="K52" s="17">
        <v>95192218189.639999</v>
      </c>
      <c r="L52" s="30">
        <v>89254386967.399994</v>
      </c>
      <c r="M52" s="30">
        <v>102024548327.25</v>
      </c>
    </row>
    <row r="53" spans="1:13" x14ac:dyDescent="0.25">
      <c r="A53" s="21" t="s">
        <v>312</v>
      </c>
      <c r="B53" s="17">
        <v>89003899513.880005</v>
      </c>
      <c r="C53" s="17">
        <v>67979772273.080002</v>
      </c>
      <c r="D53" s="17">
        <v>64988540995.010002</v>
      </c>
      <c r="E53" s="17">
        <v>65146291425.110001</v>
      </c>
      <c r="F53" s="17">
        <v>67528773604.610001</v>
      </c>
      <c r="G53" s="17">
        <v>62407881452.169998</v>
      </c>
      <c r="H53" s="17">
        <v>70319897654.830002</v>
      </c>
      <c r="I53" s="17">
        <v>89098977789.440002</v>
      </c>
      <c r="J53" s="17">
        <v>95804930385.880005</v>
      </c>
      <c r="K53" s="17">
        <v>95192218189.639999</v>
      </c>
      <c r="L53" s="30">
        <v>89254386967.399994</v>
      </c>
      <c r="M53" s="30">
        <v>102024548327.25</v>
      </c>
    </row>
    <row r="54" spans="1:13" x14ac:dyDescent="0.25">
      <c r="A54" s="16" t="s">
        <v>310</v>
      </c>
      <c r="B54" s="17">
        <v>60078610327.879997</v>
      </c>
      <c r="C54" s="17">
        <v>50979747873.510002</v>
      </c>
      <c r="D54" s="17">
        <v>58755060176.269997</v>
      </c>
      <c r="E54" s="17">
        <v>52200885139.940002</v>
      </c>
      <c r="F54" s="17">
        <v>56581723072.089996</v>
      </c>
      <c r="G54" s="17">
        <v>51692873100.589996</v>
      </c>
      <c r="H54" s="17">
        <v>58620406175.129997</v>
      </c>
      <c r="I54" s="17">
        <v>52136228134.019997</v>
      </c>
      <c r="J54" s="17">
        <v>53936817549.620003</v>
      </c>
      <c r="K54" s="17">
        <v>64462669908.580002</v>
      </c>
      <c r="L54" s="30">
        <v>62683780937.389999</v>
      </c>
      <c r="M54" s="30">
        <v>54107017025.589996</v>
      </c>
    </row>
    <row r="55" spans="1:13" x14ac:dyDescent="0.25">
      <c r="A55" s="21" t="s">
        <v>309</v>
      </c>
      <c r="B55" s="17">
        <v>60078610327.879997</v>
      </c>
      <c r="C55" s="17">
        <v>50979747873.510002</v>
      </c>
      <c r="D55" s="17">
        <v>58755060176.269997</v>
      </c>
      <c r="E55" s="17">
        <v>52200885139.940002</v>
      </c>
      <c r="F55" s="17">
        <v>56581723072.089996</v>
      </c>
      <c r="G55" s="17">
        <v>51692873100.589996</v>
      </c>
      <c r="H55" s="17">
        <v>58620406175.129997</v>
      </c>
      <c r="I55" s="17">
        <v>52136228134.019997</v>
      </c>
      <c r="J55" s="17">
        <v>53936817549.620003</v>
      </c>
      <c r="K55" s="17">
        <v>64462669908.580002</v>
      </c>
      <c r="L55" s="30">
        <v>62683780937.389999</v>
      </c>
      <c r="M55" s="30">
        <v>54107017025.589996</v>
      </c>
    </row>
    <row r="56" spans="1:13" x14ac:dyDescent="0.25">
      <c r="A56" s="16" t="s">
        <v>306</v>
      </c>
      <c r="B56" s="17">
        <v>1015649375.45</v>
      </c>
      <c r="C56" s="17">
        <v>721200898.44000006</v>
      </c>
      <c r="D56" s="17">
        <v>663662658.17999995</v>
      </c>
      <c r="E56" s="17">
        <v>811736526.69000006</v>
      </c>
      <c r="F56" s="17">
        <v>956372925.49000001</v>
      </c>
      <c r="G56" s="17">
        <v>841157498.36000001</v>
      </c>
      <c r="H56" s="17">
        <v>747808582.88999999</v>
      </c>
      <c r="I56" s="17">
        <v>715364580.12</v>
      </c>
      <c r="J56" s="17">
        <v>898429423.94000006</v>
      </c>
      <c r="K56" s="17">
        <v>985540867</v>
      </c>
      <c r="L56" s="30">
        <v>820584712.80999994</v>
      </c>
      <c r="M56" s="30">
        <v>1013429527</v>
      </c>
    </row>
    <row r="57" spans="1:13" x14ac:dyDescent="0.25">
      <c r="A57" s="21" t="s">
        <v>305</v>
      </c>
      <c r="B57" s="17">
        <v>1015649375.45</v>
      </c>
      <c r="C57" s="17">
        <v>721200898.44000006</v>
      </c>
      <c r="D57" s="17">
        <v>663662658.17999995</v>
      </c>
      <c r="E57" s="17">
        <v>811736526.69000006</v>
      </c>
      <c r="F57" s="17">
        <v>956372925.49000001</v>
      </c>
      <c r="G57" s="17">
        <v>841157498.36000001</v>
      </c>
      <c r="H57" s="17">
        <v>747808582.88999999</v>
      </c>
      <c r="I57" s="17">
        <v>715364580.12</v>
      </c>
      <c r="J57" s="17">
        <v>898429423.94000006</v>
      </c>
      <c r="K57" s="17">
        <v>985540867</v>
      </c>
      <c r="L57" s="30">
        <v>820584712.80999994</v>
      </c>
      <c r="M57" s="30">
        <v>1013429527</v>
      </c>
    </row>
    <row r="58" spans="1:13" x14ac:dyDescent="0.25">
      <c r="A58" s="16" t="s">
        <v>303</v>
      </c>
      <c r="B58" s="17">
        <v>17716687899.580002</v>
      </c>
      <c r="C58" s="17">
        <v>13708557904.09</v>
      </c>
      <c r="D58" s="17">
        <v>18599699045.93</v>
      </c>
      <c r="E58" s="17">
        <v>15372475957.84</v>
      </c>
      <c r="F58" s="17">
        <v>15034988857.299999</v>
      </c>
      <c r="G58" s="17">
        <v>13854892927.610001</v>
      </c>
      <c r="H58" s="17">
        <v>14053560503.99</v>
      </c>
      <c r="I58" s="17">
        <v>12379893926.33</v>
      </c>
      <c r="J58" s="17">
        <v>15409209893.469999</v>
      </c>
      <c r="K58" s="17">
        <v>18614489233.810001</v>
      </c>
      <c r="L58" s="30">
        <v>18813597764.139999</v>
      </c>
      <c r="M58" s="30">
        <v>13702956998.809999</v>
      </c>
    </row>
    <row r="59" spans="1:13" x14ac:dyDescent="0.25">
      <c r="A59" s="21" t="s">
        <v>302</v>
      </c>
      <c r="B59" s="17">
        <v>17716687899.580002</v>
      </c>
      <c r="C59" s="17">
        <v>13708557904.09</v>
      </c>
      <c r="D59" s="17">
        <v>18599699045.93</v>
      </c>
      <c r="E59" s="17">
        <v>15372475957.84</v>
      </c>
      <c r="F59" s="17">
        <v>15034988857.299999</v>
      </c>
      <c r="G59" s="17">
        <v>13854892927.610001</v>
      </c>
      <c r="H59" s="17">
        <v>14053560503.99</v>
      </c>
      <c r="I59" s="17">
        <v>12379893926.33</v>
      </c>
      <c r="J59" s="17">
        <v>15409209893.469999</v>
      </c>
      <c r="K59" s="17">
        <v>18614489233.810001</v>
      </c>
      <c r="L59" s="30">
        <v>18813597764.139999</v>
      </c>
      <c r="M59" s="30">
        <v>13702956998.809999</v>
      </c>
    </row>
    <row r="60" spans="1:13" x14ac:dyDescent="0.25">
      <c r="A60" s="16" t="s">
        <v>298</v>
      </c>
      <c r="B60" s="17">
        <v>13922621944</v>
      </c>
      <c r="C60" s="17">
        <v>33802511456</v>
      </c>
      <c r="D60" s="17">
        <v>10255405303</v>
      </c>
      <c r="E60" s="17">
        <v>47665297931</v>
      </c>
      <c r="F60" s="17">
        <v>35797265177</v>
      </c>
      <c r="G60" s="17">
        <v>24299275702</v>
      </c>
      <c r="H60" s="17">
        <v>12182350002</v>
      </c>
      <c r="I60" s="17">
        <v>41135703224</v>
      </c>
      <c r="J60" s="17">
        <v>25064952607</v>
      </c>
      <c r="K60" s="17">
        <v>38238382883</v>
      </c>
      <c r="L60" s="30">
        <v>24042311240</v>
      </c>
      <c r="M60" s="30">
        <v>25187184647</v>
      </c>
    </row>
    <row r="61" spans="1:13" x14ac:dyDescent="0.25">
      <c r="A61" s="21" t="s">
        <v>281</v>
      </c>
      <c r="B61" s="17">
        <v>13922621944</v>
      </c>
      <c r="C61" s="17">
        <v>33802511456</v>
      </c>
      <c r="D61" s="17">
        <v>10255405303</v>
      </c>
      <c r="E61" s="17">
        <v>47665297931</v>
      </c>
      <c r="F61" s="17">
        <v>35797265177</v>
      </c>
      <c r="G61" s="17">
        <v>24299275702</v>
      </c>
      <c r="H61" s="17">
        <v>12182350002</v>
      </c>
      <c r="I61" s="17">
        <v>41135703224</v>
      </c>
      <c r="J61" s="17">
        <v>25064952607</v>
      </c>
      <c r="K61" s="17">
        <v>38238382883</v>
      </c>
      <c r="L61" s="30">
        <v>24042311240</v>
      </c>
      <c r="M61" s="30">
        <v>25187184647</v>
      </c>
    </row>
    <row r="62" spans="1:13" x14ac:dyDescent="0.25">
      <c r="A62" s="16" t="s">
        <v>297</v>
      </c>
      <c r="B62" s="17">
        <v>18384545321.360001</v>
      </c>
      <c r="C62" s="17">
        <v>12791965585.040001</v>
      </c>
      <c r="D62" s="17">
        <v>27044172577.549999</v>
      </c>
      <c r="E62" s="17">
        <v>20153872764</v>
      </c>
      <c r="F62" s="17">
        <v>14584654284.389999</v>
      </c>
      <c r="G62" s="17">
        <v>19262245952.009998</v>
      </c>
      <c r="H62" s="17">
        <v>12132223242.889999</v>
      </c>
      <c r="I62" s="17">
        <v>20103419555.040001</v>
      </c>
      <c r="J62" s="17">
        <v>14496481270.469999</v>
      </c>
      <c r="K62" s="17">
        <v>20740986597.619999</v>
      </c>
      <c r="L62" s="30">
        <v>19572902042.68</v>
      </c>
      <c r="M62" s="30">
        <v>21156107989.43</v>
      </c>
    </row>
    <row r="63" spans="1:13" x14ac:dyDescent="0.25">
      <c r="A63" s="21" t="s">
        <v>287</v>
      </c>
      <c r="B63" s="17">
        <v>18384545321.360001</v>
      </c>
      <c r="C63" s="17">
        <v>12791965585.040001</v>
      </c>
      <c r="D63" s="17">
        <v>27044172577.549999</v>
      </c>
      <c r="E63" s="17">
        <v>20153872764</v>
      </c>
      <c r="F63" s="17">
        <v>14584654284.389999</v>
      </c>
      <c r="G63" s="17">
        <v>19262245952.009998</v>
      </c>
      <c r="H63" s="17">
        <v>12132223242.889999</v>
      </c>
      <c r="I63" s="17">
        <v>20103419555.040001</v>
      </c>
      <c r="J63" s="17">
        <v>14496481270.469999</v>
      </c>
      <c r="K63" s="17">
        <v>20740986597.619999</v>
      </c>
      <c r="L63" s="30">
        <v>19572902042.68</v>
      </c>
      <c r="M63" s="30">
        <v>21156107989.43</v>
      </c>
    </row>
    <row r="64" spans="1:13" x14ac:dyDescent="0.25">
      <c r="A64" s="16" t="s">
        <v>295</v>
      </c>
      <c r="B64" s="17">
        <v>3594779927.21</v>
      </c>
      <c r="C64" s="17">
        <v>2169824699.96</v>
      </c>
      <c r="D64" s="17">
        <v>2791533394.1799998</v>
      </c>
      <c r="E64" s="17">
        <v>2525527688.1100001</v>
      </c>
      <c r="F64" s="17">
        <v>2849248069.98</v>
      </c>
      <c r="G64" s="17">
        <v>2921901884.1599998</v>
      </c>
      <c r="H64" s="17">
        <v>2091594550.7</v>
      </c>
      <c r="I64" s="17">
        <v>1856126203.3499999</v>
      </c>
      <c r="J64" s="17">
        <v>2750989477.5300002</v>
      </c>
      <c r="K64" s="17">
        <v>2762773518.4699998</v>
      </c>
      <c r="L64" s="30">
        <v>2264223761</v>
      </c>
      <c r="M64" s="30">
        <v>3116415159</v>
      </c>
    </row>
    <row r="65" spans="1:13" x14ac:dyDescent="0.25">
      <c r="A65" s="21" t="s">
        <v>281</v>
      </c>
      <c r="B65" s="17">
        <v>3594779927.21</v>
      </c>
      <c r="C65" s="17">
        <v>2169824699.96</v>
      </c>
      <c r="D65" s="17">
        <v>2791533394.1799998</v>
      </c>
      <c r="E65" s="17">
        <v>2525527688.1100001</v>
      </c>
      <c r="F65" s="17">
        <v>2849248069.98</v>
      </c>
      <c r="G65" s="17">
        <v>2921901884.1599998</v>
      </c>
      <c r="H65" s="17">
        <v>2091594550.7</v>
      </c>
      <c r="I65" s="17">
        <v>1856126203.3499999</v>
      </c>
      <c r="J65" s="17">
        <v>2750989477.5300002</v>
      </c>
      <c r="K65" s="17">
        <v>2762773518.4699998</v>
      </c>
      <c r="L65" s="30">
        <v>2264223761</v>
      </c>
      <c r="M65" s="30">
        <v>3116415159</v>
      </c>
    </row>
    <row r="66" spans="1:13" x14ac:dyDescent="0.25">
      <c r="A66" s="16" t="s">
        <v>294</v>
      </c>
      <c r="B66" s="17">
        <v>912095558.38999999</v>
      </c>
      <c r="C66" s="17">
        <v>936569012.72000003</v>
      </c>
      <c r="D66" s="17">
        <v>1013742379.62</v>
      </c>
      <c r="E66" s="17">
        <v>927515462.33000004</v>
      </c>
      <c r="F66" s="17">
        <v>883719036.09000003</v>
      </c>
      <c r="G66" s="17">
        <v>762395915.87</v>
      </c>
      <c r="H66" s="17">
        <v>904227763.82000005</v>
      </c>
      <c r="I66" s="17">
        <v>827196143.07000005</v>
      </c>
      <c r="J66" s="17">
        <v>821805819.23000002</v>
      </c>
      <c r="K66" s="17">
        <v>1299008061.9000001</v>
      </c>
      <c r="L66" s="30">
        <v>1362148950.8199999</v>
      </c>
      <c r="M66" s="30">
        <v>1503680810.5599999</v>
      </c>
    </row>
    <row r="67" spans="1:13" x14ac:dyDescent="0.25">
      <c r="A67" s="21" t="s">
        <v>287</v>
      </c>
      <c r="B67" s="17">
        <v>912095558.38999999</v>
      </c>
      <c r="C67" s="17">
        <v>936569012.72000003</v>
      </c>
      <c r="D67" s="17">
        <v>1013742379.62</v>
      </c>
      <c r="E67" s="17">
        <v>927515462.33000004</v>
      </c>
      <c r="F67" s="17">
        <v>883719036.09000003</v>
      </c>
      <c r="G67" s="17">
        <v>762395915.87</v>
      </c>
      <c r="H67" s="17">
        <v>904227763.82000005</v>
      </c>
      <c r="I67" s="17">
        <v>827196143.07000005</v>
      </c>
      <c r="J67" s="17">
        <v>821805819.23000002</v>
      </c>
      <c r="K67" s="17">
        <v>1299008061.9000001</v>
      </c>
      <c r="L67" s="30">
        <v>1362148950.8199999</v>
      </c>
      <c r="M67" s="30">
        <v>1503680810.5599999</v>
      </c>
    </row>
    <row r="68" spans="1:13" x14ac:dyDescent="0.25">
      <c r="A68" s="16" t="s">
        <v>292</v>
      </c>
      <c r="B68" s="17">
        <v>3711177857.1700001</v>
      </c>
      <c r="C68" s="17">
        <v>3271345427.8200002</v>
      </c>
      <c r="D68" s="17">
        <v>3023053175.96</v>
      </c>
      <c r="E68" s="17">
        <v>3511477520.1199999</v>
      </c>
      <c r="F68" s="17">
        <v>3466006440.3200002</v>
      </c>
      <c r="G68" s="17">
        <v>3039346784.5500002</v>
      </c>
      <c r="H68" s="17">
        <v>2983211032.1300001</v>
      </c>
      <c r="I68" s="17">
        <v>2669243032</v>
      </c>
      <c r="J68" s="17">
        <v>3098514723.8899999</v>
      </c>
      <c r="K68" s="17">
        <v>3049620435.8699999</v>
      </c>
      <c r="L68" s="30">
        <v>2851598630</v>
      </c>
      <c r="M68" s="30">
        <v>3245732506.4099998</v>
      </c>
    </row>
    <row r="69" spans="1:13" x14ac:dyDescent="0.25">
      <c r="A69" s="21" t="s">
        <v>281</v>
      </c>
      <c r="B69" s="17">
        <v>3711177857.1700001</v>
      </c>
      <c r="C69" s="17">
        <v>3271345427.8200002</v>
      </c>
      <c r="D69" s="17">
        <v>3023053175.96</v>
      </c>
      <c r="E69" s="17">
        <v>3511477520.1199999</v>
      </c>
      <c r="F69" s="17">
        <v>3466006440.3200002</v>
      </c>
      <c r="G69" s="17">
        <v>3039346784.5500002</v>
      </c>
      <c r="H69" s="17">
        <v>2983211032.1300001</v>
      </c>
      <c r="I69" s="17">
        <v>2669243032</v>
      </c>
      <c r="J69" s="17">
        <v>3098514723.8899999</v>
      </c>
      <c r="K69" s="17">
        <v>3049620435.8699999</v>
      </c>
      <c r="L69" s="30">
        <v>2851598630</v>
      </c>
      <c r="M69" s="30">
        <v>3245732506.4099998</v>
      </c>
    </row>
    <row r="70" spans="1:13" x14ac:dyDescent="0.25">
      <c r="A70" s="16" t="s">
        <v>291</v>
      </c>
      <c r="B70" s="17">
        <v>284134351.05000001</v>
      </c>
      <c r="C70" s="17">
        <v>249405027.69999999</v>
      </c>
      <c r="D70" s="17">
        <v>288063093.74000001</v>
      </c>
      <c r="E70" s="17">
        <v>398389529.80000001</v>
      </c>
      <c r="F70" s="17">
        <v>277687601.30000001</v>
      </c>
      <c r="G70" s="17">
        <v>304405243.44</v>
      </c>
      <c r="H70" s="17">
        <v>257816322.69</v>
      </c>
      <c r="I70" s="17">
        <v>291523418.79000002</v>
      </c>
      <c r="J70" s="17">
        <v>212896493.99000001</v>
      </c>
      <c r="K70" s="17">
        <v>287480381.05000001</v>
      </c>
      <c r="L70" s="30">
        <v>248753763.08000001</v>
      </c>
      <c r="M70" s="30">
        <v>225613448.12</v>
      </c>
    </row>
    <row r="71" spans="1:13" x14ac:dyDescent="0.25">
      <c r="A71" s="21" t="s">
        <v>287</v>
      </c>
      <c r="B71" s="17">
        <v>284134351.05000001</v>
      </c>
      <c r="C71" s="17">
        <v>249405027.69999999</v>
      </c>
      <c r="D71" s="17">
        <v>288063093.74000001</v>
      </c>
      <c r="E71" s="17">
        <v>398389529.80000001</v>
      </c>
      <c r="F71" s="17">
        <v>277687601.30000001</v>
      </c>
      <c r="G71" s="17">
        <v>304405243.44</v>
      </c>
      <c r="H71" s="17">
        <v>257816322.69</v>
      </c>
      <c r="I71" s="17">
        <v>291523418.79000002</v>
      </c>
      <c r="J71" s="17">
        <v>212896493.99000001</v>
      </c>
      <c r="K71" s="17">
        <v>287480381.05000001</v>
      </c>
      <c r="L71" s="30">
        <v>248753763.08000001</v>
      </c>
      <c r="M71" s="30">
        <v>225613448.12</v>
      </c>
    </row>
    <row r="72" spans="1:13" x14ac:dyDescent="0.25">
      <c r="A72" s="16" t="s">
        <v>289</v>
      </c>
      <c r="B72" s="17">
        <v>265165421.25999999</v>
      </c>
      <c r="C72" s="17">
        <v>-56446535.57</v>
      </c>
      <c r="D72" s="17">
        <v>201664203.53999999</v>
      </c>
      <c r="E72" s="17">
        <v>550656916.61000001</v>
      </c>
      <c r="F72" s="17">
        <v>218386958.94999999</v>
      </c>
      <c r="G72" s="17">
        <v>275931896.19999999</v>
      </c>
      <c r="H72" s="17">
        <v>241744866.56</v>
      </c>
      <c r="I72" s="17">
        <v>243877573.74000001</v>
      </c>
      <c r="J72" s="17">
        <v>303935281.32999998</v>
      </c>
      <c r="K72" s="17">
        <v>259087310.47</v>
      </c>
      <c r="L72" s="30">
        <v>263516932.63</v>
      </c>
      <c r="M72" s="30">
        <v>252847701.15000001</v>
      </c>
    </row>
    <row r="73" spans="1:13" x14ac:dyDescent="0.25">
      <c r="A73" s="21" t="s">
        <v>287</v>
      </c>
      <c r="B73" s="17">
        <v>265165421.25999999</v>
      </c>
      <c r="C73" s="17">
        <v>-56446535.57</v>
      </c>
      <c r="D73" s="17">
        <v>201664203.53999999</v>
      </c>
      <c r="E73" s="17">
        <v>550656916.61000001</v>
      </c>
      <c r="F73" s="17">
        <v>218386958.94999999</v>
      </c>
      <c r="G73" s="17">
        <v>275931896.19999999</v>
      </c>
      <c r="H73" s="17">
        <v>241744866.56</v>
      </c>
      <c r="I73" s="17">
        <v>243877573.74000001</v>
      </c>
      <c r="J73" s="17">
        <v>303935281.32999998</v>
      </c>
      <c r="K73" s="17">
        <v>259087310.47</v>
      </c>
      <c r="L73" s="30">
        <v>263516932.63</v>
      </c>
      <c r="M73" s="30">
        <v>252847701.15000001</v>
      </c>
    </row>
    <row r="74" spans="1:13" x14ac:dyDescent="0.25">
      <c r="A74" s="16" t="s">
        <v>286</v>
      </c>
      <c r="B74" s="17">
        <v>18116019.41</v>
      </c>
      <c r="C74" s="17">
        <v>0</v>
      </c>
      <c r="D74" s="17">
        <v>39523637.960000001</v>
      </c>
      <c r="E74" s="17">
        <v>22583365.690000001</v>
      </c>
      <c r="F74" s="17">
        <v>21220680.359999999</v>
      </c>
      <c r="G74" s="17">
        <v>21217819.550000001</v>
      </c>
      <c r="H74" s="17">
        <v>18905322.170000002</v>
      </c>
      <c r="I74" s="17">
        <v>19829238.050000001</v>
      </c>
      <c r="J74" s="17">
        <v>0</v>
      </c>
      <c r="K74" s="17">
        <v>36246756.539999999</v>
      </c>
      <c r="L74" s="30">
        <v>18590118.27</v>
      </c>
      <c r="M74" s="30">
        <v>0</v>
      </c>
    </row>
    <row r="75" spans="1:13" x14ac:dyDescent="0.25">
      <c r="A75" s="21" t="s">
        <v>285</v>
      </c>
      <c r="B75" s="17">
        <v>18116019.41</v>
      </c>
      <c r="C75" s="17">
        <v>0</v>
      </c>
      <c r="D75" s="17">
        <v>39523637.960000001</v>
      </c>
      <c r="E75" s="17">
        <v>22583365.690000001</v>
      </c>
      <c r="F75" s="17">
        <v>21220680.359999999</v>
      </c>
      <c r="G75" s="17">
        <v>21217819.550000001</v>
      </c>
      <c r="H75" s="17">
        <v>18905322.170000002</v>
      </c>
      <c r="I75" s="17">
        <v>19829238.050000001</v>
      </c>
      <c r="J75" s="17">
        <v>0</v>
      </c>
      <c r="K75" s="17">
        <v>36246756.539999999</v>
      </c>
      <c r="L75" s="30">
        <v>18590118.27</v>
      </c>
      <c r="M75" s="30">
        <v>0</v>
      </c>
    </row>
    <row r="76" spans="1:13" x14ac:dyDescent="0.25">
      <c r="A76" s="16" t="s">
        <v>283</v>
      </c>
      <c r="B76" s="17">
        <v>0</v>
      </c>
      <c r="C76" s="17">
        <v>0</v>
      </c>
      <c r="D76" s="17">
        <v>0</v>
      </c>
      <c r="E76" s="17">
        <v>0</v>
      </c>
      <c r="F76" s="17">
        <v>6687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30">
        <v>0</v>
      </c>
      <c r="M76" s="30">
        <v>-6687</v>
      </c>
    </row>
    <row r="77" spans="1:13" x14ac:dyDescent="0.25">
      <c r="A77" s="21" t="s">
        <v>1262</v>
      </c>
      <c r="B77" s="17">
        <v>0</v>
      </c>
      <c r="C77" s="17">
        <v>0</v>
      </c>
      <c r="D77" s="17">
        <v>0</v>
      </c>
      <c r="E77" s="17">
        <v>0</v>
      </c>
      <c r="F77" s="17">
        <v>6687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30">
        <v>0</v>
      </c>
      <c r="M77" s="30">
        <v>-6687</v>
      </c>
    </row>
    <row r="78" spans="1:13" x14ac:dyDescent="0.25">
      <c r="A78" s="16" t="s">
        <v>280</v>
      </c>
      <c r="B78" s="17">
        <v>5546011004.5900002</v>
      </c>
      <c r="C78" s="17">
        <v>1081750177.3399999</v>
      </c>
      <c r="D78" s="17">
        <v>1472907351.9000001</v>
      </c>
      <c r="E78" s="17">
        <v>1524666263.03</v>
      </c>
      <c r="F78" s="17">
        <v>1628025713</v>
      </c>
      <c r="G78" s="17">
        <v>1847389509.6500001</v>
      </c>
      <c r="H78" s="17">
        <v>1962770270.3699999</v>
      </c>
      <c r="I78" s="17">
        <v>1896680614.9200001</v>
      </c>
      <c r="J78" s="17">
        <v>2744774883.5500002</v>
      </c>
      <c r="K78" s="17">
        <v>2591704241.6199999</v>
      </c>
      <c r="L78" s="30">
        <v>2703938952.5</v>
      </c>
      <c r="M78" s="30">
        <v>2184003850.7800002</v>
      </c>
    </row>
    <row r="79" spans="1:13" x14ac:dyDescent="0.25">
      <c r="A79" s="21" t="s">
        <v>279</v>
      </c>
      <c r="B79" s="17">
        <v>5546011004.5900002</v>
      </c>
      <c r="C79" s="17">
        <v>1081750177.3399999</v>
      </c>
      <c r="D79" s="17">
        <v>1472907351.9000001</v>
      </c>
      <c r="E79" s="17">
        <v>1524666263.03</v>
      </c>
      <c r="F79" s="17">
        <v>1628025713</v>
      </c>
      <c r="G79" s="17">
        <v>1847389509.6500001</v>
      </c>
      <c r="H79" s="17">
        <v>1962770270.3699999</v>
      </c>
      <c r="I79" s="17">
        <v>1896680614.9200001</v>
      </c>
      <c r="J79" s="17">
        <v>2744774883.5500002</v>
      </c>
      <c r="K79" s="17">
        <v>2591704241.6199999</v>
      </c>
      <c r="L79" s="30">
        <v>2703938952.5</v>
      </c>
      <c r="M79" s="30">
        <v>2184003850.7800002</v>
      </c>
    </row>
    <row r="80" spans="1:13" x14ac:dyDescent="0.25">
      <c r="A80" s="16" t="s">
        <v>276</v>
      </c>
      <c r="B80" s="17">
        <v>121450899.40000001</v>
      </c>
      <c r="C80" s="17">
        <v>135272542.38999999</v>
      </c>
      <c r="D80" s="17">
        <v>85410393.170000002</v>
      </c>
      <c r="E80" s="17">
        <v>132046469.58</v>
      </c>
      <c r="F80" s="17">
        <v>91608467.370000005</v>
      </c>
      <c r="G80" s="17">
        <v>109660773.5</v>
      </c>
      <c r="H80" s="17">
        <v>123258617.45</v>
      </c>
      <c r="I80" s="17">
        <v>145317644</v>
      </c>
      <c r="J80" s="17">
        <v>62211818</v>
      </c>
      <c r="K80" s="17">
        <v>61311076</v>
      </c>
      <c r="L80" s="30">
        <v>46988692</v>
      </c>
      <c r="M80" s="30">
        <v>70263642.349999994</v>
      </c>
    </row>
    <row r="81" spans="1:13" x14ac:dyDescent="0.25">
      <c r="A81" s="21" t="s">
        <v>275</v>
      </c>
      <c r="B81" s="17">
        <v>121450899.40000001</v>
      </c>
      <c r="C81" s="17">
        <v>135272542.38999999</v>
      </c>
      <c r="D81" s="17">
        <v>85410393.170000002</v>
      </c>
      <c r="E81" s="17">
        <v>132046469.58</v>
      </c>
      <c r="F81" s="17">
        <v>91608467.370000005</v>
      </c>
      <c r="G81" s="17">
        <v>109660773.5</v>
      </c>
      <c r="H81" s="17">
        <v>123258617.45</v>
      </c>
      <c r="I81" s="17">
        <v>145317644</v>
      </c>
      <c r="J81" s="17">
        <v>62211818</v>
      </c>
      <c r="K81" s="17">
        <v>61311076</v>
      </c>
      <c r="L81" s="30">
        <v>46988692</v>
      </c>
      <c r="M81" s="30">
        <v>70263642.349999994</v>
      </c>
    </row>
    <row r="82" spans="1:13" x14ac:dyDescent="0.25">
      <c r="A82" s="16" t="s">
        <v>274</v>
      </c>
      <c r="B82" s="17">
        <v>0</v>
      </c>
      <c r="C82" s="17">
        <v>0</v>
      </c>
      <c r="D82" s="17">
        <v>18425250</v>
      </c>
      <c r="E82" s="17">
        <v>0</v>
      </c>
      <c r="F82" s="17">
        <v>0</v>
      </c>
      <c r="G82" s="17">
        <v>12716700</v>
      </c>
      <c r="H82" s="17">
        <v>0</v>
      </c>
      <c r="I82" s="17">
        <v>0</v>
      </c>
      <c r="J82" s="17">
        <v>12716700</v>
      </c>
      <c r="K82" s="17">
        <v>0</v>
      </c>
      <c r="L82" s="30">
        <v>0</v>
      </c>
      <c r="M82" s="30">
        <v>12716700</v>
      </c>
    </row>
    <row r="83" spans="1:13" x14ac:dyDescent="0.25">
      <c r="A83" s="21" t="s">
        <v>273</v>
      </c>
      <c r="B83" s="17">
        <v>0</v>
      </c>
      <c r="C83" s="17">
        <v>0</v>
      </c>
      <c r="D83" s="17">
        <v>18425250</v>
      </c>
      <c r="E83" s="17">
        <v>0</v>
      </c>
      <c r="F83" s="17">
        <v>0</v>
      </c>
      <c r="G83" s="17">
        <v>12716700</v>
      </c>
      <c r="H83" s="17">
        <v>0</v>
      </c>
      <c r="I83" s="17">
        <v>0</v>
      </c>
      <c r="J83" s="17">
        <v>12716700</v>
      </c>
      <c r="K83" s="17">
        <v>0</v>
      </c>
      <c r="L83" s="30">
        <v>0</v>
      </c>
      <c r="M83" s="30">
        <v>12716700</v>
      </c>
    </row>
    <row r="84" spans="1:13" x14ac:dyDescent="0.25">
      <c r="A84" s="16" t="s">
        <v>268</v>
      </c>
      <c r="B84" s="17">
        <v>11541367757.889999</v>
      </c>
      <c r="C84" s="17">
        <v>12177652950.27</v>
      </c>
      <c r="D84" s="17">
        <v>11048528016.190001</v>
      </c>
      <c r="E84" s="17">
        <v>10291000284.4</v>
      </c>
      <c r="F84" s="17">
        <v>11909555248.110001</v>
      </c>
      <c r="G84" s="17">
        <v>11102550801.639999</v>
      </c>
      <c r="H84" s="17">
        <v>12255835888.879999</v>
      </c>
      <c r="I84" s="17">
        <v>11274808094.440001</v>
      </c>
      <c r="J84" s="17">
        <v>11018664976.84</v>
      </c>
      <c r="K84" s="17">
        <v>13412526361.07</v>
      </c>
      <c r="L84" s="30">
        <v>13376816873.450001</v>
      </c>
      <c r="M84" s="30">
        <v>11509568658.860001</v>
      </c>
    </row>
    <row r="85" spans="1:13" x14ac:dyDescent="0.25">
      <c r="A85" s="21" t="s">
        <v>267</v>
      </c>
      <c r="B85" s="17">
        <v>11541367757.889999</v>
      </c>
      <c r="C85" s="17">
        <v>12177652950.27</v>
      </c>
      <c r="D85" s="17">
        <v>11048528016.190001</v>
      </c>
      <c r="E85" s="17">
        <v>10291000284.4</v>
      </c>
      <c r="F85" s="17">
        <v>11909555248.110001</v>
      </c>
      <c r="G85" s="17">
        <v>11102550801.639999</v>
      </c>
      <c r="H85" s="17">
        <v>12255835888.879999</v>
      </c>
      <c r="I85" s="17">
        <v>11274808094.440001</v>
      </c>
      <c r="J85" s="17">
        <v>11018664976.84</v>
      </c>
      <c r="K85" s="17">
        <v>13412526361.07</v>
      </c>
      <c r="L85" s="30">
        <v>13376816873.450001</v>
      </c>
      <c r="M85" s="30">
        <v>11509568658.860001</v>
      </c>
    </row>
    <row r="86" spans="1:13" x14ac:dyDescent="0.25">
      <c r="A86" s="16" t="s">
        <v>264</v>
      </c>
      <c r="B86" s="17">
        <v>2095596351.6400001</v>
      </c>
      <c r="C86" s="17">
        <v>1863960738.95</v>
      </c>
      <c r="D86" s="17">
        <v>2076180742.0799999</v>
      </c>
      <c r="E86" s="17">
        <v>1909440282.26</v>
      </c>
      <c r="F86" s="17">
        <v>2085819669.2</v>
      </c>
      <c r="G86" s="17">
        <v>1877773037.8499999</v>
      </c>
      <c r="H86" s="17">
        <v>1970123640.4400001</v>
      </c>
      <c r="I86" s="17">
        <v>1737621082.1400001</v>
      </c>
      <c r="J86" s="17">
        <v>1804262017.1400001</v>
      </c>
      <c r="K86" s="17">
        <v>2126866154.48</v>
      </c>
      <c r="L86" s="30">
        <v>2026160259.23</v>
      </c>
      <c r="M86" s="30">
        <v>1731334487.2</v>
      </c>
    </row>
    <row r="87" spans="1:13" x14ac:dyDescent="0.25">
      <c r="A87" s="21" t="s">
        <v>263</v>
      </c>
      <c r="B87" s="17">
        <v>2095596351.6400001</v>
      </c>
      <c r="C87" s="17">
        <v>1863960738.95</v>
      </c>
      <c r="D87" s="17">
        <v>2076180742.0799999</v>
      </c>
      <c r="E87" s="17">
        <v>1909440282.26</v>
      </c>
      <c r="F87" s="17">
        <v>2085819669.2</v>
      </c>
      <c r="G87" s="17">
        <v>1877773037.8499999</v>
      </c>
      <c r="H87" s="17">
        <v>1970123640.4400001</v>
      </c>
      <c r="I87" s="17">
        <v>1737621082.1400001</v>
      </c>
      <c r="J87" s="17">
        <v>1804262017.1400001</v>
      </c>
      <c r="K87" s="17">
        <v>2126866154.48</v>
      </c>
      <c r="L87" s="30">
        <v>2026160259.23</v>
      </c>
      <c r="M87" s="30">
        <v>1731334487.2</v>
      </c>
    </row>
    <row r="88" spans="1:13" x14ac:dyDescent="0.25">
      <c r="A88" s="16" t="s">
        <v>260</v>
      </c>
      <c r="B88" s="17">
        <v>296139701.39999998</v>
      </c>
      <c r="C88" s="17">
        <v>212413168.46000001</v>
      </c>
      <c r="D88" s="17">
        <v>210699459.66</v>
      </c>
      <c r="E88" s="17">
        <v>250333959.58000001</v>
      </c>
      <c r="F88" s="17">
        <v>302535013.92000002</v>
      </c>
      <c r="G88" s="17">
        <v>391351762.92000002</v>
      </c>
      <c r="H88" s="17">
        <v>365947310.38</v>
      </c>
      <c r="I88" s="17">
        <v>243402277.05000001</v>
      </c>
      <c r="J88" s="17">
        <v>329271447.45999998</v>
      </c>
      <c r="K88" s="17">
        <v>363170426.41000003</v>
      </c>
      <c r="L88" s="30">
        <v>291902843.5</v>
      </c>
      <c r="M88" s="30">
        <v>244721549.50999999</v>
      </c>
    </row>
    <row r="89" spans="1:13" x14ac:dyDescent="0.25">
      <c r="A89" s="21" t="s">
        <v>259</v>
      </c>
      <c r="B89" s="17">
        <v>296139701.39999998</v>
      </c>
      <c r="C89" s="17">
        <v>212413168.46000001</v>
      </c>
      <c r="D89" s="17">
        <v>210699459.66</v>
      </c>
      <c r="E89" s="17">
        <v>250333959.58000001</v>
      </c>
      <c r="F89" s="17">
        <v>302535013.92000002</v>
      </c>
      <c r="G89" s="17">
        <v>391351762.92000002</v>
      </c>
      <c r="H89" s="17">
        <v>365947310.38</v>
      </c>
      <c r="I89" s="17">
        <v>243402277.05000001</v>
      </c>
      <c r="J89" s="17">
        <v>329271447.45999998</v>
      </c>
      <c r="K89" s="17">
        <v>363170426.41000003</v>
      </c>
      <c r="L89" s="30">
        <v>291902843.5</v>
      </c>
      <c r="M89" s="30">
        <v>244721549.50999999</v>
      </c>
    </row>
    <row r="90" spans="1:13" x14ac:dyDescent="0.25">
      <c r="A90" s="16" t="s">
        <v>258</v>
      </c>
      <c r="B90" s="17">
        <v>15163450.5</v>
      </c>
      <c r="C90" s="17">
        <v>10773345</v>
      </c>
      <c r="D90" s="17">
        <v>10959307.5</v>
      </c>
      <c r="E90" s="17">
        <v>12950775</v>
      </c>
      <c r="F90" s="17">
        <v>15659259</v>
      </c>
      <c r="G90" s="17">
        <v>20344021.5</v>
      </c>
      <c r="H90" s="17">
        <v>19324875</v>
      </c>
      <c r="I90" s="17">
        <v>13168549.5</v>
      </c>
      <c r="J90" s="17">
        <v>17686642.5</v>
      </c>
      <c r="K90" s="17">
        <v>19448389.5</v>
      </c>
      <c r="L90" s="30">
        <v>15517690.5</v>
      </c>
      <c r="M90" s="30">
        <v>13162116</v>
      </c>
    </row>
    <row r="91" spans="1:13" x14ac:dyDescent="0.25">
      <c r="A91" s="21" t="s">
        <v>257</v>
      </c>
      <c r="B91" s="17">
        <v>15163450.5</v>
      </c>
      <c r="C91" s="17">
        <v>10773345</v>
      </c>
      <c r="D91" s="17">
        <v>10959307.5</v>
      </c>
      <c r="E91" s="17">
        <v>12950775</v>
      </c>
      <c r="F91" s="17">
        <v>15659259</v>
      </c>
      <c r="G91" s="17">
        <v>20344021.5</v>
      </c>
      <c r="H91" s="17">
        <v>19324875</v>
      </c>
      <c r="I91" s="17">
        <v>13168549.5</v>
      </c>
      <c r="J91" s="17">
        <v>17686642.5</v>
      </c>
      <c r="K91" s="17">
        <v>19448389.5</v>
      </c>
      <c r="L91" s="30">
        <v>15517690.5</v>
      </c>
      <c r="M91" s="30">
        <v>13162116</v>
      </c>
    </row>
    <row r="92" spans="1:13" x14ac:dyDescent="0.25">
      <c r="A92" s="16" t="s">
        <v>256</v>
      </c>
      <c r="B92" s="17">
        <v>150111167.25</v>
      </c>
      <c r="C92" s="17">
        <v>143778263</v>
      </c>
      <c r="D92" s="17">
        <v>153859056.25</v>
      </c>
      <c r="E92" s="17">
        <v>138872752.75</v>
      </c>
      <c r="F92" s="17">
        <v>152260430.25</v>
      </c>
      <c r="G92" s="17">
        <v>141749993.5</v>
      </c>
      <c r="H92" s="17">
        <v>153109075.5</v>
      </c>
      <c r="I92" s="17">
        <v>142149041</v>
      </c>
      <c r="J92" s="17">
        <v>130673319.25</v>
      </c>
      <c r="K92" s="17">
        <v>152728303.25</v>
      </c>
      <c r="L92" s="30">
        <v>146742315.25</v>
      </c>
      <c r="M92" s="30">
        <v>119804912</v>
      </c>
    </row>
    <row r="93" spans="1:13" x14ac:dyDescent="0.25">
      <c r="A93" s="21" t="s">
        <v>255</v>
      </c>
      <c r="B93" s="17">
        <v>150111167.25</v>
      </c>
      <c r="C93" s="17">
        <v>143778263</v>
      </c>
      <c r="D93" s="17">
        <v>153859056.25</v>
      </c>
      <c r="E93" s="17">
        <v>138872752.75</v>
      </c>
      <c r="F93" s="17">
        <v>152260430.25</v>
      </c>
      <c r="G93" s="17">
        <v>141749993.5</v>
      </c>
      <c r="H93" s="17">
        <v>153109075.5</v>
      </c>
      <c r="I93" s="17">
        <v>142149041</v>
      </c>
      <c r="J93" s="17">
        <v>130673319.25</v>
      </c>
      <c r="K93" s="17">
        <v>152728303.25</v>
      </c>
      <c r="L93" s="30">
        <v>146742315.25</v>
      </c>
      <c r="M93" s="30">
        <v>119804912</v>
      </c>
    </row>
    <row r="94" spans="1:13" x14ac:dyDescent="0.25">
      <c r="A94" s="16" t="s">
        <v>253</v>
      </c>
      <c r="B94" s="17">
        <v>6235877903.7799997</v>
      </c>
      <c r="C94" s="17">
        <v>4795496047.1700001</v>
      </c>
      <c r="D94" s="17">
        <v>5145986122.7700005</v>
      </c>
      <c r="E94" s="17">
        <v>5304902289.71</v>
      </c>
      <c r="F94" s="17">
        <v>3700238168.98</v>
      </c>
      <c r="G94" s="17">
        <v>3487097550.79</v>
      </c>
      <c r="H94" s="17">
        <v>4579648295.6000004</v>
      </c>
      <c r="I94" s="17">
        <v>3849328380.0799999</v>
      </c>
      <c r="J94" s="17">
        <v>2970411674.4000001</v>
      </c>
      <c r="K94" s="17">
        <v>3252157880.2600002</v>
      </c>
      <c r="L94" s="30">
        <v>3379309919.5599999</v>
      </c>
      <c r="M94" s="30">
        <v>4307892098.9499998</v>
      </c>
    </row>
    <row r="95" spans="1:13" x14ac:dyDescent="0.25">
      <c r="A95" s="21" t="s">
        <v>252</v>
      </c>
      <c r="B95" s="17">
        <v>6235877903.7799997</v>
      </c>
      <c r="C95" s="17">
        <v>4795496047.1700001</v>
      </c>
      <c r="D95" s="17">
        <v>5145986122.7700005</v>
      </c>
      <c r="E95" s="17">
        <v>5304902289.71</v>
      </c>
      <c r="F95" s="17">
        <v>3700238168.98</v>
      </c>
      <c r="G95" s="17">
        <v>3487097550.79</v>
      </c>
      <c r="H95" s="17">
        <v>4579648295.6000004</v>
      </c>
      <c r="I95" s="17">
        <v>3849328380.0799999</v>
      </c>
      <c r="J95" s="17">
        <v>2970411674.4000001</v>
      </c>
      <c r="K95" s="17">
        <v>3252157880.2600002</v>
      </c>
      <c r="L95" s="30">
        <v>3379309919.5599999</v>
      </c>
      <c r="M95" s="30">
        <v>4307892098.9499998</v>
      </c>
    </row>
    <row r="96" spans="1:13" x14ac:dyDescent="0.25">
      <c r="A96" s="16" t="s">
        <v>251</v>
      </c>
      <c r="B96" s="17">
        <v>325334224.35000002</v>
      </c>
      <c r="C96" s="17">
        <v>160042358.05000001</v>
      </c>
      <c r="D96" s="17">
        <v>158326912.09999999</v>
      </c>
      <c r="E96" s="17">
        <v>250809081.15000001</v>
      </c>
      <c r="F96" s="17">
        <v>147351566.09999999</v>
      </c>
      <c r="G96" s="17">
        <v>125366141.7</v>
      </c>
      <c r="H96" s="17">
        <v>198618389.69999999</v>
      </c>
      <c r="I96" s="17">
        <v>144352831.90000001</v>
      </c>
      <c r="J96" s="17">
        <v>139502012.05000001</v>
      </c>
      <c r="K96" s="17">
        <v>149445911.15000001</v>
      </c>
      <c r="L96" s="30">
        <v>151130392.24000001</v>
      </c>
      <c r="M96" s="30">
        <v>356379042.35000002</v>
      </c>
    </row>
    <row r="97" spans="1:13" x14ac:dyDescent="0.25">
      <c r="A97" s="21" t="s">
        <v>250</v>
      </c>
      <c r="B97" s="17">
        <v>325334224.35000002</v>
      </c>
      <c r="C97" s="17">
        <v>160042358.05000001</v>
      </c>
      <c r="D97" s="17">
        <v>158326912.09999999</v>
      </c>
      <c r="E97" s="17">
        <v>250809081.15000001</v>
      </c>
      <c r="F97" s="17">
        <v>147351566.09999999</v>
      </c>
      <c r="G97" s="17">
        <v>125366141.7</v>
      </c>
      <c r="H97" s="17">
        <v>198618389.69999999</v>
      </c>
      <c r="I97" s="17">
        <v>144352831.90000001</v>
      </c>
      <c r="J97" s="17">
        <v>139502012.05000001</v>
      </c>
      <c r="K97" s="17">
        <v>149445911.15000001</v>
      </c>
      <c r="L97" s="30">
        <v>151130392.24000001</v>
      </c>
      <c r="M97" s="30">
        <v>356379042.35000002</v>
      </c>
    </row>
    <row r="98" spans="1:13" x14ac:dyDescent="0.25">
      <c r="A98" s="16" t="s">
        <v>249</v>
      </c>
      <c r="B98" s="17">
        <v>64258236.399999999</v>
      </c>
      <c r="C98" s="17">
        <v>361786376.97000003</v>
      </c>
      <c r="D98" s="17">
        <v>971740245.65999997</v>
      </c>
      <c r="E98" s="17">
        <v>316739398.82999998</v>
      </c>
      <c r="F98" s="17">
        <v>279790375.63999999</v>
      </c>
      <c r="G98" s="17">
        <v>282941459.58999997</v>
      </c>
      <c r="H98" s="17">
        <v>264128646.87</v>
      </c>
      <c r="I98" s="17">
        <v>252536347.90000001</v>
      </c>
      <c r="J98" s="17">
        <v>277813219.00999999</v>
      </c>
      <c r="K98" s="17">
        <v>236622629.21000001</v>
      </c>
      <c r="L98" s="30">
        <v>230810145.44999999</v>
      </c>
      <c r="M98" s="30">
        <v>239986329.24000001</v>
      </c>
    </row>
    <row r="99" spans="1:13" x14ac:dyDescent="0.25">
      <c r="A99" s="21" t="s">
        <v>248</v>
      </c>
      <c r="B99" s="17">
        <v>64258236.399999999</v>
      </c>
      <c r="C99" s="17">
        <v>361786376.97000003</v>
      </c>
      <c r="D99" s="17">
        <v>971740245.65999997</v>
      </c>
      <c r="E99" s="17">
        <v>316739398.82999998</v>
      </c>
      <c r="F99" s="17">
        <v>279790375.63999999</v>
      </c>
      <c r="G99" s="17">
        <v>282941459.58999997</v>
      </c>
      <c r="H99" s="17">
        <v>264128646.87</v>
      </c>
      <c r="I99" s="17">
        <v>252536347.90000001</v>
      </c>
      <c r="J99" s="17">
        <v>277813219.00999999</v>
      </c>
      <c r="K99" s="17">
        <v>236622629.21000001</v>
      </c>
      <c r="L99" s="30">
        <v>230810145.44999999</v>
      </c>
      <c r="M99" s="30">
        <v>239986329.24000001</v>
      </c>
    </row>
    <row r="100" spans="1:13" x14ac:dyDescent="0.25">
      <c r="A100" s="16" t="s">
        <v>246</v>
      </c>
      <c r="B100" s="17">
        <v>67945143.950000003</v>
      </c>
      <c r="C100" s="17">
        <v>99384285.480000004</v>
      </c>
      <c r="D100" s="17">
        <v>90044546.969999999</v>
      </c>
      <c r="E100" s="17">
        <v>96601575.239999995</v>
      </c>
      <c r="F100" s="17">
        <v>80135318.079999998</v>
      </c>
      <c r="G100" s="17">
        <v>96039965.159999996</v>
      </c>
      <c r="H100" s="17">
        <v>80598478.5</v>
      </c>
      <c r="I100" s="17">
        <v>98455529.390000001</v>
      </c>
      <c r="J100" s="17">
        <v>88051502.840000004</v>
      </c>
      <c r="K100" s="17">
        <v>102759846.45</v>
      </c>
      <c r="L100" s="30">
        <v>112100439.13</v>
      </c>
      <c r="M100" s="30">
        <v>97644051.480000004</v>
      </c>
    </row>
    <row r="101" spans="1:13" x14ac:dyDescent="0.25">
      <c r="A101" s="21" t="s">
        <v>245</v>
      </c>
      <c r="B101" s="17">
        <v>67945143.950000003</v>
      </c>
      <c r="C101" s="17">
        <v>99384285.480000004</v>
      </c>
      <c r="D101" s="17">
        <v>90044546.969999999</v>
      </c>
      <c r="E101" s="17">
        <v>96601575.239999995</v>
      </c>
      <c r="F101" s="17">
        <v>80135318.079999998</v>
      </c>
      <c r="G101" s="17">
        <v>96039965.159999996</v>
      </c>
      <c r="H101" s="17">
        <v>80598478.5</v>
      </c>
      <c r="I101" s="17">
        <v>98455529.390000001</v>
      </c>
      <c r="J101" s="17">
        <v>88051502.840000004</v>
      </c>
      <c r="K101" s="17">
        <v>102759846.45</v>
      </c>
      <c r="L101" s="30">
        <v>112100439.13</v>
      </c>
      <c r="M101" s="30">
        <v>97644051.480000004</v>
      </c>
    </row>
    <row r="102" spans="1:13" x14ac:dyDescent="0.25">
      <c r="A102" s="16" t="s">
        <v>244</v>
      </c>
      <c r="B102" s="17">
        <v>445928673.39999998</v>
      </c>
      <c r="C102" s="17">
        <v>632520894.92999995</v>
      </c>
      <c r="D102" s="17">
        <v>565842108.75</v>
      </c>
      <c r="E102" s="17">
        <v>592549572.51999998</v>
      </c>
      <c r="F102" s="17">
        <v>480690169.55000001</v>
      </c>
      <c r="G102" s="17">
        <v>528105130.24000001</v>
      </c>
      <c r="H102" s="17">
        <v>482447583.86000001</v>
      </c>
      <c r="I102" s="17">
        <v>546226156.20000005</v>
      </c>
      <c r="J102" s="17">
        <v>499043065.08999997</v>
      </c>
      <c r="K102" s="17">
        <v>527691984.14999998</v>
      </c>
      <c r="L102" s="30">
        <v>610814362.41999996</v>
      </c>
      <c r="M102" s="30">
        <v>600244266.25</v>
      </c>
    </row>
    <row r="103" spans="1:13" x14ac:dyDescent="0.25">
      <c r="A103" s="21" t="s">
        <v>243</v>
      </c>
      <c r="B103" s="17">
        <v>445928673.39999998</v>
      </c>
      <c r="C103" s="17">
        <v>632520894.92999995</v>
      </c>
      <c r="D103" s="17">
        <v>565842108.75</v>
      </c>
      <c r="E103" s="17">
        <v>592549572.51999998</v>
      </c>
      <c r="F103" s="17">
        <v>480690169.55000001</v>
      </c>
      <c r="G103" s="17">
        <v>528105130.24000001</v>
      </c>
      <c r="H103" s="17">
        <v>482447583.86000001</v>
      </c>
      <c r="I103" s="17">
        <v>546226156.20000005</v>
      </c>
      <c r="J103" s="17">
        <v>499043065.08999997</v>
      </c>
      <c r="K103" s="17">
        <v>527691984.14999998</v>
      </c>
      <c r="L103" s="30">
        <v>610814362.41999996</v>
      </c>
      <c r="M103" s="30">
        <v>600244266.25</v>
      </c>
    </row>
    <row r="104" spans="1:13" x14ac:dyDescent="0.25">
      <c r="A104" s="16" t="s">
        <v>242</v>
      </c>
      <c r="B104" s="17">
        <v>491987369.82999998</v>
      </c>
      <c r="C104" s="17">
        <v>1202196971.4400001</v>
      </c>
      <c r="D104" s="17">
        <v>912706412.55999994</v>
      </c>
      <c r="E104" s="17">
        <v>943580850.10000002</v>
      </c>
      <c r="F104" s="17">
        <v>767054257.58000004</v>
      </c>
      <c r="G104" s="17">
        <v>847249341.63999999</v>
      </c>
      <c r="H104" s="17">
        <v>776915132.19000006</v>
      </c>
      <c r="I104" s="17">
        <v>883766211.79999995</v>
      </c>
      <c r="J104" s="17">
        <v>808059897.75999999</v>
      </c>
      <c r="K104" s="17">
        <v>834270505.29999995</v>
      </c>
      <c r="L104" s="30">
        <v>933247958.36000001</v>
      </c>
      <c r="M104" s="30">
        <v>973029694.97000003</v>
      </c>
    </row>
    <row r="105" spans="1:13" x14ac:dyDescent="0.25">
      <c r="A105" s="21" t="s">
        <v>241</v>
      </c>
      <c r="B105" s="17">
        <v>491987369.82999998</v>
      </c>
      <c r="C105" s="17">
        <v>1202196971.4400001</v>
      </c>
      <c r="D105" s="17">
        <v>912706412.55999994</v>
      </c>
      <c r="E105" s="17">
        <v>943580850.10000002</v>
      </c>
      <c r="F105" s="17">
        <v>767054257.58000004</v>
      </c>
      <c r="G105" s="17">
        <v>847249341.63999999</v>
      </c>
      <c r="H105" s="17">
        <v>776915132.19000006</v>
      </c>
      <c r="I105" s="17">
        <v>883766211.79999995</v>
      </c>
      <c r="J105" s="17">
        <v>808059897.75999999</v>
      </c>
      <c r="K105" s="17">
        <v>834270505.29999995</v>
      </c>
      <c r="L105" s="30">
        <v>933247958.36000001</v>
      </c>
      <c r="M105" s="30">
        <v>973029694.97000003</v>
      </c>
    </row>
    <row r="106" spans="1:13" x14ac:dyDescent="0.25">
      <c r="A106" s="16" t="s">
        <v>240</v>
      </c>
      <c r="B106" s="17">
        <v>123035612.44</v>
      </c>
      <c r="C106" s="17">
        <v>103741023.63</v>
      </c>
      <c r="D106" s="17">
        <v>99468297.390000001</v>
      </c>
      <c r="E106" s="17">
        <v>79152489.540000007</v>
      </c>
      <c r="F106" s="17">
        <v>87460860.549999997</v>
      </c>
      <c r="G106" s="17">
        <v>112000989.05</v>
      </c>
      <c r="H106" s="17">
        <v>121052962.39</v>
      </c>
      <c r="I106" s="17">
        <v>116187525.06</v>
      </c>
      <c r="J106" s="17">
        <v>99860076.049999997</v>
      </c>
      <c r="K106" s="17">
        <v>91935151.829999998</v>
      </c>
      <c r="L106" s="30">
        <v>97672818.920000002</v>
      </c>
      <c r="M106" s="30">
        <v>106003446.48999999</v>
      </c>
    </row>
    <row r="107" spans="1:13" x14ac:dyDescent="0.25">
      <c r="A107" s="21" t="s">
        <v>239</v>
      </c>
      <c r="B107" s="17">
        <v>123035612.44</v>
      </c>
      <c r="C107" s="17">
        <v>103741023.63</v>
      </c>
      <c r="D107" s="17">
        <v>99468297.390000001</v>
      </c>
      <c r="E107" s="17">
        <v>79152489.540000007</v>
      </c>
      <c r="F107" s="17">
        <v>87460860.549999997</v>
      </c>
      <c r="G107" s="17">
        <v>112000989.05</v>
      </c>
      <c r="H107" s="17">
        <v>121052962.39</v>
      </c>
      <c r="I107" s="17">
        <v>116187525.06</v>
      </c>
      <c r="J107" s="17">
        <v>99860076.049999997</v>
      </c>
      <c r="K107" s="17">
        <v>91935151.829999998</v>
      </c>
      <c r="L107" s="30">
        <v>97672818.920000002</v>
      </c>
      <c r="M107" s="30">
        <v>106003446.48999999</v>
      </c>
    </row>
    <row r="108" spans="1:13" x14ac:dyDescent="0.25">
      <c r="A108" s="16" t="s">
        <v>236</v>
      </c>
      <c r="B108" s="17">
        <v>304922159.13999999</v>
      </c>
      <c r="C108" s="17">
        <v>301319638.54000002</v>
      </c>
      <c r="D108" s="17">
        <v>314400264.75999999</v>
      </c>
      <c r="E108" s="17">
        <v>371058454.52999997</v>
      </c>
      <c r="F108" s="17">
        <v>603535727.66999996</v>
      </c>
      <c r="G108" s="17">
        <v>577178196.02999997</v>
      </c>
      <c r="H108" s="17">
        <v>465243900.36000001</v>
      </c>
      <c r="I108" s="17">
        <v>370289996.06999999</v>
      </c>
      <c r="J108" s="17">
        <v>491233316.60000002</v>
      </c>
      <c r="K108" s="17">
        <v>642454390.27999997</v>
      </c>
      <c r="L108" s="30">
        <v>828098610.29999995</v>
      </c>
      <c r="M108" s="30">
        <v>734683170.63</v>
      </c>
    </row>
    <row r="109" spans="1:13" x14ac:dyDescent="0.25">
      <c r="A109" s="21" t="s">
        <v>235</v>
      </c>
      <c r="B109" s="17">
        <v>304922159.13999999</v>
      </c>
      <c r="C109" s="17">
        <v>301319638.54000002</v>
      </c>
      <c r="D109" s="17">
        <v>314400264.75999999</v>
      </c>
      <c r="E109" s="17">
        <v>371058454.52999997</v>
      </c>
      <c r="F109" s="17">
        <v>603535727.66999996</v>
      </c>
      <c r="G109" s="17">
        <v>577178196.02999997</v>
      </c>
      <c r="H109" s="17">
        <v>465243900.36000001</v>
      </c>
      <c r="I109" s="17">
        <v>370289996.06999999</v>
      </c>
      <c r="J109" s="17">
        <v>491233316.60000002</v>
      </c>
      <c r="K109" s="17">
        <v>642454390.27999997</v>
      </c>
      <c r="L109" s="30">
        <v>828098610.29999995</v>
      </c>
      <c r="M109" s="30">
        <v>734683170.63</v>
      </c>
    </row>
    <row r="110" spans="1:13" x14ac:dyDescent="0.25">
      <c r="A110" s="16" t="s">
        <v>234</v>
      </c>
      <c r="B110" s="17">
        <v>31147.75</v>
      </c>
      <c r="C110" s="17">
        <v>53560.3</v>
      </c>
      <c r="D110" s="17">
        <v>37499</v>
      </c>
      <c r="E110" s="17">
        <v>62248.25</v>
      </c>
      <c r="F110" s="17">
        <v>139851.53</v>
      </c>
      <c r="G110" s="17">
        <v>791686.84</v>
      </c>
      <c r="H110" s="17">
        <v>676904.77</v>
      </c>
      <c r="I110" s="17">
        <v>1127164.93</v>
      </c>
      <c r="J110" s="17">
        <v>2741557.87</v>
      </c>
      <c r="K110" s="17">
        <v>5193535.1500000004</v>
      </c>
      <c r="L110" s="30">
        <v>6141135.2300000004</v>
      </c>
      <c r="M110" s="30">
        <v>2074994.56</v>
      </c>
    </row>
    <row r="111" spans="1:13" x14ac:dyDescent="0.25">
      <c r="A111" s="21" t="s">
        <v>233</v>
      </c>
      <c r="B111" s="17">
        <v>31147.75</v>
      </c>
      <c r="C111" s="17">
        <v>53560.3</v>
      </c>
      <c r="D111" s="17">
        <v>37499</v>
      </c>
      <c r="E111" s="17">
        <v>62248.25</v>
      </c>
      <c r="F111" s="17">
        <v>139851.53</v>
      </c>
      <c r="G111" s="17">
        <v>791686.84</v>
      </c>
      <c r="H111" s="17">
        <v>676904.77</v>
      </c>
      <c r="I111" s="17">
        <v>1127164.93</v>
      </c>
      <c r="J111" s="17">
        <v>2741557.87</v>
      </c>
      <c r="K111" s="17">
        <v>5193535.1500000004</v>
      </c>
      <c r="L111" s="30">
        <v>6141135.2300000004</v>
      </c>
      <c r="M111" s="30">
        <v>2074994.56</v>
      </c>
    </row>
    <row r="112" spans="1:13" x14ac:dyDescent="0.25">
      <c r="A112" s="16" t="s">
        <v>230</v>
      </c>
      <c r="B112" s="17">
        <v>2300867230.6500001</v>
      </c>
      <c r="C112" s="17">
        <v>965535198.22000003</v>
      </c>
      <c r="D112" s="17">
        <v>1447062214.8199999</v>
      </c>
      <c r="E112" s="17">
        <v>981102429.85000002</v>
      </c>
      <c r="F112" s="17">
        <v>1674458423.29</v>
      </c>
      <c r="G112" s="17">
        <v>1579957343.3299999</v>
      </c>
      <c r="H112" s="17">
        <v>1576548707.5599999</v>
      </c>
      <c r="I112" s="17">
        <v>1008482404.23</v>
      </c>
      <c r="J112" s="17">
        <v>1298600641.79</v>
      </c>
      <c r="K112" s="17">
        <v>1783142586.0799999</v>
      </c>
      <c r="L112" s="30">
        <v>1356128335.26</v>
      </c>
      <c r="M112" s="30">
        <v>1636239477.1300001</v>
      </c>
    </row>
    <row r="113" spans="1:13" x14ac:dyDescent="0.25">
      <c r="A113" s="21" t="s">
        <v>229</v>
      </c>
      <c r="B113" s="17">
        <v>2300867230.6500001</v>
      </c>
      <c r="C113" s="17">
        <v>965535198.22000003</v>
      </c>
      <c r="D113" s="17">
        <v>1447062214.8199999</v>
      </c>
      <c r="E113" s="17">
        <v>981102429.85000002</v>
      </c>
      <c r="F113" s="17">
        <v>1674458423.29</v>
      </c>
      <c r="G113" s="17">
        <v>1579957343.3299999</v>
      </c>
      <c r="H113" s="17">
        <v>1576548707.5599999</v>
      </c>
      <c r="I113" s="17">
        <v>1008482404.23</v>
      </c>
      <c r="J113" s="17">
        <v>1298600641.79</v>
      </c>
      <c r="K113" s="17">
        <v>1783142586.0799999</v>
      </c>
      <c r="L113" s="30">
        <v>1356128335.26</v>
      </c>
      <c r="M113" s="30">
        <v>1636239477.1300001</v>
      </c>
    </row>
    <row r="114" spans="1:13" x14ac:dyDescent="0.25">
      <c r="A114" s="16" t="s">
        <v>377</v>
      </c>
      <c r="B114" s="17">
        <v>545655197.86000001</v>
      </c>
      <c r="C114" s="17">
        <v>465091493.04000002</v>
      </c>
      <c r="D114" s="17">
        <v>506598085.87</v>
      </c>
      <c r="E114" s="17">
        <v>644486743.52999997</v>
      </c>
      <c r="F114" s="17">
        <v>480688194.22000003</v>
      </c>
      <c r="G114" s="17">
        <v>382801782.07999998</v>
      </c>
      <c r="H114" s="17">
        <v>744308416.07000005</v>
      </c>
      <c r="I114" s="17">
        <v>824768940.96000004</v>
      </c>
      <c r="J114" s="17">
        <v>764765782.70000005</v>
      </c>
      <c r="K114" s="17">
        <v>902617485.46000004</v>
      </c>
      <c r="L114" s="30">
        <v>618212026.91999996</v>
      </c>
      <c r="M114" s="30">
        <v>1043619084.9</v>
      </c>
    </row>
    <row r="115" spans="1:13" x14ac:dyDescent="0.25">
      <c r="A115" s="21" t="s">
        <v>410</v>
      </c>
      <c r="B115" s="17">
        <v>545655197.86000001</v>
      </c>
      <c r="C115" s="17">
        <v>465091493.04000002</v>
      </c>
      <c r="D115" s="17">
        <v>506598085.87</v>
      </c>
      <c r="E115" s="17">
        <v>644486743.52999997</v>
      </c>
      <c r="F115" s="17">
        <v>480688194.22000003</v>
      </c>
      <c r="G115" s="17">
        <v>382801782.07999998</v>
      </c>
      <c r="H115" s="17">
        <v>744308416.07000005</v>
      </c>
      <c r="I115" s="17">
        <v>824768940.96000004</v>
      </c>
      <c r="J115" s="17">
        <v>764765782.70000005</v>
      </c>
      <c r="K115" s="17">
        <v>902617485.46000004</v>
      </c>
      <c r="L115" s="30">
        <v>618212026.91999996</v>
      </c>
      <c r="M115" s="30">
        <v>1043619084.9</v>
      </c>
    </row>
    <row r="116" spans="1:13" x14ac:dyDescent="0.25">
      <c r="A116" s="16" t="s">
        <v>228</v>
      </c>
      <c r="B116" s="17">
        <v>2612639644.27</v>
      </c>
      <c r="C116" s="17">
        <v>2634717473.5700002</v>
      </c>
      <c r="D116" s="17">
        <v>2722259530.3699999</v>
      </c>
      <c r="E116" s="17">
        <v>2821801984.77</v>
      </c>
      <c r="F116" s="17">
        <v>2717551001.4299998</v>
      </c>
      <c r="G116" s="17">
        <v>2714493383.9699998</v>
      </c>
      <c r="H116" s="17">
        <v>2733097356.0999999</v>
      </c>
      <c r="I116" s="17">
        <v>2760062796.3499999</v>
      </c>
      <c r="J116" s="17">
        <v>2770289930.3600001</v>
      </c>
      <c r="K116" s="17">
        <v>2834459095.2399998</v>
      </c>
      <c r="L116" s="30">
        <v>2787818936.6700001</v>
      </c>
      <c r="M116" s="30">
        <v>2812863517.4899998</v>
      </c>
    </row>
    <row r="117" spans="1:13" x14ac:dyDescent="0.25">
      <c r="A117" s="21" t="s">
        <v>227</v>
      </c>
      <c r="B117" s="17">
        <v>2612639644.27</v>
      </c>
      <c r="C117" s="17">
        <v>2634717473.5700002</v>
      </c>
      <c r="D117" s="17">
        <v>2722259530.3699999</v>
      </c>
      <c r="E117" s="17">
        <v>2821801984.77</v>
      </c>
      <c r="F117" s="17">
        <v>2717551001.4299998</v>
      </c>
      <c r="G117" s="17">
        <v>2714493383.9699998</v>
      </c>
      <c r="H117" s="17">
        <v>2733097356.0999999</v>
      </c>
      <c r="I117" s="17">
        <v>2760062796.3499999</v>
      </c>
      <c r="J117" s="17">
        <v>2770289930.3600001</v>
      </c>
      <c r="K117" s="17">
        <v>2834459095.2399998</v>
      </c>
      <c r="L117" s="30">
        <v>2787818936.6700001</v>
      </c>
      <c r="M117" s="30">
        <v>2812863517.4899998</v>
      </c>
    </row>
    <row r="118" spans="1:13" x14ac:dyDescent="0.25">
      <c r="A118" s="16" t="s">
        <v>226</v>
      </c>
      <c r="B118" s="17">
        <v>1452446455.29</v>
      </c>
      <c r="C118" s="17">
        <v>1413380876.0599999</v>
      </c>
      <c r="D118" s="17">
        <v>1322012953.1099999</v>
      </c>
      <c r="E118" s="17">
        <v>1390150050.24</v>
      </c>
      <c r="F118" s="17">
        <v>1295083354.99</v>
      </c>
      <c r="G118" s="17">
        <v>1278131494.1099999</v>
      </c>
      <c r="H118" s="17">
        <v>1326976585.53</v>
      </c>
      <c r="I118" s="17">
        <v>1400952837.8199999</v>
      </c>
      <c r="J118" s="17">
        <v>1426866912.99</v>
      </c>
      <c r="K118" s="17">
        <v>1298539820.8499999</v>
      </c>
      <c r="L118" s="30">
        <v>1284888914.45</v>
      </c>
      <c r="M118" s="30">
        <v>1281571238.5899999</v>
      </c>
    </row>
    <row r="119" spans="1:13" x14ac:dyDescent="0.25">
      <c r="A119" s="21" t="s">
        <v>225</v>
      </c>
      <c r="B119" s="17">
        <v>1452446455.29</v>
      </c>
      <c r="C119" s="17">
        <v>1413380876.0599999</v>
      </c>
      <c r="D119" s="17">
        <v>1322012953.1099999</v>
      </c>
      <c r="E119" s="17">
        <v>1390150050.24</v>
      </c>
      <c r="F119" s="17">
        <v>1295083354.99</v>
      </c>
      <c r="G119" s="17">
        <v>1278131494.1099999</v>
      </c>
      <c r="H119" s="17">
        <v>1326976585.53</v>
      </c>
      <c r="I119" s="17">
        <v>1400952837.8199999</v>
      </c>
      <c r="J119" s="17">
        <v>1426866912.99</v>
      </c>
      <c r="K119" s="17">
        <v>1298539820.8499999</v>
      </c>
      <c r="L119" s="30">
        <v>1284888914.45</v>
      </c>
      <c r="M119" s="30">
        <v>1281571238.5899999</v>
      </c>
    </row>
    <row r="120" spans="1:13" x14ac:dyDescent="0.25">
      <c r="A120" s="16" t="s">
        <v>224</v>
      </c>
      <c r="B120" s="17">
        <v>272962163.10000002</v>
      </c>
      <c r="C120" s="17">
        <v>270937823.69999999</v>
      </c>
      <c r="D120" s="17">
        <v>270624034.79000002</v>
      </c>
      <c r="E120" s="17">
        <v>261749729.16</v>
      </c>
      <c r="F120" s="17">
        <v>264456104.30000001</v>
      </c>
      <c r="G120" s="17">
        <v>259507789.47999999</v>
      </c>
      <c r="H120" s="17">
        <v>212449637.19999999</v>
      </c>
      <c r="I120" s="17">
        <v>210693748.37</v>
      </c>
      <c r="J120" s="17">
        <v>207650052.06999999</v>
      </c>
      <c r="K120" s="17">
        <v>209814652.21000001</v>
      </c>
      <c r="L120" s="30">
        <v>204074762.19999999</v>
      </c>
      <c r="M120" s="30">
        <v>202651910.16999999</v>
      </c>
    </row>
    <row r="121" spans="1:13" x14ac:dyDescent="0.25">
      <c r="A121" s="21" t="s">
        <v>223</v>
      </c>
      <c r="B121" s="17">
        <v>272962163.10000002</v>
      </c>
      <c r="C121" s="17">
        <v>270937823.69999999</v>
      </c>
      <c r="D121" s="17">
        <v>270624034.79000002</v>
      </c>
      <c r="E121" s="17">
        <v>261749729.16</v>
      </c>
      <c r="F121" s="17">
        <v>264456104.30000001</v>
      </c>
      <c r="G121" s="17">
        <v>259507789.47999999</v>
      </c>
      <c r="H121" s="17">
        <v>212449637.19999999</v>
      </c>
      <c r="I121" s="17">
        <v>210693748.37</v>
      </c>
      <c r="J121" s="17">
        <v>207650052.06999999</v>
      </c>
      <c r="K121" s="17">
        <v>209814652.21000001</v>
      </c>
      <c r="L121" s="30">
        <v>204074762.19999999</v>
      </c>
      <c r="M121" s="30">
        <v>202651910.16999999</v>
      </c>
    </row>
    <row r="122" spans="1:13" x14ac:dyDescent="0.25">
      <c r="A122" s="16" t="s">
        <v>222</v>
      </c>
      <c r="B122" s="17">
        <v>162755.04999999999</v>
      </c>
      <c r="C122" s="17">
        <v>198450.31</v>
      </c>
      <c r="D122" s="17">
        <v>245363.85</v>
      </c>
      <c r="E122" s="17">
        <v>219626.91</v>
      </c>
      <c r="F122" s="17">
        <v>265729.5</v>
      </c>
      <c r="G122" s="17">
        <v>211193.63</v>
      </c>
      <c r="H122" s="17">
        <v>240249.63</v>
      </c>
      <c r="I122" s="17">
        <v>230136.56</v>
      </c>
      <c r="J122" s="17">
        <v>230169.78</v>
      </c>
      <c r="K122" s="17">
        <v>236702.41</v>
      </c>
      <c r="L122" s="30">
        <v>207562.2</v>
      </c>
      <c r="M122" s="30">
        <v>240815.78</v>
      </c>
    </row>
    <row r="123" spans="1:13" x14ac:dyDescent="0.25">
      <c r="A123" s="21" t="s">
        <v>221</v>
      </c>
      <c r="B123" s="17">
        <v>162755.04999999999</v>
      </c>
      <c r="C123" s="17">
        <v>198450.31</v>
      </c>
      <c r="D123" s="17">
        <v>245363.85</v>
      </c>
      <c r="E123" s="17">
        <v>219626.91</v>
      </c>
      <c r="F123" s="17">
        <v>265729.5</v>
      </c>
      <c r="G123" s="17">
        <v>211193.63</v>
      </c>
      <c r="H123" s="17">
        <v>240249.63</v>
      </c>
      <c r="I123" s="17">
        <v>230136.56</v>
      </c>
      <c r="J123" s="17">
        <v>230169.78</v>
      </c>
      <c r="K123" s="17">
        <v>236702.41</v>
      </c>
      <c r="L123" s="30">
        <v>207562.2</v>
      </c>
      <c r="M123" s="30">
        <v>240815.78</v>
      </c>
    </row>
    <row r="124" spans="1:13" x14ac:dyDescent="0.25">
      <c r="A124" s="16" t="s">
        <v>219</v>
      </c>
      <c r="B124" s="17">
        <v>3675188.18</v>
      </c>
      <c r="C124" s="17">
        <v>5304912.63</v>
      </c>
      <c r="D124" s="17">
        <v>3389429.86</v>
      </c>
      <c r="E124" s="17">
        <v>2876476.36</v>
      </c>
      <c r="F124" s="17">
        <v>3354449.01</v>
      </c>
      <c r="G124" s="17">
        <v>3095811.16</v>
      </c>
      <c r="H124" s="17">
        <v>5264735.32</v>
      </c>
      <c r="I124" s="17">
        <v>3175183.34</v>
      </c>
      <c r="J124" s="17">
        <v>3296630.8</v>
      </c>
      <c r="K124" s="17">
        <v>3709225.33</v>
      </c>
      <c r="L124" s="30">
        <v>4017156.42</v>
      </c>
      <c r="M124" s="30">
        <v>5014095.17</v>
      </c>
    </row>
    <row r="125" spans="1:13" x14ac:dyDescent="0.25">
      <c r="A125" s="21" t="s">
        <v>408</v>
      </c>
      <c r="B125" s="17">
        <v>3675188.18</v>
      </c>
      <c r="C125" s="17">
        <v>5304912.63</v>
      </c>
      <c r="D125" s="17">
        <v>3389429.86</v>
      </c>
      <c r="E125" s="17">
        <v>2876476.36</v>
      </c>
      <c r="F125" s="17">
        <v>3354449.01</v>
      </c>
      <c r="G125" s="17">
        <v>3095811.16</v>
      </c>
      <c r="H125" s="17">
        <v>5264735.32</v>
      </c>
      <c r="I125" s="17">
        <v>3175183.34</v>
      </c>
      <c r="J125" s="17">
        <v>3296630.8</v>
      </c>
      <c r="K125" s="17">
        <v>3709225.33</v>
      </c>
      <c r="L125" s="30">
        <v>4017156.42</v>
      </c>
      <c r="M125" s="30">
        <v>5014095.17</v>
      </c>
    </row>
    <row r="126" spans="1:13" x14ac:dyDescent="0.25">
      <c r="A126" s="16" t="s">
        <v>217</v>
      </c>
      <c r="B126" s="17">
        <v>1565066.59</v>
      </c>
      <c r="C126" s="17">
        <v>1013763</v>
      </c>
      <c r="D126" s="17">
        <v>1435535.4</v>
      </c>
      <c r="E126" s="17">
        <v>995310.56</v>
      </c>
      <c r="F126" s="17">
        <v>1494896.01</v>
      </c>
      <c r="G126" s="17">
        <v>935652.67</v>
      </c>
      <c r="H126" s="17">
        <v>1173459.73</v>
      </c>
      <c r="I126" s="17">
        <v>974306.47</v>
      </c>
      <c r="J126" s="17">
        <v>1410562.34</v>
      </c>
      <c r="K126" s="17">
        <v>1172456.08</v>
      </c>
      <c r="L126" s="30">
        <v>0.01</v>
      </c>
      <c r="M126" s="30">
        <v>1065911.3899999999</v>
      </c>
    </row>
    <row r="127" spans="1:13" x14ac:dyDescent="0.25">
      <c r="A127" s="21" t="s">
        <v>216</v>
      </c>
      <c r="B127" s="17">
        <v>1565066.59</v>
      </c>
      <c r="C127" s="17">
        <v>1013763</v>
      </c>
      <c r="D127" s="17">
        <v>1435535.4</v>
      </c>
      <c r="E127" s="17">
        <v>995310.56</v>
      </c>
      <c r="F127" s="17">
        <v>1494896.01</v>
      </c>
      <c r="G127" s="17">
        <v>935652.67</v>
      </c>
      <c r="H127" s="17">
        <v>1173459.73</v>
      </c>
      <c r="I127" s="17">
        <v>974306.47</v>
      </c>
      <c r="J127" s="17">
        <v>1410562.34</v>
      </c>
      <c r="K127" s="17">
        <v>1172456.08</v>
      </c>
      <c r="L127" s="30">
        <v>0.01</v>
      </c>
      <c r="M127" s="30">
        <v>1065911.3899999999</v>
      </c>
    </row>
    <row r="128" spans="1:13" x14ac:dyDescent="0.25">
      <c r="A128" s="16" t="s">
        <v>215</v>
      </c>
      <c r="B128" s="17">
        <v>1593706</v>
      </c>
      <c r="C128" s="17">
        <v>1719268.27</v>
      </c>
      <c r="D128" s="17">
        <v>0</v>
      </c>
      <c r="E128" s="17">
        <v>1873999.89</v>
      </c>
      <c r="F128" s="17">
        <v>6893804.21</v>
      </c>
      <c r="G128" s="17">
        <v>6479963.3300000001</v>
      </c>
      <c r="H128" s="17">
        <v>261348.57</v>
      </c>
      <c r="I128" s="17">
        <v>2333706</v>
      </c>
      <c r="J128" s="17">
        <v>5013208.28</v>
      </c>
      <c r="K128" s="17">
        <v>4582128</v>
      </c>
      <c r="L128" s="30">
        <v>4769046.3899999997</v>
      </c>
      <c r="M128" s="30">
        <v>6136046.9500000002</v>
      </c>
    </row>
    <row r="129" spans="1:13" x14ac:dyDescent="0.25">
      <c r="A129" s="21" t="s">
        <v>214</v>
      </c>
      <c r="B129" s="17">
        <v>1593706</v>
      </c>
      <c r="C129" s="17">
        <v>1719268.27</v>
      </c>
      <c r="D129" s="17">
        <v>0</v>
      </c>
      <c r="E129" s="17">
        <v>1873999.89</v>
      </c>
      <c r="F129" s="17">
        <v>6893804.21</v>
      </c>
      <c r="G129" s="17">
        <v>6479963.3300000001</v>
      </c>
      <c r="H129" s="17">
        <v>261348.57</v>
      </c>
      <c r="I129" s="17">
        <v>2333706</v>
      </c>
      <c r="J129" s="17">
        <v>5013208.28</v>
      </c>
      <c r="K129" s="17">
        <v>4582128</v>
      </c>
      <c r="L129" s="30">
        <v>4769046.3899999997</v>
      </c>
      <c r="M129" s="30">
        <v>6136046.9500000002</v>
      </c>
    </row>
    <row r="130" spans="1:13" x14ac:dyDescent="0.25">
      <c r="A130" s="16" t="s">
        <v>213</v>
      </c>
      <c r="B130" s="17">
        <v>5214307.3499999996</v>
      </c>
      <c r="C130" s="17">
        <v>4083753.89</v>
      </c>
      <c r="D130" s="17">
        <v>7380897.1799999997</v>
      </c>
      <c r="E130" s="17">
        <v>6107620.96</v>
      </c>
      <c r="F130" s="17">
        <v>3326377.41</v>
      </c>
      <c r="G130" s="17">
        <v>4686703.96</v>
      </c>
      <c r="H130" s="17">
        <v>4698411.9800000004</v>
      </c>
      <c r="I130" s="17">
        <v>2525386.0699999998</v>
      </c>
      <c r="J130" s="17">
        <v>7381820.7999999998</v>
      </c>
      <c r="K130" s="17">
        <v>3124071.93</v>
      </c>
      <c r="L130" s="30">
        <v>11833619.189999999</v>
      </c>
      <c r="M130" s="30">
        <v>4423854.55</v>
      </c>
    </row>
    <row r="131" spans="1:13" x14ac:dyDescent="0.25">
      <c r="A131" s="21" t="s">
        <v>212</v>
      </c>
      <c r="B131" s="17">
        <v>5214307.3499999996</v>
      </c>
      <c r="C131" s="17">
        <v>4083753.89</v>
      </c>
      <c r="D131" s="17">
        <v>7380897.1799999997</v>
      </c>
      <c r="E131" s="17">
        <v>6107620.96</v>
      </c>
      <c r="F131" s="17">
        <v>3326377.41</v>
      </c>
      <c r="G131" s="17">
        <v>4686703.96</v>
      </c>
      <c r="H131" s="17">
        <v>4698411.9800000004</v>
      </c>
      <c r="I131" s="17">
        <v>2525386.0699999998</v>
      </c>
      <c r="J131" s="17">
        <v>7381820.7999999998</v>
      </c>
      <c r="K131" s="17">
        <v>3124071.93</v>
      </c>
      <c r="L131" s="30">
        <v>11833619.189999999</v>
      </c>
      <c r="M131" s="30">
        <v>4423854.55</v>
      </c>
    </row>
    <row r="132" spans="1:13" x14ac:dyDescent="0.25">
      <c r="A132" s="16" t="s">
        <v>211</v>
      </c>
      <c r="B132" s="17">
        <v>0</v>
      </c>
      <c r="C132" s="17">
        <v>0</v>
      </c>
      <c r="D132" s="17">
        <v>48237208.340000004</v>
      </c>
      <c r="E132" s="17">
        <v>0</v>
      </c>
      <c r="F132" s="17">
        <v>4680072</v>
      </c>
      <c r="G132" s="17">
        <v>235561.73</v>
      </c>
      <c r="H132" s="17">
        <v>0</v>
      </c>
      <c r="I132" s="17">
        <v>-81150.73</v>
      </c>
      <c r="J132" s="17">
        <v>0</v>
      </c>
      <c r="K132" s="17">
        <v>0</v>
      </c>
      <c r="L132" s="30">
        <v>14925133.34</v>
      </c>
      <c r="M132" s="30">
        <v>0</v>
      </c>
    </row>
    <row r="133" spans="1:13" x14ac:dyDescent="0.25">
      <c r="A133" s="21" t="s">
        <v>210</v>
      </c>
      <c r="B133" s="17">
        <v>0</v>
      </c>
      <c r="C133" s="17">
        <v>0</v>
      </c>
      <c r="D133" s="17">
        <v>48237208.340000004</v>
      </c>
      <c r="E133" s="17">
        <v>0</v>
      </c>
      <c r="F133" s="17">
        <v>4680072</v>
      </c>
      <c r="G133" s="17">
        <v>235561.73</v>
      </c>
      <c r="H133" s="17">
        <v>0</v>
      </c>
      <c r="I133" s="17">
        <v>-81150.73</v>
      </c>
      <c r="J133" s="17">
        <v>0</v>
      </c>
      <c r="K133" s="17">
        <v>0</v>
      </c>
      <c r="L133" s="30">
        <v>14925133.34</v>
      </c>
      <c r="M133" s="30">
        <v>0</v>
      </c>
    </row>
    <row r="134" spans="1:13" x14ac:dyDescent="0.25">
      <c r="A134" s="16" t="s">
        <v>209</v>
      </c>
      <c r="B134" s="17">
        <v>46464.5</v>
      </c>
      <c r="C134" s="17">
        <v>39526.199999999997</v>
      </c>
      <c r="D134" s="17">
        <v>43529.67</v>
      </c>
      <c r="E134" s="17">
        <v>720574.2</v>
      </c>
      <c r="F134" s="17">
        <v>8337076.8300000001</v>
      </c>
      <c r="G134" s="17">
        <v>1618912.44</v>
      </c>
      <c r="H134" s="17">
        <v>1406280.86</v>
      </c>
      <c r="I134" s="17">
        <v>532499.62</v>
      </c>
      <c r="J134" s="17">
        <v>3435281.57</v>
      </c>
      <c r="K134" s="17">
        <v>3698338.59</v>
      </c>
      <c r="L134" s="30">
        <v>14645251.43</v>
      </c>
      <c r="M134" s="30">
        <v>7707699</v>
      </c>
    </row>
    <row r="135" spans="1:13" x14ac:dyDescent="0.25">
      <c r="A135" s="21" t="s">
        <v>208</v>
      </c>
      <c r="B135" s="17">
        <v>46464.5</v>
      </c>
      <c r="C135" s="17">
        <v>39526.199999999997</v>
      </c>
      <c r="D135" s="17">
        <v>43529.67</v>
      </c>
      <c r="E135" s="17">
        <v>720574.2</v>
      </c>
      <c r="F135" s="17">
        <v>8337076.8300000001</v>
      </c>
      <c r="G135" s="17">
        <v>1618912.44</v>
      </c>
      <c r="H135" s="17">
        <v>1406280.86</v>
      </c>
      <c r="I135" s="17">
        <v>532499.62</v>
      </c>
      <c r="J135" s="17">
        <v>3435281.57</v>
      </c>
      <c r="K135" s="17">
        <v>3698338.59</v>
      </c>
      <c r="L135" s="30">
        <v>14645251.43</v>
      </c>
      <c r="M135" s="30">
        <v>7707699</v>
      </c>
    </row>
    <row r="136" spans="1:13" x14ac:dyDescent="0.25">
      <c r="A136" s="16" t="s">
        <v>407</v>
      </c>
      <c r="B136" s="17">
        <v>0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84715</v>
      </c>
      <c r="I136" s="17">
        <v>0</v>
      </c>
      <c r="J136" s="17">
        <v>0</v>
      </c>
      <c r="K136" s="17">
        <v>0</v>
      </c>
      <c r="L136" s="30">
        <v>0</v>
      </c>
      <c r="M136" s="30">
        <v>0</v>
      </c>
    </row>
    <row r="137" spans="1:13" x14ac:dyDescent="0.25">
      <c r="A137" s="21" t="s">
        <v>406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84715</v>
      </c>
      <c r="I137" s="17">
        <v>0</v>
      </c>
      <c r="J137" s="17">
        <v>0</v>
      </c>
      <c r="K137" s="17">
        <v>0</v>
      </c>
      <c r="L137" s="30">
        <v>0</v>
      </c>
      <c r="M137" s="30">
        <v>0</v>
      </c>
    </row>
    <row r="138" spans="1:13" x14ac:dyDescent="0.25">
      <c r="A138" s="16" t="s">
        <v>207</v>
      </c>
      <c r="B138" s="17">
        <v>27520120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30">
        <v>0</v>
      </c>
      <c r="M138" s="30">
        <v>0</v>
      </c>
    </row>
    <row r="139" spans="1:13" x14ac:dyDescent="0.25">
      <c r="A139" s="21" t="s">
        <v>206</v>
      </c>
      <c r="B139" s="17">
        <v>27520120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30">
        <v>0</v>
      </c>
      <c r="M139" s="30">
        <v>0</v>
      </c>
    </row>
    <row r="140" spans="1:13" x14ac:dyDescent="0.25">
      <c r="A140" s="16" t="s">
        <v>205</v>
      </c>
      <c r="B140" s="17">
        <v>157967000</v>
      </c>
      <c r="C140" s="17">
        <v>110821600</v>
      </c>
      <c r="D140" s="17">
        <v>100844800</v>
      </c>
      <c r="E140" s="17">
        <v>168313600</v>
      </c>
      <c r="F140" s="17">
        <v>101551600</v>
      </c>
      <c r="G140" s="17">
        <v>112570400</v>
      </c>
      <c r="H140" s="17">
        <v>101578000</v>
      </c>
      <c r="I140" s="17">
        <v>213180800</v>
      </c>
      <c r="J140" s="17">
        <v>113075800</v>
      </c>
      <c r="K140" s="17">
        <v>121256965.5</v>
      </c>
      <c r="L140" s="30">
        <v>139805097.5</v>
      </c>
      <c r="M140" s="30">
        <v>135467854.83000001</v>
      </c>
    </row>
    <row r="141" spans="1:13" x14ac:dyDescent="0.25">
      <c r="A141" s="21" t="s">
        <v>204</v>
      </c>
      <c r="B141" s="17">
        <v>157967000</v>
      </c>
      <c r="C141" s="17">
        <v>110821600</v>
      </c>
      <c r="D141" s="17">
        <v>100844800</v>
      </c>
      <c r="E141" s="17">
        <v>168313600</v>
      </c>
      <c r="F141" s="17">
        <v>101551600</v>
      </c>
      <c r="G141" s="17">
        <v>112570400</v>
      </c>
      <c r="H141" s="17">
        <v>101578000</v>
      </c>
      <c r="I141" s="17">
        <v>213180800</v>
      </c>
      <c r="J141" s="17">
        <v>113075800</v>
      </c>
      <c r="K141" s="17">
        <v>121256965.5</v>
      </c>
      <c r="L141" s="30">
        <v>139805097.5</v>
      </c>
      <c r="M141" s="30">
        <v>135467854.83000001</v>
      </c>
    </row>
    <row r="142" spans="1:13" x14ac:dyDescent="0.25">
      <c r="A142" s="16" t="s">
        <v>374</v>
      </c>
      <c r="B142" s="17">
        <v>0</v>
      </c>
      <c r="C142" s="17">
        <v>0</v>
      </c>
      <c r="D142" s="17">
        <v>0</v>
      </c>
      <c r="E142" s="17">
        <v>0</v>
      </c>
      <c r="F142" s="17">
        <v>0</v>
      </c>
      <c r="G142" s="17">
        <v>500</v>
      </c>
      <c r="H142" s="17">
        <v>0</v>
      </c>
      <c r="I142" s="17">
        <v>0</v>
      </c>
      <c r="J142" s="17">
        <v>0</v>
      </c>
      <c r="K142" s="17">
        <v>0</v>
      </c>
      <c r="L142" s="30">
        <v>0</v>
      </c>
      <c r="M142" s="30">
        <v>0</v>
      </c>
    </row>
    <row r="143" spans="1:13" x14ac:dyDescent="0.25">
      <c r="A143" s="21" t="s">
        <v>405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500</v>
      </c>
      <c r="H143" s="17">
        <v>0</v>
      </c>
      <c r="I143" s="17">
        <v>0</v>
      </c>
      <c r="J143" s="17">
        <v>0</v>
      </c>
      <c r="K143" s="17">
        <v>0</v>
      </c>
      <c r="L143" s="30">
        <v>0</v>
      </c>
      <c r="M143" s="30">
        <v>0</v>
      </c>
    </row>
    <row r="144" spans="1:13" x14ac:dyDescent="0.25">
      <c r="A144" s="16" t="s">
        <v>203</v>
      </c>
      <c r="B144" s="17">
        <v>302363387.27999997</v>
      </c>
      <c r="C144" s="17">
        <v>186342253.69</v>
      </c>
      <c r="D144" s="17">
        <v>26404427.5</v>
      </c>
      <c r="E144" s="17">
        <v>134880709</v>
      </c>
      <c r="F144" s="17">
        <v>75732079.219999999</v>
      </c>
      <c r="G144" s="17">
        <v>322433855.81999999</v>
      </c>
      <c r="H144" s="17">
        <v>81228601.209999993</v>
      </c>
      <c r="I144" s="17">
        <v>60087646.32</v>
      </c>
      <c r="J144" s="17">
        <v>6944207.9199999999</v>
      </c>
      <c r="K144" s="17">
        <v>65786429.740000002</v>
      </c>
      <c r="L144" s="30">
        <v>479443127.18000001</v>
      </c>
      <c r="M144" s="30">
        <v>3603995087.8600001</v>
      </c>
    </row>
    <row r="145" spans="1:13" x14ac:dyDescent="0.25">
      <c r="A145" s="21" t="s">
        <v>202</v>
      </c>
      <c r="B145" s="17">
        <v>302363387.27999997</v>
      </c>
      <c r="C145" s="17">
        <v>186342253.69</v>
      </c>
      <c r="D145" s="17">
        <v>26404427.5</v>
      </c>
      <c r="E145" s="17">
        <v>134880709</v>
      </c>
      <c r="F145" s="17">
        <v>75732079.219999999</v>
      </c>
      <c r="G145" s="17">
        <v>322433855.81999999</v>
      </c>
      <c r="H145" s="17">
        <v>81228601.209999993</v>
      </c>
      <c r="I145" s="17">
        <v>60087646.32</v>
      </c>
      <c r="J145" s="17">
        <v>6944207.9199999999</v>
      </c>
      <c r="K145" s="17">
        <v>65786429.740000002</v>
      </c>
      <c r="L145" s="30">
        <v>479443127.18000001</v>
      </c>
      <c r="M145" s="30">
        <v>3603995087.8600001</v>
      </c>
    </row>
    <row r="146" spans="1:13" x14ac:dyDescent="0.25">
      <c r="A146" s="16" t="s">
        <v>200</v>
      </c>
      <c r="B146" s="17">
        <v>648108</v>
      </c>
      <c r="C146" s="17">
        <v>119100</v>
      </c>
      <c r="D146" s="17">
        <v>1216759</v>
      </c>
      <c r="E146" s="17">
        <v>449640</v>
      </c>
      <c r="F146" s="17">
        <v>2640310.5</v>
      </c>
      <c r="G146" s="17">
        <v>2546615</v>
      </c>
      <c r="H146" s="17">
        <v>849191</v>
      </c>
      <c r="I146" s="17">
        <v>1462976</v>
      </c>
      <c r="J146" s="17">
        <v>1514846</v>
      </c>
      <c r="K146" s="17">
        <v>2472084</v>
      </c>
      <c r="L146" s="30">
        <v>2298914</v>
      </c>
      <c r="M146" s="30">
        <v>2313688</v>
      </c>
    </row>
    <row r="147" spans="1:13" x14ac:dyDescent="0.25">
      <c r="A147" s="21" t="s">
        <v>199</v>
      </c>
      <c r="B147" s="17">
        <v>648108</v>
      </c>
      <c r="C147" s="17">
        <v>119100</v>
      </c>
      <c r="D147" s="17">
        <v>1216759</v>
      </c>
      <c r="E147" s="17">
        <v>449640</v>
      </c>
      <c r="F147" s="17">
        <v>2640310.5</v>
      </c>
      <c r="G147" s="17">
        <v>2546615</v>
      </c>
      <c r="H147" s="17">
        <v>849191</v>
      </c>
      <c r="I147" s="17">
        <v>1462976</v>
      </c>
      <c r="J147" s="17">
        <v>1514846</v>
      </c>
      <c r="K147" s="17">
        <v>2472084</v>
      </c>
      <c r="L147" s="30">
        <v>2298914</v>
      </c>
      <c r="M147" s="30">
        <v>2313688</v>
      </c>
    </row>
    <row r="148" spans="1:13" x14ac:dyDescent="0.25">
      <c r="A148" s="16" t="s">
        <v>198</v>
      </c>
      <c r="B148" s="17">
        <v>0</v>
      </c>
      <c r="C148" s="17">
        <v>21530</v>
      </c>
      <c r="D148" s="17">
        <v>22310</v>
      </c>
      <c r="E148" s="17">
        <v>268680</v>
      </c>
      <c r="F148" s="17">
        <v>443290</v>
      </c>
      <c r="G148" s="17">
        <v>466925.5</v>
      </c>
      <c r="H148" s="17">
        <v>232100</v>
      </c>
      <c r="I148" s="17">
        <v>391010</v>
      </c>
      <c r="J148" s="17">
        <v>753730</v>
      </c>
      <c r="K148" s="17">
        <v>664650</v>
      </c>
      <c r="L148" s="30">
        <v>374400</v>
      </c>
      <c r="M148" s="30">
        <v>638836</v>
      </c>
    </row>
    <row r="149" spans="1:13" x14ac:dyDescent="0.25">
      <c r="A149" s="21" t="s">
        <v>197</v>
      </c>
      <c r="B149" s="17">
        <v>0</v>
      </c>
      <c r="C149" s="17">
        <v>21530</v>
      </c>
      <c r="D149" s="17">
        <v>22310</v>
      </c>
      <c r="E149" s="17">
        <v>268680</v>
      </c>
      <c r="F149" s="17">
        <v>443290</v>
      </c>
      <c r="G149" s="17">
        <v>466925.5</v>
      </c>
      <c r="H149" s="17">
        <v>232100</v>
      </c>
      <c r="I149" s="17">
        <v>391010</v>
      </c>
      <c r="J149" s="17">
        <v>753730</v>
      </c>
      <c r="K149" s="17">
        <v>664650</v>
      </c>
      <c r="L149" s="30">
        <v>374400</v>
      </c>
      <c r="M149" s="30">
        <v>638836</v>
      </c>
    </row>
    <row r="150" spans="1:13" x14ac:dyDescent="0.25">
      <c r="A150" s="16" t="s">
        <v>196</v>
      </c>
      <c r="B150" s="17">
        <v>3568581</v>
      </c>
      <c r="C150" s="17">
        <v>2338648</v>
      </c>
      <c r="D150" s="17">
        <v>2917342.48</v>
      </c>
      <c r="E150" s="17">
        <v>4209444</v>
      </c>
      <c r="F150" s="17">
        <v>11985584.85</v>
      </c>
      <c r="G150" s="17">
        <v>10357868.5</v>
      </c>
      <c r="H150" s="17">
        <v>5033130.5</v>
      </c>
      <c r="I150" s="17">
        <v>5791424</v>
      </c>
      <c r="J150" s="17">
        <v>8047520.5</v>
      </c>
      <c r="K150" s="17">
        <v>11499993.75</v>
      </c>
      <c r="L150" s="30">
        <v>15424364.9</v>
      </c>
      <c r="M150" s="30">
        <v>10813181.199999999</v>
      </c>
    </row>
    <row r="151" spans="1:13" x14ac:dyDescent="0.25">
      <c r="A151" s="21" t="s">
        <v>195</v>
      </c>
      <c r="B151" s="17">
        <v>3568581</v>
      </c>
      <c r="C151" s="17">
        <v>2338648</v>
      </c>
      <c r="D151" s="17">
        <v>2917342.48</v>
      </c>
      <c r="E151" s="17">
        <v>4209444</v>
      </c>
      <c r="F151" s="17">
        <v>11985584.85</v>
      </c>
      <c r="G151" s="17">
        <v>10357868.5</v>
      </c>
      <c r="H151" s="17">
        <v>5033130.5</v>
      </c>
      <c r="I151" s="17">
        <v>5791424</v>
      </c>
      <c r="J151" s="17">
        <v>8047520.5</v>
      </c>
      <c r="K151" s="17">
        <v>11499993.75</v>
      </c>
      <c r="L151" s="30">
        <v>15424364.9</v>
      </c>
      <c r="M151" s="30">
        <v>10813181.199999999</v>
      </c>
    </row>
    <row r="152" spans="1:13" x14ac:dyDescent="0.25">
      <c r="A152" s="16" t="s">
        <v>194</v>
      </c>
      <c r="B152" s="17">
        <v>548760</v>
      </c>
      <c r="C152" s="17">
        <v>460760</v>
      </c>
      <c r="D152" s="17">
        <v>1000082</v>
      </c>
      <c r="E152" s="17">
        <v>1568383</v>
      </c>
      <c r="F152" s="17">
        <v>5423076</v>
      </c>
      <c r="G152" s="17">
        <v>4956503</v>
      </c>
      <c r="H152" s="17">
        <v>3368620</v>
      </c>
      <c r="I152" s="17">
        <v>6145778</v>
      </c>
      <c r="J152" s="17">
        <v>8989174.5</v>
      </c>
      <c r="K152" s="17">
        <v>12494918.300000001</v>
      </c>
      <c r="L152" s="30">
        <v>13637523</v>
      </c>
      <c r="M152" s="30">
        <v>8826542</v>
      </c>
    </row>
    <row r="153" spans="1:13" x14ac:dyDescent="0.25">
      <c r="A153" s="21" t="s">
        <v>193</v>
      </c>
      <c r="B153" s="17">
        <v>548760</v>
      </c>
      <c r="C153" s="17">
        <v>460760</v>
      </c>
      <c r="D153" s="17">
        <v>1000082</v>
      </c>
      <c r="E153" s="17">
        <v>1568383</v>
      </c>
      <c r="F153" s="17">
        <v>5423076</v>
      </c>
      <c r="G153" s="17">
        <v>4956503</v>
      </c>
      <c r="H153" s="17">
        <v>3368620</v>
      </c>
      <c r="I153" s="17">
        <v>6145778</v>
      </c>
      <c r="J153" s="17">
        <v>8989174.5</v>
      </c>
      <c r="K153" s="17">
        <v>12494918.300000001</v>
      </c>
      <c r="L153" s="30">
        <v>13637523</v>
      </c>
      <c r="M153" s="30">
        <v>8826542</v>
      </c>
    </row>
    <row r="154" spans="1:13" x14ac:dyDescent="0.25">
      <c r="A154" s="16" t="s">
        <v>191</v>
      </c>
      <c r="B154" s="17">
        <v>0</v>
      </c>
      <c r="C154" s="17">
        <v>0</v>
      </c>
      <c r="D154" s="17">
        <v>1093999593.1500001</v>
      </c>
      <c r="E154" s="17">
        <v>57303855.310000002</v>
      </c>
      <c r="F154" s="17">
        <v>0</v>
      </c>
      <c r="G154" s="17">
        <v>0</v>
      </c>
      <c r="H154" s="17">
        <v>0</v>
      </c>
      <c r="I154" s="17">
        <v>2187100038.9699998</v>
      </c>
      <c r="J154" s="17">
        <v>0</v>
      </c>
      <c r="K154" s="17">
        <v>0</v>
      </c>
      <c r="L154" s="30">
        <v>1388287620.3900001</v>
      </c>
      <c r="M154" s="30">
        <v>0</v>
      </c>
    </row>
    <row r="155" spans="1:13" x14ac:dyDescent="0.25">
      <c r="A155" s="21" t="s">
        <v>190</v>
      </c>
      <c r="B155" s="17">
        <v>0</v>
      </c>
      <c r="C155" s="17">
        <v>0</v>
      </c>
      <c r="D155" s="17">
        <v>1093999593.1500001</v>
      </c>
      <c r="E155" s="17">
        <v>57303855.310000002</v>
      </c>
      <c r="F155" s="17">
        <v>0</v>
      </c>
      <c r="G155" s="17">
        <v>0</v>
      </c>
      <c r="H155" s="17">
        <v>0</v>
      </c>
      <c r="I155" s="17">
        <v>2187100038.9699998</v>
      </c>
      <c r="J155" s="17">
        <v>0</v>
      </c>
      <c r="K155" s="17">
        <v>0</v>
      </c>
      <c r="L155" s="30">
        <v>1388287620.3900001</v>
      </c>
      <c r="M155" s="30">
        <v>0</v>
      </c>
    </row>
    <row r="156" spans="1:13" x14ac:dyDescent="0.25">
      <c r="A156" s="16" t="s">
        <v>189</v>
      </c>
      <c r="B156" s="17">
        <v>0</v>
      </c>
      <c r="C156" s="17">
        <v>0</v>
      </c>
      <c r="D156" s="17">
        <v>65045521.009999998</v>
      </c>
      <c r="E156" s="17">
        <v>0</v>
      </c>
      <c r="F156" s="17">
        <v>0</v>
      </c>
      <c r="G156" s="17">
        <v>0</v>
      </c>
      <c r="H156" s="17">
        <v>0</v>
      </c>
      <c r="I156" s="17">
        <v>144710886.52000001</v>
      </c>
      <c r="J156" s="17">
        <v>0</v>
      </c>
      <c r="K156" s="17">
        <v>0</v>
      </c>
      <c r="L156" s="30">
        <v>80614405.920000002</v>
      </c>
      <c r="M156" s="30">
        <v>0</v>
      </c>
    </row>
    <row r="157" spans="1:13" x14ac:dyDescent="0.25">
      <c r="A157" s="21" t="s">
        <v>188</v>
      </c>
      <c r="B157" s="17">
        <v>0</v>
      </c>
      <c r="C157" s="17">
        <v>0</v>
      </c>
      <c r="D157" s="17">
        <v>65045521.009999998</v>
      </c>
      <c r="E157" s="17">
        <v>0</v>
      </c>
      <c r="F157" s="17">
        <v>0</v>
      </c>
      <c r="G157" s="17">
        <v>0</v>
      </c>
      <c r="H157" s="17">
        <v>0</v>
      </c>
      <c r="I157" s="17">
        <v>144710886.52000001</v>
      </c>
      <c r="J157" s="17">
        <v>0</v>
      </c>
      <c r="K157" s="17">
        <v>0</v>
      </c>
      <c r="L157" s="30">
        <v>80614405.920000002</v>
      </c>
      <c r="M157" s="30">
        <v>0</v>
      </c>
    </row>
    <row r="158" spans="1:13" x14ac:dyDescent="0.25">
      <c r="A158" s="16" t="s">
        <v>187</v>
      </c>
      <c r="B158" s="17">
        <v>409000</v>
      </c>
      <c r="C158" s="17">
        <v>306000</v>
      </c>
      <c r="D158" s="17">
        <v>867000</v>
      </c>
      <c r="E158" s="17">
        <v>255000</v>
      </c>
      <c r="F158" s="17">
        <v>1737000</v>
      </c>
      <c r="G158" s="17">
        <v>1378000</v>
      </c>
      <c r="H158" s="17">
        <v>511000</v>
      </c>
      <c r="I158" s="17">
        <v>805777</v>
      </c>
      <c r="J158" s="17">
        <v>1381000</v>
      </c>
      <c r="K158" s="17">
        <v>2307000</v>
      </c>
      <c r="L158" s="30">
        <v>2259000</v>
      </c>
      <c r="M158" s="30">
        <v>2642000</v>
      </c>
    </row>
    <row r="159" spans="1:13" x14ac:dyDescent="0.25">
      <c r="A159" s="21" t="s">
        <v>186</v>
      </c>
      <c r="B159" s="17">
        <v>409000</v>
      </c>
      <c r="C159" s="17">
        <v>306000</v>
      </c>
      <c r="D159" s="17">
        <v>867000</v>
      </c>
      <c r="E159" s="17">
        <v>255000</v>
      </c>
      <c r="F159" s="17">
        <v>1737000</v>
      </c>
      <c r="G159" s="17">
        <v>1378000</v>
      </c>
      <c r="H159" s="17">
        <v>511000</v>
      </c>
      <c r="I159" s="17">
        <v>805777</v>
      </c>
      <c r="J159" s="17">
        <v>1381000</v>
      </c>
      <c r="K159" s="17">
        <v>2307000</v>
      </c>
      <c r="L159" s="30">
        <v>2259000</v>
      </c>
      <c r="M159" s="30">
        <v>2642000</v>
      </c>
    </row>
    <row r="160" spans="1:13" x14ac:dyDescent="0.25">
      <c r="A160" s="16" t="s">
        <v>185</v>
      </c>
      <c r="B160" s="17">
        <v>0</v>
      </c>
      <c r="C160" s="17">
        <v>0</v>
      </c>
      <c r="D160" s="17">
        <v>0</v>
      </c>
      <c r="E160" s="17">
        <v>4275000</v>
      </c>
      <c r="F160" s="17">
        <v>114783</v>
      </c>
      <c r="G160" s="17">
        <v>10225700</v>
      </c>
      <c r="H160" s="17">
        <v>740000</v>
      </c>
      <c r="I160" s="17">
        <v>166500</v>
      </c>
      <c r="J160" s="17">
        <v>3795000</v>
      </c>
      <c r="K160" s="17">
        <v>13000</v>
      </c>
      <c r="L160" s="30">
        <v>5440000</v>
      </c>
      <c r="M160" s="30">
        <v>1879000</v>
      </c>
    </row>
    <row r="161" spans="1:13" x14ac:dyDescent="0.25">
      <c r="A161" s="21" t="s">
        <v>184</v>
      </c>
      <c r="B161" s="17">
        <v>0</v>
      </c>
      <c r="C161" s="17">
        <v>0</v>
      </c>
      <c r="D161" s="17">
        <v>0</v>
      </c>
      <c r="E161" s="17">
        <v>4275000</v>
      </c>
      <c r="F161" s="17">
        <v>114783</v>
      </c>
      <c r="G161" s="17">
        <v>10225700</v>
      </c>
      <c r="H161" s="17">
        <v>740000</v>
      </c>
      <c r="I161" s="17">
        <v>166500</v>
      </c>
      <c r="J161" s="17">
        <v>3795000</v>
      </c>
      <c r="K161" s="17">
        <v>13000</v>
      </c>
      <c r="L161" s="30">
        <v>5440000</v>
      </c>
      <c r="M161" s="30">
        <v>1879000</v>
      </c>
    </row>
    <row r="162" spans="1:13" x14ac:dyDescent="0.25">
      <c r="A162" s="16" t="s">
        <v>183</v>
      </c>
      <c r="B162" s="17">
        <v>1293000</v>
      </c>
      <c r="C162" s="17">
        <v>0</v>
      </c>
      <c r="D162" s="17">
        <v>493284961.44999999</v>
      </c>
      <c r="E162" s="17">
        <v>0</v>
      </c>
      <c r="F162" s="17">
        <v>0</v>
      </c>
      <c r="G162" s="17">
        <v>0</v>
      </c>
      <c r="H162" s="17">
        <v>313125</v>
      </c>
      <c r="I162" s="17">
        <v>0</v>
      </c>
      <c r="J162" s="17">
        <v>0</v>
      </c>
      <c r="K162" s="17">
        <v>0</v>
      </c>
      <c r="L162" s="30">
        <v>6458655.9800000004</v>
      </c>
      <c r="M162" s="30">
        <v>2677200</v>
      </c>
    </row>
    <row r="163" spans="1:13" x14ac:dyDescent="0.25">
      <c r="A163" s="21" t="s">
        <v>182</v>
      </c>
      <c r="B163" s="17">
        <v>1293000</v>
      </c>
      <c r="C163" s="17">
        <v>0</v>
      </c>
      <c r="D163" s="17">
        <v>493284961.44999999</v>
      </c>
      <c r="E163" s="17">
        <v>0</v>
      </c>
      <c r="F163" s="17">
        <v>0</v>
      </c>
      <c r="G163" s="17">
        <v>0</v>
      </c>
      <c r="H163" s="17">
        <v>313125</v>
      </c>
      <c r="I163" s="17">
        <v>0</v>
      </c>
      <c r="J163" s="17">
        <v>0</v>
      </c>
      <c r="K163" s="17">
        <v>0</v>
      </c>
      <c r="L163" s="30">
        <v>6458655.9800000004</v>
      </c>
      <c r="M163" s="30">
        <v>2677200</v>
      </c>
    </row>
    <row r="164" spans="1:13" x14ac:dyDescent="0.25">
      <c r="A164" s="16" t="s">
        <v>181</v>
      </c>
      <c r="B164" s="17">
        <v>24070.5</v>
      </c>
      <c r="C164" s="17">
        <v>2474125</v>
      </c>
      <c r="D164" s="17">
        <v>1950775</v>
      </c>
      <c r="E164" s="17">
        <v>2540800</v>
      </c>
      <c r="F164" s="17">
        <v>2331343.63</v>
      </c>
      <c r="G164" s="17">
        <v>267772.75</v>
      </c>
      <c r="H164" s="17">
        <v>2133430.5</v>
      </c>
      <c r="I164" s="17">
        <v>20000.080000000002</v>
      </c>
      <c r="J164" s="17">
        <v>2763125.4</v>
      </c>
      <c r="K164" s="17">
        <v>3188624.5</v>
      </c>
      <c r="L164" s="30">
        <v>6385861.25</v>
      </c>
      <c r="M164" s="30">
        <v>3969043.5</v>
      </c>
    </row>
    <row r="165" spans="1:13" x14ac:dyDescent="0.25">
      <c r="A165" s="21" t="s">
        <v>179</v>
      </c>
      <c r="B165" s="17">
        <v>24070.5</v>
      </c>
      <c r="C165" s="17">
        <v>2474125</v>
      </c>
      <c r="D165" s="17">
        <v>1950775</v>
      </c>
      <c r="E165" s="17">
        <v>2540800</v>
      </c>
      <c r="F165" s="17">
        <v>2331343.63</v>
      </c>
      <c r="G165" s="17">
        <v>267772.75</v>
      </c>
      <c r="H165" s="17">
        <v>2133430.5</v>
      </c>
      <c r="I165" s="17">
        <v>20000.080000000002</v>
      </c>
      <c r="J165" s="17">
        <v>2763125.4</v>
      </c>
      <c r="K165" s="17">
        <v>3188624.5</v>
      </c>
      <c r="L165" s="30">
        <v>6385861.25</v>
      </c>
      <c r="M165" s="30">
        <v>3969043.5</v>
      </c>
    </row>
    <row r="166" spans="1:13" x14ac:dyDescent="0.25">
      <c r="A166" s="16" t="s">
        <v>178</v>
      </c>
      <c r="B166" s="17">
        <v>0</v>
      </c>
      <c r="C166" s="17">
        <v>0</v>
      </c>
      <c r="D166" s="17">
        <v>19100590949.060001</v>
      </c>
      <c r="E166" s="17">
        <v>-501505722.67000002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30">
        <v>0</v>
      </c>
      <c r="M166" s="30">
        <v>0</v>
      </c>
    </row>
    <row r="167" spans="1:13" x14ac:dyDescent="0.25">
      <c r="A167" s="21" t="s">
        <v>177</v>
      </c>
      <c r="B167" s="17">
        <v>0</v>
      </c>
      <c r="C167" s="17">
        <v>0</v>
      </c>
      <c r="D167" s="17">
        <v>19100590949.060001</v>
      </c>
      <c r="E167" s="17">
        <v>-501505722.67000002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30">
        <v>0</v>
      </c>
      <c r="M167" s="30">
        <v>0</v>
      </c>
    </row>
    <row r="168" spans="1:13" x14ac:dyDescent="0.25">
      <c r="A168" s="16" t="s">
        <v>1243</v>
      </c>
      <c r="B168" s="17">
        <v>0</v>
      </c>
      <c r="C168" s="17">
        <v>15456600.85</v>
      </c>
      <c r="D168" s="17">
        <v>791382763.35000002</v>
      </c>
      <c r="E168" s="17">
        <v>0</v>
      </c>
      <c r="F168" s="17">
        <v>0</v>
      </c>
      <c r="G168" s="17">
        <v>0</v>
      </c>
      <c r="H168" s="17">
        <v>1215200000</v>
      </c>
      <c r="I168" s="17">
        <v>2560283333.3400002</v>
      </c>
      <c r="J168" s="17">
        <v>0</v>
      </c>
      <c r="K168" s="17">
        <v>0</v>
      </c>
      <c r="L168" s="30">
        <v>0</v>
      </c>
      <c r="M168" s="30">
        <v>0</v>
      </c>
    </row>
    <row r="169" spans="1:13" x14ac:dyDescent="0.25">
      <c r="A169" s="21" t="s">
        <v>1244</v>
      </c>
      <c r="B169" s="17">
        <v>0</v>
      </c>
      <c r="C169" s="17">
        <v>15456600.85</v>
      </c>
      <c r="D169" s="17">
        <v>791382763.35000002</v>
      </c>
      <c r="E169" s="17">
        <v>0</v>
      </c>
      <c r="F169" s="17">
        <v>0</v>
      </c>
      <c r="G169" s="17">
        <v>0</v>
      </c>
      <c r="H169" s="17">
        <v>1215200000</v>
      </c>
      <c r="I169" s="17">
        <v>2560283333.3400002</v>
      </c>
      <c r="J169" s="17">
        <v>0</v>
      </c>
      <c r="K169" s="17">
        <v>0</v>
      </c>
      <c r="L169" s="30">
        <v>0</v>
      </c>
      <c r="M169" s="30">
        <v>0</v>
      </c>
    </row>
    <row r="170" spans="1:13" x14ac:dyDescent="0.25">
      <c r="A170" s="16" t="s">
        <v>176</v>
      </c>
      <c r="B170" s="17">
        <v>13457550.32</v>
      </c>
      <c r="C170" s="17">
        <v>10170504.17</v>
      </c>
      <c r="D170" s="17">
        <v>82167555.260000005</v>
      </c>
      <c r="E170" s="17">
        <v>-48546794.210000001</v>
      </c>
      <c r="F170" s="17">
        <v>116075651.16</v>
      </c>
      <c r="G170" s="17">
        <v>13395421.130000001</v>
      </c>
      <c r="H170" s="17">
        <v>17355937.68</v>
      </c>
      <c r="I170" s="17">
        <v>9828882.8200000003</v>
      </c>
      <c r="J170" s="17">
        <v>12752631.359999999</v>
      </c>
      <c r="K170" s="17">
        <v>4772296.49</v>
      </c>
      <c r="L170" s="30">
        <v>6434100.2999999998</v>
      </c>
      <c r="M170" s="30">
        <v>50230600.280000001</v>
      </c>
    </row>
    <row r="171" spans="1:13" x14ac:dyDescent="0.25">
      <c r="A171" s="21" t="s">
        <v>175</v>
      </c>
      <c r="B171" s="17">
        <v>13457550.32</v>
      </c>
      <c r="C171" s="17">
        <v>10170504.17</v>
      </c>
      <c r="D171" s="17">
        <v>82167555.260000005</v>
      </c>
      <c r="E171" s="17">
        <v>-48546794.210000001</v>
      </c>
      <c r="F171" s="17">
        <v>116075651.16</v>
      </c>
      <c r="G171" s="17">
        <v>13395421.130000001</v>
      </c>
      <c r="H171" s="17">
        <v>17355937.68</v>
      </c>
      <c r="I171" s="17">
        <v>9828882.8200000003</v>
      </c>
      <c r="J171" s="17">
        <v>12752631.359999999</v>
      </c>
      <c r="K171" s="17">
        <v>4772296.49</v>
      </c>
      <c r="L171" s="30">
        <v>6434100.2999999998</v>
      </c>
      <c r="M171" s="30">
        <v>50230600.280000001</v>
      </c>
    </row>
    <row r="172" spans="1:13" x14ac:dyDescent="0.25">
      <c r="A172" s="16" t="s">
        <v>174</v>
      </c>
      <c r="B172" s="17">
        <v>0</v>
      </c>
      <c r="C172" s="17">
        <v>0</v>
      </c>
      <c r="D172" s="17">
        <v>26456272.66</v>
      </c>
      <c r="E172" s="17">
        <v>0</v>
      </c>
      <c r="F172" s="17">
        <v>0</v>
      </c>
      <c r="G172" s="17">
        <v>0</v>
      </c>
      <c r="H172" s="17">
        <v>165163363.94999999</v>
      </c>
      <c r="I172" s="17">
        <v>0</v>
      </c>
      <c r="J172" s="17">
        <v>0</v>
      </c>
      <c r="K172" s="17">
        <v>0</v>
      </c>
      <c r="L172" s="30">
        <v>30446.17</v>
      </c>
      <c r="M172" s="30">
        <v>119042649.31999999</v>
      </c>
    </row>
    <row r="173" spans="1:13" x14ac:dyDescent="0.25">
      <c r="A173" s="21" t="s">
        <v>173</v>
      </c>
      <c r="B173" s="17">
        <v>0</v>
      </c>
      <c r="C173" s="17">
        <v>0</v>
      </c>
      <c r="D173" s="17">
        <v>26456272.66</v>
      </c>
      <c r="E173" s="17">
        <v>0</v>
      </c>
      <c r="F173" s="17">
        <v>0</v>
      </c>
      <c r="G173" s="17">
        <v>0</v>
      </c>
      <c r="H173" s="17">
        <v>165163363.94999999</v>
      </c>
      <c r="I173" s="17">
        <v>0</v>
      </c>
      <c r="J173" s="17">
        <v>0</v>
      </c>
      <c r="K173" s="17">
        <v>0</v>
      </c>
      <c r="L173" s="30">
        <v>30446.17</v>
      </c>
      <c r="M173" s="30">
        <v>119042649.31999999</v>
      </c>
    </row>
    <row r="174" spans="1:13" x14ac:dyDescent="0.25">
      <c r="A174" s="16" t="s">
        <v>172</v>
      </c>
      <c r="B174" s="17">
        <v>678312190</v>
      </c>
      <c r="C174" s="17">
        <v>1905138306</v>
      </c>
      <c r="D174" s="17">
        <v>1158275275</v>
      </c>
      <c r="E174" s="17">
        <v>341163085</v>
      </c>
      <c r="F174" s="17">
        <v>349843082</v>
      </c>
      <c r="G174" s="17">
        <v>426186523</v>
      </c>
      <c r="H174" s="17">
        <v>737891890</v>
      </c>
      <c r="I174" s="17">
        <v>336592091</v>
      </c>
      <c r="J174" s="17">
        <v>66872315</v>
      </c>
      <c r="K174" s="17">
        <v>396742564</v>
      </c>
      <c r="L174" s="30">
        <v>501752017</v>
      </c>
      <c r="M174" s="30">
        <v>735408096</v>
      </c>
    </row>
    <row r="175" spans="1:13" x14ac:dyDescent="0.25">
      <c r="A175" s="21" t="s">
        <v>171</v>
      </c>
      <c r="B175" s="17">
        <v>678312190</v>
      </c>
      <c r="C175" s="17">
        <v>1905138306</v>
      </c>
      <c r="D175" s="17">
        <v>1158275275</v>
      </c>
      <c r="E175" s="17">
        <v>341163085</v>
      </c>
      <c r="F175" s="17">
        <v>349843082</v>
      </c>
      <c r="G175" s="17">
        <v>426186523</v>
      </c>
      <c r="H175" s="17">
        <v>737891890</v>
      </c>
      <c r="I175" s="17">
        <v>336592091</v>
      </c>
      <c r="J175" s="17">
        <v>66872315</v>
      </c>
      <c r="K175" s="17">
        <v>396742564</v>
      </c>
      <c r="L175" s="30">
        <v>501752017</v>
      </c>
      <c r="M175" s="30">
        <v>735408096</v>
      </c>
    </row>
    <row r="176" spans="1:13" x14ac:dyDescent="0.25">
      <c r="A176" s="16" t="s">
        <v>170</v>
      </c>
      <c r="B176" s="17">
        <v>132020000.95999999</v>
      </c>
      <c r="C176" s="17">
        <v>182589978.09</v>
      </c>
      <c r="D176" s="17">
        <v>177569122.97</v>
      </c>
      <c r="E176" s="17">
        <v>177714814.66999999</v>
      </c>
      <c r="F176" s="17">
        <v>151770313.88999999</v>
      </c>
      <c r="G176" s="17">
        <v>132946176.54000001</v>
      </c>
      <c r="H176" s="17">
        <v>147861798.28999999</v>
      </c>
      <c r="I176" s="17">
        <v>237550075.06999999</v>
      </c>
      <c r="J176" s="17">
        <v>260630927.55000001</v>
      </c>
      <c r="K176" s="17">
        <v>123891449.38</v>
      </c>
      <c r="L176" s="30">
        <v>132285737.27</v>
      </c>
      <c r="M176" s="30">
        <v>103748138.58</v>
      </c>
    </row>
    <row r="177" spans="1:13" x14ac:dyDescent="0.25">
      <c r="A177" s="21" t="s">
        <v>168</v>
      </c>
      <c r="B177" s="17">
        <v>132020000.95999999</v>
      </c>
      <c r="C177" s="17">
        <v>182589978.09</v>
      </c>
      <c r="D177" s="17">
        <v>177569122.97</v>
      </c>
      <c r="E177" s="17">
        <v>177714814.66999999</v>
      </c>
      <c r="F177" s="17">
        <v>151770313.88999999</v>
      </c>
      <c r="G177" s="17">
        <v>132946176.54000001</v>
      </c>
      <c r="H177" s="17">
        <v>147861798.28999999</v>
      </c>
      <c r="I177" s="17">
        <v>237550075.06999999</v>
      </c>
      <c r="J177" s="17">
        <v>260630927.55000001</v>
      </c>
      <c r="K177" s="17">
        <v>123891449.38</v>
      </c>
      <c r="L177" s="30">
        <v>132285737.27</v>
      </c>
      <c r="M177" s="30">
        <v>103748138.58</v>
      </c>
    </row>
    <row r="178" spans="1:13" x14ac:dyDescent="0.25">
      <c r="A178" s="16" t="s">
        <v>167</v>
      </c>
      <c r="B178" s="17">
        <v>6498560384.5200005</v>
      </c>
      <c r="C178" s="17">
        <v>10732278</v>
      </c>
      <c r="D178" s="17">
        <v>2028091248</v>
      </c>
      <c r="E178" s="17">
        <v>258047246</v>
      </c>
      <c r="F178" s="17">
        <v>573765804</v>
      </c>
      <c r="G178" s="17">
        <v>505367726.02999997</v>
      </c>
      <c r="H178" s="17">
        <v>410546751</v>
      </c>
      <c r="I178" s="17">
        <v>499416747</v>
      </c>
      <c r="J178" s="17">
        <v>563603983</v>
      </c>
      <c r="K178" s="17">
        <v>575525751</v>
      </c>
      <c r="L178" s="30">
        <v>389195275</v>
      </c>
      <c r="M178" s="30">
        <v>306131646</v>
      </c>
    </row>
    <row r="179" spans="1:13" x14ac:dyDescent="0.25">
      <c r="A179" s="21" t="s">
        <v>166</v>
      </c>
      <c r="B179" s="17">
        <v>6498560384.5200005</v>
      </c>
      <c r="C179" s="17">
        <v>10732278</v>
      </c>
      <c r="D179" s="17">
        <v>2028091248</v>
      </c>
      <c r="E179" s="17">
        <v>258047246</v>
      </c>
      <c r="F179" s="17">
        <v>573765804</v>
      </c>
      <c r="G179" s="17">
        <v>505367726.02999997</v>
      </c>
      <c r="H179" s="17">
        <v>410546751</v>
      </c>
      <c r="I179" s="17">
        <v>499416747</v>
      </c>
      <c r="J179" s="17">
        <v>563603983</v>
      </c>
      <c r="K179" s="17">
        <v>575525751</v>
      </c>
      <c r="L179" s="30">
        <v>389195275</v>
      </c>
      <c r="M179" s="30">
        <v>306131646</v>
      </c>
    </row>
    <row r="180" spans="1:13" x14ac:dyDescent="0.25">
      <c r="A180" s="16" t="s">
        <v>165</v>
      </c>
      <c r="B180" s="17">
        <v>301757.87</v>
      </c>
      <c r="C180" s="17">
        <v>2721000</v>
      </c>
      <c r="D180" s="17">
        <v>2203937.5</v>
      </c>
      <c r="E180" s="17">
        <v>3562634.78</v>
      </c>
      <c r="F180" s="17">
        <v>8824206.0600000005</v>
      </c>
      <c r="G180" s="17">
        <v>3690218.1</v>
      </c>
      <c r="H180" s="17">
        <v>1964869.94</v>
      </c>
      <c r="I180" s="17">
        <v>238266.77</v>
      </c>
      <c r="J180" s="17">
        <v>50879444.07</v>
      </c>
      <c r="K180" s="17">
        <v>23028855.25</v>
      </c>
      <c r="L180" s="30">
        <v>4700000</v>
      </c>
      <c r="M180" s="30">
        <v>-790000</v>
      </c>
    </row>
    <row r="181" spans="1:13" x14ac:dyDescent="0.25">
      <c r="A181" s="21" t="s">
        <v>164</v>
      </c>
      <c r="B181" s="17">
        <v>301757.87</v>
      </c>
      <c r="C181" s="17">
        <v>2721000</v>
      </c>
      <c r="D181" s="17">
        <v>2203937.5</v>
      </c>
      <c r="E181" s="17">
        <v>3562634.78</v>
      </c>
      <c r="F181" s="17">
        <v>8824206.0600000005</v>
      </c>
      <c r="G181" s="17">
        <v>3690218.1</v>
      </c>
      <c r="H181" s="17">
        <v>1964869.94</v>
      </c>
      <c r="I181" s="17">
        <v>238266.77</v>
      </c>
      <c r="J181" s="17">
        <v>50879444.07</v>
      </c>
      <c r="K181" s="17">
        <v>23028855.25</v>
      </c>
      <c r="L181" s="30">
        <v>4700000</v>
      </c>
      <c r="M181" s="30">
        <v>-790000</v>
      </c>
    </row>
    <row r="182" spans="1:13" x14ac:dyDescent="0.25">
      <c r="A182" s="16" t="s">
        <v>445</v>
      </c>
      <c r="B182" s="17">
        <v>144600600</v>
      </c>
      <c r="C182" s="17">
        <v>83468000</v>
      </c>
      <c r="D182" s="17">
        <v>2163600</v>
      </c>
      <c r="E182" s="17">
        <v>107920000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30">
        <v>0</v>
      </c>
      <c r="M182" s="30">
        <v>0</v>
      </c>
    </row>
    <row r="183" spans="1:13" x14ac:dyDescent="0.25">
      <c r="A183" s="21" t="s">
        <v>444</v>
      </c>
      <c r="B183" s="17">
        <v>144600600</v>
      </c>
      <c r="C183" s="17">
        <v>83468000</v>
      </c>
      <c r="D183" s="17">
        <v>2163600</v>
      </c>
      <c r="E183" s="17">
        <v>107920000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30">
        <v>0</v>
      </c>
      <c r="M183" s="30">
        <v>0</v>
      </c>
    </row>
    <row r="184" spans="1:13" x14ac:dyDescent="0.25">
      <c r="A184" s="16" t="s">
        <v>163</v>
      </c>
      <c r="B184" s="17">
        <v>2602500</v>
      </c>
      <c r="C184" s="17">
        <v>5063000</v>
      </c>
      <c r="D184" s="17">
        <v>9822500</v>
      </c>
      <c r="E184" s="17">
        <v>12754000</v>
      </c>
      <c r="F184" s="17">
        <v>52624343.130000003</v>
      </c>
      <c r="G184" s="17">
        <v>24003203.75</v>
      </c>
      <c r="H184" s="17">
        <v>7738500</v>
      </c>
      <c r="I184" s="17">
        <v>39460000</v>
      </c>
      <c r="J184" s="17">
        <v>29088002.329999998</v>
      </c>
      <c r="K184" s="17">
        <v>29672500</v>
      </c>
      <c r="L184" s="30">
        <v>35198000</v>
      </c>
      <c r="M184" s="30">
        <v>7099000</v>
      </c>
    </row>
    <row r="185" spans="1:13" x14ac:dyDescent="0.25">
      <c r="A185" s="21" t="s">
        <v>162</v>
      </c>
      <c r="B185" s="17">
        <v>2602500</v>
      </c>
      <c r="C185" s="17">
        <v>5063000</v>
      </c>
      <c r="D185" s="17">
        <v>9822500</v>
      </c>
      <c r="E185" s="17">
        <v>12754000</v>
      </c>
      <c r="F185" s="17">
        <v>52624343.130000003</v>
      </c>
      <c r="G185" s="17">
        <v>24003203.75</v>
      </c>
      <c r="H185" s="17">
        <v>7738500</v>
      </c>
      <c r="I185" s="17">
        <v>39460000</v>
      </c>
      <c r="J185" s="17">
        <v>29088002.329999998</v>
      </c>
      <c r="K185" s="17">
        <v>29672500</v>
      </c>
      <c r="L185" s="30">
        <v>35198000</v>
      </c>
      <c r="M185" s="30">
        <v>7099000</v>
      </c>
    </row>
    <row r="186" spans="1:13" x14ac:dyDescent="0.25">
      <c r="A186" s="16" t="s">
        <v>161</v>
      </c>
      <c r="B186" s="17">
        <v>407408.73</v>
      </c>
      <c r="C186" s="17">
        <v>29247489.27</v>
      </c>
      <c r="D186" s="17">
        <v>9850563.2100000009</v>
      </c>
      <c r="E186" s="17">
        <v>60289508.810000002</v>
      </c>
      <c r="F186" s="17">
        <v>30004759.73</v>
      </c>
      <c r="G186" s="17">
        <v>7337725.3499999996</v>
      </c>
      <c r="H186" s="17">
        <v>34936391.990000002</v>
      </c>
      <c r="I186" s="17">
        <v>23179598.41</v>
      </c>
      <c r="J186" s="17">
        <v>3338210.69</v>
      </c>
      <c r="K186" s="17">
        <v>9014702.0600000005</v>
      </c>
      <c r="L186" s="30">
        <v>8258244.3399999999</v>
      </c>
      <c r="M186" s="30">
        <v>25141851.350000001</v>
      </c>
    </row>
    <row r="187" spans="1:13" x14ac:dyDescent="0.25">
      <c r="A187" s="21" t="s">
        <v>160</v>
      </c>
      <c r="B187" s="17">
        <v>407408.73</v>
      </c>
      <c r="C187" s="17">
        <v>29247489.27</v>
      </c>
      <c r="D187" s="17">
        <v>9850563.2100000009</v>
      </c>
      <c r="E187" s="17">
        <v>60289508.810000002</v>
      </c>
      <c r="F187" s="17">
        <v>30004759.73</v>
      </c>
      <c r="G187" s="17">
        <v>7337725.3499999996</v>
      </c>
      <c r="H187" s="17">
        <v>34936391.990000002</v>
      </c>
      <c r="I187" s="17">
        <v>23179598.41</v>
      </c>
      <c r="J187" s="17">
        <v>3338210.69</v>
      </c>
      <c r="K187" s="17">
        <v>9014702.0600000005</v>
      </c>
      <c r="L187" s="30">
        <v>8258244.3399999999</v>
      </c>
      <c r="M187" s="30">
        <v>25141851.350000001</v>
      </c>
    </row>
    <row r="188" spans="1:13" x14ac:dyDescent="0.25">
      <c r="A188" s="16" t="s">
        <v>159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115195855.95999999</v>
      </c>
      <c r="J188" s="17">
        <v>0</v>
      </c>
      <c r="K188" s="17">
        <v>0</v>
      </c>
      <c r="L188" s="30">
        <v>0</v>
      </c>
      <c r="M188" s="30">
        <v>0</v>
      </c>
    </row>
    <row r="189" spans="1:13" x14ac:dyDescent="0.25">
      <c r="A189" s="21" t="s">
        <v>158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115195855.95999999</v>
      </c>
      <c r="J189" s="17">
        <v>0</v>
      </c>
      <c r="K189" s="17">
        <v>0</v>
      </c>
      <c r="L189" s="30">
        <v>0</v>
      </c>
      <c r="M189" s="30">
        <v>0</v>
      </c>
    </row>
    <row r="190" spans="1:13" x14ac:dyDescent="0.25">
      <c r="A190" s="16" t="s">
        <v>157</v>
      </c>
      <c r="B190" s="17">
        <v>0</v>
      </c>
      <c r="C190" s="17">
        <v>0</v>
      </c>
      <c r="D190" s="17">
        <v>3886800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30">
        <v>9526500</v>
      </c>
      <c r="M190" s="30">
        <v>0</v>
      </c>
    </row>
    <row r="191" spans="1:13" x14ac:dyDescent="0.25">
      <c r="A191" s="21" t="s">
        <v>156</v>
      </c>
      <c r="B191" s="17">
        <v>0</v>
      </c>
      <c r="C191" s="17">
        <v>0</v>
      </c>
      <c r="D191" s="17">
        <v>3886800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30">
        <v>9526500</v>
      </c>
      <c r="M191" s="30">
        <v>0</v>
      </c>
    </row>
    <row r="192" spans="1:13" x14ac:dyDescent="0.25">
      <c r="A192" s="16" t="s">
        <v>155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30">
        <v>0</v>
      </c>
      <c r="M192" s="30">
        <v>0</v>
      </c>
    </row>
    <row r="193" spans="1:13" x14ac:dyDescent="0.25">
      <c r="A193" s="21" t="s">
        <v>154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30">
        <v>0</v>
      </c>
      <c r="M193" s="30">
        <v>0</v>
      </c>
    </row>
    <row r="194" spans="1:13" x14ac:dyDescent="0.25">
      <c r="A194" s="16" t="s">
        <v>153</v>
      </c>
      <c r="B194" s="17">
        <v>0</v>
      </c>
      <c r="C194" s="17">
        <v>54851400</v>
      </c>
      <c r="D194" s="17">
        <v>16694429.939999999</v>
      </c>
      <c r="E194" s="17">
        <v>1867989.1</v>
      </c>
      <c r="F194" s="17">
        <v>200</v>
      </c>
      <c r="G194" s="17">
        <v>0</v>
      </c>
      <c r="H194" s="17">
        <v>917757</v>
      </c>
      <c r="I194" s="17">
        <v>1138724.3</v>
      </c>
      <c r="J194" s="17">
        <v>85554375.120000005</v>
      </c>
      <c r="K194" s="17">
        <v>65862187.100000001</v>
      </c>
      <c r="L194" s="30">
        <v>64151</v>
      </c>
      <c r="M194" s="30">
        <v>31252505.539999999</v>
      </c>
    </row>
    <row r="195" spans="1:13" x14ac:dyDescent="0.25">
      <c r="A195" s="21" t="s">
        <v>151</v>
      </c>
      <c r="B195" s="17">
        <v>0</v>
      </c>
      <c r="C195" s="17">
        <v>54851400</v>
      </c>
      <c r="D195" s="17">
        <v>16694429.939999999</v>
      </c>
      <c r="E195" s="17">
        <v>1867989.1</v>
      </c>
      <c r="F195" s="17">
        <v>200</v>
      </c>
      <c r="G195" s="17">
        <v>0</v>
      </c>
      <c r="H195" s="17">
        <v>917757</v>
      </c>
      <c r="I195" s="17">
        <v>1138724.3</v>
      </c>
      <c r="J195" s="17">
        <v>85554375.120000005</v>
      </c>
      <c r="K195" s="17">
        <v>65862187.100000001</v>
      </c>
      <c r="L195" s="30">
        <v>64151</v>
      </c>
      <c r="M195" s="30">
        <v>31252505.539999999</v>
      </c>
    </row>
    <row r="196" spans="1:13" x14ac:dyDescent="0.25">
      <c r="A196" s="16" t="s">
        <v>150</v>
      </c>
      <c r="B196" s="17">
        <v>224720</v>
      </c>
      <c r="C196" s="17">
        <v>0</v>
      </c>
      <c r="D196" s="17">
        <v>0</v>
      </c>
      <c r="E196" s="17">
        <v>0</v>
      </c>
      <c r="F196" s="17">
        <v>1493</v>
      </c>
      <c r="G196" s="17">
        <v>12817935.58</v>
      </c>
      <c r="H196" s="17">
        <v>92868</v>
      </c>
      <c r="I196" s="17">
        <v>10660064.789999999</v>
      </c>
      <c r="J196" s="17">
        <v>2302461.11</v>
      </c>
      <c r="K196" s="17">
        <v>24747617.149999999</v>
      </c>
      <c r="L196" s="30">
        <v>24421399.870000001</v>
      </c>
      <c r="M196" s="30">
        <v>4890676.2699999996</v>
      </c>
    </row>
    <row r="197" spans="1:13" x14ac:dyDescent="0.25">
      <c r="A197" s="21" t="s">
        <v>149</v>
      </c>
      <c r="B197" s="17">
        <v>224720</v>
      </c>
      <c r="C197" s="17">
        <v>0</v>
      </c>
      <c r="D197" s="17">
        <v>0</v>
      </c>
      <c r="E197" s="17">
        <v>0</v>
      </c>
      <c r="F197" s="17">
        <v>1493</v>
      </c>
      <c r="G197" s="17">
        <v>12817935.58</v>
      </c>
      <c r="H197" s="17">
        <v>92868</v>
      </c>
      <c r="I197" s="17">
        <v>10660064.789999999</v>
      </c>
      <c r="J197" s="17">
        <v>2302461.11</v>
      </c>
      <c r="K197" s="17">
        <v>24747617.149999999</v>
      </c>
      <c r="L197" s="30">
        <v>24421399.870000001</v>
      </c>
      <c r="M197" s="30">
        <v>4890676.2699999996</v>
      </c>
    </row>
    <row r="198" spans="1:13" x14ac:dyDescent="0.25">
      <c r="A198" s="16" t="s">
        <v>147</v>
      </c>
      <c r="B198" s="17">
        <v>5969783.1399999997</v>
      </c>
      <c r="C198" s="17">
        <v>-27444257.75</v>
      </c>
      <c r="D198" s="17">
        <v>-2092729.66</v>
      </c>
      <c r="E198" s="17">
        <v>43461743.100000001</v>
      </c>
      <c r="F198" s="17">
        <v>35441806.560000002</v>
      </c>
      <c r="G198" s="17">
        <v>39373075.880000003</v>
      </c>
      <c r="H198" s="17">
        <v>39753202.07</v>
      </c>
      <c r="I198" s="17">
        <v>40106725.240000002</v>
      </c>
      <c r="J198" s="17">
        <v>37149421.789999999</v>
      </c>
      <c r="K198" s="17">
        <v>36567029.520000003</v>
      </c>
      <c r="L198" s="30">
        <v>48331106.340000004</v>
      </c>
      <c r="M198" s="30">
        <v>63423892.460000001</v>
      </c>
    </row>
    <row r="199" spans="1:13" x14ac:dyDescent="0.25">
      <c r="A199" s="21" t="s">
        <v>146</v>
      </c>
      <c r="B199" s="17">
        <v>5969783.1399999997</v>
      </c>
      <c r="C199" s="17">
        <v>-27444257.75</v>
      </c>
      <c r="D199" s="17">
        <v>-2092729.66</v>
      </c>
      <c r="E199" s="17">
        <v>43461743.100000001</v>
      </c>
      <c r="F199" s="17">
        <v>35441806.560000002</v>
      </c>
      <c r="G199" s="17">
        <v>39373075.880000003</v>
      </c>
      <c r="H199" s="17">
        <v>39753202.07</v>
      </c>
      <c r="I199" s="17">
        <v>40106725.240000002</v>
      </c>
      <c r="J199" s="17">
        <v>37149421.789999999</v>
      </c>
      <c r="K199" s="17">
        <v>36567029.520000003</v>
      </c>
      <c r="L199" s="30">
        <v>48331106.340000004</v>
      </c>
      <c r="M199" s="30">
        <v>63423892.460000001</v>
      </c>
    </row>
    <row r="200" spans="1:13" x14ac:dyDescent="0.25">
      <c r="A200" s="16" t="s">
        <v>144</v>
      </c>
      <c r="B200" s="17">
        <v>235174767.09999999</v>
      </c>
      <c r="C200" s="17">
        <v>116124213.06999999</v>
      </c>
      <c r="D200" s="17">
        <v>1515752167.49</v>
      </c>
      <c r="E200" s="17">
        <v>104087490.64</v>
      </c>
      <c r="F200" s="17">
        <v>569471718.82000005</v>
      </c>
      <c r="G200" s="17">
        <v>4282324666.5500002</v>
      </c>
      <c r="H200" s="17">
        <v>179462861.72999999</v>
      </c>
      <c r="I200" s="17">
        <v>234494915.31999999</v>
      </c>
      <c r="J200" s="17">
        <v>184686752.06999999</v>
      </c>
      <c r="K200" s="17">
        <v>176572969.81</v>
      </c>
      <c r="L200" s="30">
        <v>238894719.19999999</v>
      </c>
      <c r="M200" s="30">
        <v>272285432.20999998</v>
      </c>
    </row>
    <row r="201" spans="1:13" x14ac:dyDescent="0.25">
      <c r="A201" s="21" t="s">
        <v>143</v>
      </c>
      <c r="B201" s="17">
        <v>235174767.09999999</v>
      </c>
      <c r="C201" s="17">
        <v>116124213.06999999</v>
      </c>
      <c r="D201" s="17">
        <v>1515752167.49</v>
      </c>
      <c r="E201" s="17">
        <v>104087490.64</v>
      </c>
      <c r="F201" s="17">
        <v>569471718.82000005</v>
      </c>
      <c r="G201" s="17">
        <v>4282324666.5500002</v>
      </c>
      <c r="H201" s="17">
        <v>179462861.72999999</v>
      </c>
      <c r="I201" s="17">
        <v>234494915.31999999</v>
      </c>
      <c r="J201" s="17">
        <v>184686752.06999999</v>
      </c>
      <c r="K201" s="17">
        <v>176572969.81</v>
      </c>
      <c r="L201" s="30">
        <v>238894719.19999999</v>
      </c>
      <c r="M201" s="30">
        <v>272285432.20999998</v>
      </c>
    </row>
    <row r="202" spans="1:13" x14ac:dyDescent="0.25">
      <c r="A202" s="16" t="s">
        <v>142</v>
      </c>
      <c r="B202" s="17">
        <v>832599842.87</v>
      </c>
      <c r="C202" s="17">
        <v>1045979010.5700001</v>
      </c>
      <c r="D202" s="17">
        <v>956215988.83000004</v>
      </c>
      <c r="E202" s="17">
        <v>832598973.67999995</v>
      </c>
      <c r="F202" s="17">
        <v>2118296137.9100001</v>
      </c>
      <c r="G202" s="17">
        <v>-148019827.68000001</v>
      </c>
      <c r="H202" s="17">
        <v>-256830083.34</v>
      </c>
      <c r="I202" s="17">
        <v>468966896.50999999</v>
      </c>
      <c r="J202" s="17">
        <v>841816887.38</v>
      </c>
      <c r="K202" s="17">
        <v>2077524884.8599999</v>
      </c>
      <c r="L202" s="30">
        <v>1273060504.6199999</v>
      </c>
      <c r="M202" s="30">
        <v>1310736637.55</v>
      </c>
    </row>
    <row r="203" spans="1:13" x14ac:dyDescent="0.25">
      <c r="A203" s="21" t="s">
        <v>927</v>
      </c>
      <c r="B203" s="17">
        <v>832599842.87</v>
      </c>
      <c r="C203" s="17">
        <v>1045979010.5700001</v>
      </c>
      <c r="D203" s="17">
        <v>956215988.83000004</v>
      </c>
      <c r="E203" s="17">
        <v>832598973.67999995</v>
      </c>
      <c r="F203" s="17">
        <v>2118296137.9100001</v>
      </c>
      <c r="G203" s="17">
        <v>-148019827.68000001</v>
      </c>
      <c r="H203" s="17">
        <v>-256830083.34</v>
      </c>
      <c r="I203" s="17">
        <v>468966896.50999999</v>
      </c>
      <c r="J203" s="17">
        <v>841816887.38</v>
      </c>
      <c r="K203" s="17">
        <v>2077524884.8599999</v>
      </c>
      <c r="L203" s="30">
        <v>1273060504.6199999</v>
      </c>
      <c r="M203" s="30">
        <v>1310736637.55</v>
      </c>
    </row>
    <row r="204" spans="1:13" x14ac:dyDescent="0.25">
      <c r="A204" s="16" t="s">
        <v>1288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30">
        <v>0</v>
      </c>
      <c r="M204" s="30">
        <v>218803632.18000001</v>
      </c>
    </row>
    <row r="205" spans="1:13" x14ac:dyDescent="0.25">
      <c r="A205" s="21" t="s">
        <v>1289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30">
        <v>0</v>
      </c>
      <c r="M205" s="30">
        <v>218803632.18000001</v>
      </c>
    </row>
    <row r="206" spans="1:13" x14ac:dyDescent="0.25">
      <c r="A206" s="16" t="s">
        <v>140</v>
      </c>
      <c r="B206" s="17">
        <v>0</v>
      </c>
      <c r="C206" s="17">
        <v>0</v>
      </c>
      <c r="D206" s="17">
        <v>642510949</v>
      </c>
      <c r="E206" s="17">
        <v>0</v>
      </c>
      <c r="F206" s="17">
        <v>11907576997.129999</v>
      </c>
      <c r="G206" s="17">
        <v>0</v>
      </c>
      <c r="H206" s="17">
        <v>0</v>
      </c>
      <c r="I206" s="17">
        <v>20180953137.669998</v>
      </c>
      <c r="J206" s="17">
        <v>0</v>
      </c>
      <c r="K206" s="17">
        <v>0</v>
      </c>
      <c r="L206" s="30">
        <v>0</v>
      </c>
      <c r="M206" s="30">
        <v>0</v>
      </c>
    </row>
    <row r="207" spans="1:13" x14ac:dyDescent="0.25">
      <c r="A207" s="21" t="s">
        <v>139</v>
      </c>
      <c r="B207" s="17">
        <v>0</v>
      </c>
      <c r="C207" s="17">
        <v>0</v>
      </c>
      <c r="D207" s="17">
        <v>642510949</v>
      </c>
      <c r="E207" s="17">
        <v>0</v>
      </c>
      <c r="F207" s="17">
        <v>11907576997.129999</v>
      </c>
      <c r="G207" s="17">
        <v>0</v>
      </c>
      <c r="H207" s="17">
        <v>0</v>
      </c>
      <c r="I207" s="17">
        <v>20180953137.669998</v>
      </c>
      <c r="J207" s="17">
        <v>0</v>
      </c>
      <c r="K207" s="17">
        <v>0</v>
      </c>
      <c r="L207" s="30">
        <v>0</v>
      </c>
      <c r="M207" s="30">
        <v>0</v>
      </c>
    </row>
    <row r="208" spans="1:13" x14ac:dyDescent="0.25">
      <c r="A208" s="16" t="s">
        <v>138</v>
      </c>
      <c r="B208" s="17">
        <v>0</v>
      </c>
      <c r="C208" s="17">
        <v>0</v>
      </c>
      <c r="D208" s="17">
        <v>0</v>
      </c>
      <c r="E208" s="17">
        <v>0</v>
      </c>
      <c r="F208" s="17">
        <v>1884670000</v>
      </c>
      <c r="G208" s="17">
        <v>1091265000</v>
      </c>
      <c r="H208" s="17">
        <v>1235712500</v>
      </c>
      <c r="I208" s="17">
        <v>1261362500</v>
      </c>
      <c r="J208" s="17">
        <v>1178237500</v>
      </c>
      <c r="K208" s="17">
        <v>991990000</v>
      </c>
      <c r="L208" s="30">
        <v>899513500</v>
      </c>
      <c r="M208" s="30">
        <v>851342500</v>
      </c>
    </row>
    <row r="209" spans="1:13" x14ac:dyDescent="0.25">
      <c r="A209" s="21" t="s">
        <v>137</v>
      </c>
      <c r="B209" s="17">
        <v>0</v>
      </c>
      <c r="C209" s="17">
        <v>0</v>
      </c>
      <c r="D209" s="17">
        <v>0</v>
      </c>
      <c r="E209" s="17">
        <v>0</v>
      </c>
      <c r="F209" s="17">
        <v>1884670000</v>
      </c>
      <c r="G209" s="17">
        <v>1091265000</v>
      </c>
      <c r="H209" s="17">
        <v>1235712500</v>
      </c>
      <c r="I209" s="17">
        <v>1261362500</v>
      </c>
      <c r="J209" s="17">
        <v>1178237500</v>
      </c>
      <c r="K209" s="17">
        <v>991990000</v>
      </c>
      <c r="L209" s="30">
        <v>899513500</v>
      </c>
      <c r="M209" s="30">
        <v>851342500</v>
      </c>
    </row>
    <row r="210" spans="1:13" x14ac:dyDescent="0.25">
      <c r="A210" s="16" t="s">
        <v>134</v>
      </c>
      <c r="B210" s="17">
        <v>0</v>
      </c>
      <c r="C210" s="17">
        <v>6695386364.5799999</v>
      </c>
      <c r="D210" s="17">
        <v>6695386364.5799999</v>
      </c>
      <c r="E210" s="17">
        <v>0</v>
      </c>
      <c r="F210" s="17">
        <v>13390772729.34</v>
      </c>
      <c r="G210" s="17">
        <v>6695386364.4200001</v>
      </c>
      <c r="H210" s="17">
        <v>6695386364.0799999</v>
      </c>
      <c r="I210" s="17">
        <v>6695386365.0799999</v>
      </c>
      <c r="J210" s="17">
        <v>0</v>
      </c>
      <c r="K210" s="17">
        <v>6695386364.5</v>
      </c>
      <c r="L210" s="30">
        <v>13390772405.17</v>
      </c>
      <c r="M210" s="30">
        <v>6695300000</v>
      </c>
    </row>
    <row r="211" spans="1:13" x14ac:dyDescent="0.25">
      <c r="A211" s="21" t="s">
        <v>133</v>
      </c>
      <c r="B211" s="17">
        <v>0</v>
      </c>
      <c r="C211" s="17">
        <v>6695386364.5799999</v>
      </c>
      <c r="D211" s="17">
        <v>6695386364.5799999</v>
      </c>
      <c r="E211" s="17">
        <v>0</v>
      </c>
      <c r="F211" s="17">
        <v>13390772729.34</v>
      </c>
      <c r="G211" s="17">
        <v>6695386364.4200001</v>
      </c>
      <c r="H211" s="17">
        <v>6695386364.0799999</v>
      </c>
      <c r="I211" s="17">
        <v>6695386365.0799999</v>
      </c>
      <c r="J211" s="17">
        <v>0</v>
      </c>
      <c r="K211" s="17">
        <v>6695386364.5</v>
      </c>
      <c r="L211" s="30">
        <v>13390772405.17</v>
      </c>
      <c r="M211" s="30">
        <v>6695300000</v>
      </c>
    </row>
    <row r="212" spans="1:13" x14ac:dyDescent="0.25">
      <c r="A212" s="16" t="s">
        <v>132</v>
      </c>
      <c r="B212" s="17">
        <v>0</v>
      </c>
      <c r="C212" s="17">
        <v>0</v>
      </c>
      <c r="D212" s="17">
        <v>7960529344.0600004</v>
      </c>
      <c r="E212" s="17">
        <v>0</v>
      </c>
      <c r="F212" s="17">
        <v>9777745484.9400005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30">
        <v>0</v>
      </c>
      <c r="M212" s="30">
        <v>0</v>
      </c>
    </row>
    <row r="213" spans="1:13" x14ac:dyDescent="0.25">
      <c r="A213" s="21" t="s">
        <v>131</v>
      </c>
      <c r="B213" s="17">
        <v>0</v>
      </c>
      <c r="C213" s="17">
        <v>0</v>
      </c>
      <c r="D213" s="17">
        <v>7960529344.0600004</v>
      </c>
      <c r="E213" s="17">
        <v>0</v>
      </c>
      <c r="F213" s="17">
        <v>9777745484.9400005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30">
        <v>0</v>
      </c>
      <c r="M213" s="30">
        <v>0</v>
      </c>
    </row>
    <row r="214" spans="1:13" x14ac:dyDescent="0.25">
      <c r="A214" s="16" t="s">
        <v>130</v>
      </c>
      <c r="B214" s="17">
        <v>0</v>
      </c>
      <c r="C214" s="17">
        <v>4305035000</v>
      </c>
      <c r="D214" s="17">
        <v>4448426228.8900003</v>
      </c>
      <c r="E214" s="17">
        <v>0</v>
      </c>
      <c r="F214" s="17">
        <v>8794219364.1700001</v>
      </c>
      <c r="G214" s="17">
        <v>0</v>
      </c>
      <c r="H214" s="17">
        <v>0</v>
      </c>
      <c r="I214" s="17">
        <v>14239065200.15</v>
      </c>
      <c r="J214" s="17">
        <v>4311514351.9799995</v>
      </c>
      <c r="K214" s="17">
        <v>0</v>
      </c>
      <c r="L214" s="30">
        <v>8752350000</v>
      </c>
      <c r="M214" s="30">
        <v>5149389854.8100004</v>
      </c>
    </row>
    <row r="215" spans="1:13" x14ac:dyDescent="0.25">
      <c r="A215" s="21" t="s">
        <v>129</v>
      </c>
      <c r="B215" s="17">
        <v>0</v>
      </c>
      <c r="C215" s="17">
        <v>4305035000</v>
      </c>
      <c r="D215" s="17">
        <v>4448426228.8900003</v>
      </c>
      <c r="E215" s="17">
        <v>0</v>
      </c>
      <c r="F215" s="17">
        <v>8794219364.1700001</v>
      </c>
      <c r="G215" s="17">
        <v>0</v>
      </c>
      <c r="H215" s="17">
        <v>0</v>
      </c>
      <c r="I215" s="17">
        <v>14239065200.15</v>
      </c>
      <c r="J215" s="17">
        <v>4311514351.9799995</v>
      </c>
      <c r="K215" s="17">
        <v>0</v>
      </c>
      <c r="L215" s="30">
        <v>8752350000</v>
      </c>
      <c r="M215" s="30">
        <v>5149389854.8100004</v>
      </c>
    </row>
    <row r="216" spans="1:13" x14ac:dyDescent="0.25">
      <c r="A216" s="16" t="s">
        <v>128</v>
      </c>
      <c r="B216" s="17">
        <v>0</v>
      </c>
      <c r="C216" s="17">
        <v>598100000</v>
      </c>
      <c r="D216" s="17">
        <v>0</v>
      </c>
      <c r="E216" s="17">
        <v>0</v>
      </c>
      <c r="F216" s="17">
        <v>1474828340</v>
      </c>
      <c r="G216" s="17">
        <v>675795520</v>
      </c>
      <c r="H216" s="17">
        <v>681396550</v>
      </c>
      <c r="I216" s="17">
        <v>675011925</v>
      </c>
      <c r="J216" s="17">
        <v>676217973</v>
      </c>
      <c r="K216" s="17">
        <v>0</v>
      </c>
      <c r="L216" s="30">
        <v>1199685292</v>
      </c>
      <c r="M216" s="30">
        <v>598103520</v>
      </c>
    </row>
    <row r="217" spans="1:13" x14ac:dyDescent="0.25">
      <c r="A217" s="21" t="s">
        <v>127</v>
      </c>
      <c r="B217" s="17">
        <v>0</v>
      </c>
      <c r="C217" s="17">
        <v>598100000</v>
      </c>
      <c r="D217" s="17">
        <v>0</v>
      </c>
      <c r="E217" s="17">
        <v>0</v>
      </c>
      <c r="F217" s="17">
        <v>1474828340</v>
      </c>
      <c r="G217" s="17">
        <v>675795520</v>
      </c>
      <c r="H217" s="17">
        <v>681396550</v>
      </c>
      <c r="I217" s="17">
        <v>675011925</v>
      </c>
      <c r="J217" s="17">
        <v>676217973</v>
      </c>
      <c r="K217" s="17">
        <v>0</v>
      </c>
      <c r="L217" s="30">
        <v>1199685292</v>
      </c>
      <c r="M217" s="30">
        <v>598103520</v>
      </c>
    </row>
    <row r="218" spans="1:13" x14ac:dyDescent="0.25">
      <c r="A218" s="16" t="s">
        <v>126</v>
      </c>
      <c r="B218" s="17">
        <v>0</v>
      </c>
      <c r="C218" s="17">
        <v>0</v>
      </c>
      <c r="D218" s="17">
        <v>170814380</v>
      </c>
      <c r="E218" s="17">
        <v>0</v>
      </c>
      <c r="F218" s="17">
        <v>228302016</v>
      </c>
      <c r="G218" s="17">
        <v>230700386</v>
      </c>
      <c r="H218" s="17">
        <v>116276202</v>
      </c>
      <c r="I218" s="17">
        <v>94588548</v>
      </c>
      <c r="J218" s="17">
        <v>128014549</v>
      </c>
      <c r="K218" s="17">
        <v>116041357</v>
      </c>
      <c r="L218" s="30">
        <v>187871467</v>
      </c>
      <c r="M218" s="30">
        <v>390759338</v>
      </c>
    </row>
    <row r="219" spans="1:13" x14ac:dyDescent="0.25">
      <c r="A219" s="21" t="s">
        <v>125</v>
      </c>
      <c r="B219" s="17">
        <v>0</v>
      </c>
      <c r="C219" s="17">
        <v>0</v>
      </c>
      <c r="D219" s="17">
        <v>170814380</v>
      </c>
      <c r="E219" s="17">
        <v>0</v>
      </c>
      <c r="F219" s="17">
        <v>228302016</v>
      </c>
      <c r="G219" s="17">
        <v>230700386</v>
      </c>
      <c r="H219" s="17">
        <v>116276202</v>
      </c>
      <c r="I219" s="17">
        <v>94588548</v>
      </c>
      <c r="J219" s="17">
        <v>128014549</v>
      </c>
      <c r="K219" s="17">
        <v>116041357</v>
      </c>
      <c r="L219" s="30">
        <v>187871467</v>
      </c>
      <c r="M219" s="30">
        <v>390759338</v>
      </c>
    </row>
    <row r="220" spans="1:13" x14ac:dyDescent="0.25">
      <c r="A220" s="16" t="s">
        <v>122</v>
      </c>
      <c r="B220" s="17">
        <v>233446278.16</v>
      </c>
      <c r="C220" s="17">
        <v>233490473.31</v>
      </c>
      <c r="D220" s="17">
        <v>233470210.62</v>
      </c>
      <c r="E220" s="17">
        <v>232918848.61000001</v>
      </c>
      <c r="F220" s="17">
        <v>232052414.88999999</v>
      </c>
      <c r="G220" s="17">
        <v>229134513.34999999</v>
      </c>
      <c r="H220" s="17">
        <v>229037083.81999999</v>
      </c>
      <c r="I220" s="17">
        <v>229475038.19999999</v>
      </c>
      <c r="J220" s="17">
        <v>235846015.16999999</v>
      </c>
      <c r="K220" s="17">
        <v>224573323.56</v>
      </c>
      <c r="L220" s="30">
        <v>226700100.00999999</v>
      </c>
      <c r="M220" s="30">
        <v>658644083.14999998</v>
      </c>
    </row>
    <row r="221" spans="1:13" x14ac:dyDescent="0.25">
      <c r="A221" s="21" t="s">
        <v>121</v>
      </c>
      <c r="B221" s="17">
        <v>233446278.16</v>
      </c>
      <c r="C221" s="17">
        <v>233490473.31</v>
      </c>
      <c r="D221" s="17">
        <v>233470210.62</v>
      </c>
      <c r="E221" s="17">
        <v>232918848.61000001</v>
      </c>
      <c r="F221" s="17">
        <v>232052414.88999999</v>
      </c>
      <c r="G221" s="17">
        <v>229134513.34999999</v>
      </c>
      <c r="H221" s="17">
        <v>229037083.81999999</v>
      </c>
      <c r="I221" s="17">
        <v>229475038.19999999</v>
      </c>
      <c r="J221" s="17">
        <v>235846015.16999999</v>
      </c>
      <c r="K221" s="17">
        <v>224573323.56</v>
      </c>
      <c r="L221" s="30">
        <v>226700100.00999999</v>
      </c>
      <c r="M221" s="30">
        <v>658644083.14999998</v>
      </c>
    </row>
    <row r="222" spans="1:13" x14ac:dyDescent="0.25">
      <c r="A222" s="16" t="s">
        <v>120</v>
      </c>
      <c r="B222" s="17">
        <v>0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728114998.16999996</v>
      </c>
      <c r="I222" s="17">
        <v>0</v>
      </c>
      <c r="J222" s="17">
        <v>0</v>
      </c>
      <c r="K222" s="17">
        <v>0</v>
      </c>
      <c r="L222" s="30">
        <v>0</v>
      </c>
      <c r="M222" s="30">
        <v>0</v>
      </c>
    </row>
    <row r="223" spans="1:13" x14ac:dyDescent="0.25">
      <c r="A223" s="21" t="s">
        <v>119</v>
      </c>
      <c r="B223" s="17">
        <v>0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728114998.16999996</v>
      </c>
      <c r="I223" s="17">
        <v>0</v>
      </c>
      <c r="J223" s="17">
        <v>0</v>
      </c>
      <c r="K223" s="17">
        <v>0</v>
      </c>
      <c r="L223" s="30">
        <v>0</v>
      </c>
      <c r="M223" s="30">
        <v>0</v>
      </c>
    </row>
    <row r="224" spans="1:13" x14ac:dyDescent="0.25">
      <c r="A224" s="16" t="s">
        <v>118</v>
      </c>
      <c r="B224" s="17">
        <v>0</v>
      </c>
      <c r="C224" s="17">
        <v>0</v>
      </c>
      <c r="D224" s="17">
        <v>102521359.28</v>
      </c>
      <c r="E224" s="17">
        <v>0</v>
      </c>
      <c r="F224" s="17">
        <v>46757123.600000001</v>
      </c>
      <c r="G224" s="17">
        <v>97071463.299999997</v>
      </c>
      <c r="H224" s="17">
        <v>43126229.109999999</v>
      </c>
      <c r="I224" s="17">
        <v>0</v>
      </c>
      <c r="J224" s="17">
        <v>0</v>
      </c>
      <c r="K224" s="17">
        <v>0</v>
      </c>
      <c r="L224" s="30">
        <v>138017195.84999999</v>
      </c>
      <c r="M224" s="30">
        <v>0</v>
      </c>
    </row>
    <row r="225" spans="1:13" x14ac:dyDescent="0.25">
      <c r="A225" s="21" t="s">
        <v>117</v>
      </c>
      <c r="B225" s="17">
        <v>0</v>
      </c>
      <c r="C225" s="17">
        <v>0</v>
      </c>
      <c r="D225" s="17">
        <v>102521359.28</v>
      </c>
      <c r="E225" s="17">
        <v>0</v>
      </c>
      <c r="F225" s="17">
        <v>46757123.600000001</v>
      </c>
      <c r="G225" s="17">
        <v>97071463.299999997</v>
      </c>
      <c r="H225" s="17">
        <v>43126229.109999999</v>
      </c>
      <c r="I225" s="17">
        <v>0</v>
      </c>
      <c r="J225" s="17">
        <v>0</v>
      </c>
      <c r="K225" s="17">
        <v>0</v>
      </c>
      <c r="L225" s="30">
        <v>138017195.84999999</v>
      </c>
      <c r="M225" s="30">
        <v>0</v>
      </c>
    </row>
    <row r="226" spans="1:13" x14ac:dyDescent="0.25">
      <c r="A226" s="16" t="s">
        <v>1290</v>
      </c>
      <c r="B226" s="17">
        <v>0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240044532</v>
      </c>
      <c r="L226" s="30">
        <v>0</v>
      </c>
      <c r="M226" s="30">
        <v>0</v>
      </c>
    </row>
    <row r="227" spans="1:13" x14ac:dyDescent="0.25">
      <c r="A227" s="21" t="s">
        <v>1291</v>
      </c>
      <c r="B227" s="17">
        <v>0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0</v>
      </c>
      <c r="J227" s="17">
        <v>0</v>
      </c>
      <c r="K227" s="17">
        <v>240044532</v>
      </c>
      <c r="L227" s="30">
        <v>0</v>
      </c>
      <c r="M227" s="30">
        <v>0</v>
      </c>
    </row>
    <row r="228" spans="1:13" x14ac:dyDescent="0.25">
      <c r="A228" s="16" t="s">
        <v>1292</v>
      </c>
      <c r="B228" s="17">
        <v>0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30">
        <v>0</v>
      </c>
      <c r="M228" s="30">
        <v>5596507098.8800001</v>
      </c>
    </row>
    <row r="229" spans="1:13" x14ac:dyDescent="0.25">
      <c r="A229" s="21" t="s">
        <v>1293</v>
      </c>
      <c r="B229" s="17">
        <v>0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30">
        <v>0</v>
      </c>
      <c r="M229" s="30">
        <v>5596507098.8800001</v>
      </c>
    </row>
    <row r="230" spans="1:13" x14ac:dyDescent="0.25">
      <c r="A230" s="16" t="s">
        <v>115</v>
      </c>
      <c r="B230" s="17">
        <v>0</v>
      </c>
      <c r="C230" s="17">
        <v>0</v>
      </c>
      <c r="D230" s="17">
        <v>4200000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30">
        <v>0</v>
      </c>
      <c r="M230" s="30">
        <v>0</v>
      </c>
    </row>
    <row r="231" spans="1:13" x14ac:dyDescent="0.25">
      <c r="A231" s="21" t="s">
        <v>114</v>
      </c>
      <c r="B231" s="17">
        <v>0</v>
      </c>
      <c r="C231" s="17">
        <v>0</v>
      </c>
      <c r="D231" s="17">
        <v>4200000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30">
        <v>0</v>
      </c>
      <c r="M231" s="30">
        <v>0</v>
      </c>
    </row>
    <row r="232" spans="1:13" x14ac:dyDescent="0.25">
      <c r="A232" s="16" t="s">
        <v>113</v>
      </c>
      <c r="B232" s="17">
        <v>0</v>
      </c>
      <c r="C232" s="17">
        <v>0</v>
      </c>
      <c r="D232" s="17">
        <v>0</v>
      </c>
      <c r="E232" s="17">
        <v>0</v>
      </c>
      <c r="F232" s="17">
        <v>309000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30">
        <v>0</v>
      </c>
      <c r="M232" s="30">
        <v>0</v>
      </c>
    </row>
    <row r="233" spans="1:13" x14ac:dyDescent="0.25">
      <c r="A233" s="21" t="s">
        <v>112</v>
      </c>
      <c r="B233" s="17">
        <v>0</v>
      </c>
      <c r="C233" s="17">
        <v>0</v>
      </c>
      <c r="D233" s="17">
        <v>0</v>
      </c>
      <c r="E233" s="17">
        <v>0</v>
      </c>
      <c r="F233" s="17">
        <v>309000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30">
        <v>0</v>
      </c>
      <c r="M233" s="30">
        <v>0</v>
      </c>
    </row>
    <row r="234" spans="1:13" x14ac:dyDescent="0.25">
      <c r="A234" s="16" t="s">
        <v>111</v>
      </c>
      <c r="B234" s="17">
        <v>0</v>
      </c>
      <c r="C234" s="17">
        <v>0</v>
      </c>
      <c r="D234" s="17">
        <v>29100000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30">
        <v>0</v>
      </c>
      <c r="M234" s="30">
        <v>0</v>
      </c>
    </row>
    <row r="235" spans="1:13" x14ac:dyDescent="0.25">
      <c r="A235" s="21" t="s">
        <v>110</v>
      </c>
      <c r="B235" s="17">
        <v>0</v>
      </c>
      <c r="C235" s="17">
        <v>0</v>
      </c>
      <c r="D235" s="17">
        <v>29100000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30">
        <v>0</v>
      </c>
      <c r="M235" s="30">
        <v>0</v>
      </c>
    </row>
    <row r="236" spans="1:13" x14ac:dyDescent="0.25">
      <c r="A236" s="16" t="s">
        <v>109</v>
      </c>
      <c r="B236" s="17">
        <v>0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5100000</v>
      </c>
      <c r="I236" s="17">
        <v>-5100000</v>
      </c>
      <c r="J236" s="17">
        <v>0</v>
      </c>
      <c r="K236" s="17">
        <v>0</v>
      </c>
      <c r="L236" s="30">
        <v>0</v>
      </c>
      <c r="M236" s="30">
        <v>5100000</v>
      </c>
    </row>
    <row r="237" spans="1:13" x14ac:dyDescent="0.25">
      <c r="A237" s="21" t="s">
        <v>108</v>
      </c>
      <c r="B237" s="17">
        <v>0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5100000</v>
      </c>
      <c r="I237" s="17">
        <v>-5100000</v>
      </c>
      <c r="J237" s="17">
        <v>0</v>
      </c>
      <c r="K237" s="17">
        <v>0</v>
      </c>
      <c r="L237" s="30">
        <v>0</v>
      </c>
      <c r="M237" s="30">
        <v>5100000</v>
      </c>
    </row>
    <row r="238" spans="1:13" x14ac:dyDescent="0.25">
      <c r="A238" s="16" t="s">
        <v>107</v>
      </c>
      <c r="B238" s="17">
        <v>0</v>
      </c>
      <c r="C238" s="17">
        <v>0</v>
      </c>
      <c r="D238" s="17">
        <v>42400000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30">
        <v>0</v>
      </c>
      <c r="M238" s="30">
        <v>0</v>
      </c>
    </row>
    <row r="239" spans="1:13" x14ac:dyDescent="0.25">
      <c r="A239" s="21" t="s">
        <v>106</v>
      </c>
      <c r="B239" s="17">
        <v>0</v>
      </c>
      <c r="C239" s="17">
        <v>0</v>
      </c>
      <c r="D239" s="17">
        <v>42400000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30">
        <v>0</v>
      </c>
      <c r="M239" s="30">
        <v>0</v>
      </c>
    </row>
    <row r="240" spans="1:13" x14ac:dyDescent="0.25">
      <c r="A240" s="16" t="s">
        <v>105</v>
      </c>
      <c r="B240" s="17">
        <v>0</v>
      </c>
      <c r="C240" s="17">
        <v>0</v>
      </c>
      <c r="D240" s="17">
        <v>0</v>
      </c>
      <c r="E240" s="17">
        <v>0</v>
      </c>
      <c r="F240" s="17">
        <v>38300000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30">
        <v>0</v>
      </c>
      <c r="M240" s="30">
        <v>0</v>
      </c>
    </row>
    <row r="241" spans="1:13" x14ac:dyDescent="0.25">
      <c r="A241" s="21" t="s">
        <v>104</v>
      </c>
      <c r="B241" s="17">
        <v>0</v>
      </c>
      <c r="C241" s="17">
        <v>0</v>
      </c>
      <c r="D241" s="17">
        <v>0</v>
      </c>
      <c r="E241" s="17">
        <v>0</v>
      </c>
      <c r="F241" s="17">
        <v>38300000</v>
      </c>
      <c r="G241" s="17">
        <v>0</v>
      </c>
      <c r="H241" s="17">
        <v>0</v>
      </c>
      <c r="I241" s="17">
        <v>0</v>
      </c>
      <c r="J241" s="17">
        <v>0</v>
      </c>
      <c r="K241" s="17">
        <v>0</v>
      </c>
      <c r="L241" s="30">
        <v>0</v>
      </c>
      <c r="M241" s="30">
        <v>0</v>
      </c>
    </row>
    <row r="242" spans="1:13" x14ac:dyDescent="0.25">
      <c r="A242" s="16" t="s">
        <v>103</v>
      </c>
      <c r="B242" s="17">
        <v>0</v>
      </c>
      <c r="C242" s="17">
        <v>0</v>
      </c>
      <c r="D242" s="17">
        <v>80000000</v>
      </c>
      <c r="E242" s="17">
        <v>0</v>
      </c>
      <c r="F242" s="17">
        <v>0</v>
      </c>
      <c r="G242" s="17">
        <v>6500000</v>
      </c>
      <c r="H242" s="17">
        <v>0</v>
      </c>
      <c r="I242" s="17">
        <v>0</v>
      </c>
      <c r="J242" s="17">
        <v>0</v>
      </c>
      <c r="K242" s="17">
        <v>0</v>
      </c>
      <c r="L242" s="30">
        <v>0</v>
      </c>
      <c r="M242" s="30">
        <v>0</v>
      </c>
    </row>
    <row r="243" spans="1:13" x14ac:dyDescent="0.25">
      <c r="A243" s="21" t="s">
        <v>102</v>
      </c>
      <c r="B243" s="17">
        <v>0</v>
      </c>
      <c r="C243" s="17">
        <v>0</v>
      </c>
      <c r="D243" s="17">
        <v>80000000</v>
      </c>
      <c r="E243" s="17">
        <v>0</v>
      </c>
      <c r="F243" s="17">
        <v>0</v>
      </c>
      <c r="G243" s="17">
        <v>6500000</v>
      </c>
      <c r="H243" s="17">
        <v>0</v>
      </c>
      <c r="I243" s="17">
        <v>0</v>
      </c>
      <c r="J243" s="17">
        <v>0</v>
      </c>
      <c r="K243" s="17">
        <v>0</v>
      </c>
      <c r="L243" s="30">
        <v>0</v>
      </c>
      <c r="M243" s="30">
        <v>0</v>
      </c>
    </row>
    <row r="244" spans="1:13" x14ac:dyDescent="0.25">
      <c r="A244" s="16" t="s">
        <v>101</v>
      </c>
      <c r="B244" s="17">
        <v>0</v>
      </c>
      <c r="C244" s="17">
        <v>0</v>
      </c>
      <c r="D244" s="17">
        <v>6700000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30">
        <v>0</v>
      </c>
      <c r="M244" s="30">
        <v>0</v>
      </c>
    </row>
    <row r="245" spans="1:13" x14ac:dyDescent="0.25">
      <c r="A245" s="21" t="s">
        <v>100</v>
      </c>
      <c r="B245" s="17">
        <v>0</v>
      </c>
      <c r="C245" s="17">
        <v>0</v>
      </c>
      <c r="D245" s="17">
        <v>6700000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30">
        <v>0</v>
      </c>
      <c r="M245" s="30">
        <v>0</v>
      </c>
    </row>
    <row r="246" spans="1:13" x14ac:dyDescent="0.25">
      <c r="A246" s="16" t="s">
        <v>99</v>
      </c>
      <c r="B246" s="17">
        <v>0</v>
      </c>
      <c r="C246" s="17">
        <v>0</v>
      </c>
      <c r="D246" s="17">
        <v>37900000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30">
        <v>0</v>
      </c>
      <c r="M246" s="30">
        <v>0</v>
      </c>
    </row>
    <row r="247" spans="1:13" x14ac:dyDescent="0.25">
      <c r="A247" s="21" t="s">
        <v>98</v>
      </c>
      <c r="B247" s="17">
        <v>0</v>
      </c>
      <c r="C247" s="17">
        <v>0</v>
      </c>
      <c r="D247" s="17">
        <v>37900000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30">
        <v>0</v>
      </c>
      <c r="M247" s="30">
        <v>0</v>
      </c>
    </row>
    <row r="248" spans="1:13" x14ac:dyDescent="0.25">
      <c r="A248" s="16" t="s">
        <v>97</v>
      </c>
      <c r="B248" s="17">
        <v>0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30">
        <v>0</v>
      </c>
      <c r="M248" s="30">
        <v>0</v>
      </c>
    </row>
    <row r="249" spans="1:13" x14ac:dyDescent="0.25">
      <c r="A249" s="21" t="s">
        <v>96</v>
      </c>
      <c r="B249" s="17">
        <v>0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30">
        <v>0</v>
      </c>
      <c r="M249" s="30">
        <v>0</v>
      </c>
    </row>
    <row r="250" spans="1:13" x14ac:dyDescent="0.25">
      <c r="A250" s="16" t="s">
        <v>95</v>
      </c>
      <c r="B250" s="17">
        <v>0</v>
      </c>
      <c r="C250" s="17">
        <v>0</v>
      </c>
      <c r="D250" s="17">
        <v>125500000</v>
      </c>
      <c r="E250" s="17">
        <v>0</v>
      </c>
      <c r="F250" s="17">
        <v>0</v>
      </c>
      <c r="G250" s="17">
        <v>0</v>
      </c>
      <c r="H250" s="17">
        <v>0</v>
      </c>
      <c r="I250" s="17">
        <v>6071863488.3999996</v>
      </c>
      <c r="J250" s="17">
        <v>0</v>
      </c>
      <c r="K250" s="17">
        <v>0</v>
      </c>
      <c r="L250" s="30">
        <v>-6071863488.3999996</v>
      </c>
      <c r="M250" s="30">
        <v>0</v>
      </c>
    </row>
    <row r="251" spans="1:13" x14ac:dyDescent="0.25">
      <c r="A251" s="21" t="s">
        <v>94</v>
      </c>
      <c r="B251" s="17">
        <v>0</v>
      </c>
      <c r="C251" s="17">
        <v>0</v>
      </c>
      <c r="D251" s="17">
        <v>125500000</v>
      </c>
      <c r="E251" s="17">
        <v>0</v>
      </c>
      <c r="F251" s="17">
        <v>0</v>
      </c>
      <c r="G251" s="17">
        <v>0</v>
      </c>
      <c r="H251" s="17">
        <v>0</v>
      </c>
      <c r="I251" s="17">
        <v>6071863488.3999996</v>
      </c>
      <c r="J251" s="17">
        <v>0</v>
      </c>
      <c r="K251" s="17">
        <v>0</v>
      </c>
      <c r="L251" s="30">
        <v>-6071863488.3999996</v>
      </c>
      <c r="M251" s="30">
        <v>0</v>
      </c>
    </row>
    <row r="252" spans="1:13" x14ac:dyDescent="0.25">
      <c r="A252" s="16" t="s">
        <v>93</v>
      </c>
      <c r="B252" s="17">
        <v>0</v>
      </c>
      <c r="C252" s="17">
        <v>0</v>
      </c>
      <c r="D252" s="17">
        <v>6200000</v>
      </c>
      <c r="E252" s="17">
        <v>0</v>
      </c>
      <c r="F252" s="17">
        <v>0</v>
      </c>
      <c r="G252" s="17">
        <v>6200000</v>
      </c>
      <c r="H252" s="17">
        <v>0</v>
      </c>
      <c r="I252" s="17">
        <v>0</v>
      </c>
      <c r="J252" s="17">
        <v>6200000</v>
      </c>
      <c r="K252" s="17">
        <v>0</v>
      </c>
      <c r="L252" s="30">
        <v>0</v>
      </c>
      <c r="M252" s="30">
        <v>6200000</v>
      </c>
    </row>
    <row r="253" spans="1:13" x14ac:dyDescent="0.25">
      <c r="A253" s="21" t="s">
        <v>92</v>
      </c>
      <c r="B253" s="17">
        <v>0</v>
      </c>
      <c r="C253" s="17">
        <v>0</v>
      </c>
      <c r="D253" s="17">
        <v>6200000</v>
      </c>
      <c r="E253" s="17">
        <v>0</v>
      </c>
      <c r="F253" s="17">
        <v>0</v>
      </c>
      <c r="G253" s="17">
        <v>6200000</v>
      </c>
      <c r="H253" s="17">
        <v>0</v>
      </c>
      <c r="I253" s="17">
        <v>0</v>
      </c>
      <c r="J253" s="17">
        <v>6200000</v>
      </c>
      <c r="K253" s="17">
        <v>0</v>
      </c>
      <c r="L253" s="30">
        <v>0</v>
      </c>
      <c r="M253" s="30">
        <v>6200000</v>
      </c>
    </row>
    <row r="254" spans="1:13" x14ac:dyDescent="0.25">
      <c r="A254" s="16" t="s">
        <v>91</v>
      </c>
      <c r="B254" s="17">
        <v>0</v>
      </c>
      <c r="C254" s="17">
        <v>0</v>
      </c>
      <c r="D254" s="17">
        <v>0</v>
      </c>
      <c r="E254" s="17">
        <v>3035931744.1999998</v>
      </c>
      <c r="F254" s="17">
        <v>3035931744.1999998</v>
      </c>
      <c r="G254" s="17">
        <v>0</v>
      </c>
      <c r="H254" s="17">
        <v>0</v>
      </c>
      <c r="I254" s="17">
        <v>-6071863488.3999996</v>
      </c>
      <c r="J254" s="17">
        <v>0</v>
      </c>
      <c r="K254" s="17">
        <v>0</v>
      </c>
      <c r="L254" s="30">
        <v>6071863488.3999996</v>
      </c>
      <c r="M254" s="30">
        <v>0</v>
      </c>
    </row>
    <row r="255" spans="1:13" x14ac:dyDescent="0.25">
      <c r="A255" s="21" t="s">
        <v>90</v>
      </c>
      <c r="B255" s="17">
        <v>0</v>
      </c>
      <c r="C255" s="17">
        <v>0</v>
      </c>
      <c r="D255" s="17">
        <v>0</v>
      </c>
      <c r="E255" s="17">
        <v>3035931744.1999998</v>
      </c>
      <c r="F255" s="17">
        <v>3035931744.1999998</v>
      </c>
      <c r="G255" s="17">
        <v>0</v>
      </c>
      <c r="H255" s="17">
        <v>0</v>
      </c>
      <c r="I255" s="17">
        <v>-6071863488.3999996</v>
      </c>
      <c r="J255" s="17">
        <v>0</v>
      </c>
      <c r="K255" s="17">
        <v>0</v>
      </c>
      <c r="L255" s="30">
        <v>6071863488.3999996</v>
      </c>
      <c r="M255" s="30">
        <v>0</v>
      </c>
    </row>
    <row r="256" spans="1:13" x14ac:dyDescent="0.25">
      <c r="A256" s="16" t="s">
        <v>89</v>
      </c>
      <c r="B256" s="17">
        <v>0</v>
      </c>
      <c r="C256" s="17">
        <v>33054268.75</v>
      </c>
      <c r="D256" s="17">
        <v>66108537.5</v>
      </c>
      <c r="E256" s="17">
        <v>0</v>
      </c>
      <c r="F256" s="17">
        <v>66108537.5</v>
      </c>
      <c r="G256" s="17">
        <v>33054268.75</v>
      </c>
      <c r="H256" s="17">
        <v>33054268.75</v>
      </c>
      <c r="I256" s="17">
        <v>0</v>
      </c>
      <c r="J256" s="17">
        <v>66108537.5</v>
      </c>
      <c r="K256" s="17">
        <v>33054268.75</v>
      </c>
      <c r="L256" s="30">
        <v>0</v>
      </c>
      <c r="M256" s="30">
        <v>66108537.5</v>
      </c>
    </row>
    <row r="257" spans="1:13" x14ac:dyDescent="0.25">
      <c r="A257" s="21" t="s">
        <v>88</v>
      </c>
      <c r="B257" s="17">
        <v>0</v>
      </c>
      <c r="C257" s="17">
        <v>33054268.75</v>
      </c>
      <c r="D257" s="17">
        <v>66108537.5</v>
      </c>
      <c r="E257" s="17">
        <v>0</v>
      </c>
      <c r="F257" s="17">
        <v>66108537.5</v>
      </c>
      <c r="G257" s="17">
        <v>33054268.75</v>
      </c>
      <c r="H257" s="17">
        <v>33054268.75</v>
      </c>
      <c r="I257" s="17">
        <v>0</v>
      </c>
      <c r="J257" s="17">
        <v>66108537.5</v>
      </c>
      <c r="K257" s="17">
        <v>33054268.75</v>
      </c>
      <c r="L257" s="30">
        <v>0</v>
      </c>
      <c r="M257" s="30">
        <v>66108537.5</v>
      </c>
    </row>
    <row r="258" spans="1:13" x14ac:dyDescent="0.25">
      <c r="A258" s="16" t="s">
        <v>87</v>
      </c>
      <c r="B258" s="17">
        <v>0</v>
      </c>
      <c r="C258" s="17">
        <v>0</v>
      </c>
      <c r="D258" s="17">
        <v>0</v>
      </c>
      <c r="E258" s="17">
        <v>0</v>
      </c>
      <c r="F258" s="17">
        <v>423370321.5</v>
      </c>
      <c r="G258" s="17">
        <v>0</v>
      </c>
      <c r="H258" s="17">
        <v>0</v>
      </c>
      <c r="I258" s="17">
        <v>5100000</v>
      </c>
      <c r="J258" s="17">
        <v>0</v>
      </c>
      <c r="K258" s="17">
        <v>0</v>
      </c>
      <c r="L258" s="30">
        <v>36010500.5</v>
      </c>
      <c r="M258" s="30">
        <v>-5100000</v>
      </c>
    </row>
    <row r="259" spans="1:13" x14ac:dyDescent="0.25">
      <c r="A259" s="21" t="s">
        <v>86</v>
      </c>
      <c r="B259" s="17">
        <v>0</v>
      </c>
      <c r="C259" s="17">
        <v>0</v>
      </c>
      <c r="D259" s="17">
        <v>0</v>
      </c>
      <c r="E259" s="17">
        <v>0</v>
      </c>
      <c r="F259" s="17">
        <v>423370321.5</v>
      </c>
      <c r="G259" s="17">
        <v>0</v>
      </c>
      <c r="H259" s="17">
        <v>0</v>
      </c>
      <c r="I259" s="17">
        <v>5100000</v>
      </c>
      <c r="J259" s="17">
        <v>0</v>
      </c>
      <c r="K259" s="17">
        <v>0</v>
      </c>
      <c r="L259" s="30">
        <v>36010500.5</v>
      </c>
      <c r="M259" s="30">
        <v>-5100000</v>
      </c>
    </row>
    <row r="260" spans="1:13" x14ac:dyDescent="0.25">
      <c r="A260" s="16" t="s">
        <v>85</v>
      </c>
      <c r="B260" s="17">
        <v>0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43491134.75</v>
      </c>
      <c r="K260" s="17">
        <v>0</v>
      </c>
      <c r="L260" s="30">
        <v>0</v>
      </c>
      <c r="M260" s="30">
        <v>0</v>
      </c>
    </row>
    <row r="261" spans="1:13" x14ac:dyDescent="0.25">
      <c r="A261" s="21" t="s">
        <v>84</v>
      </c>
      <c r="B261" s="17">
        <v>0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43491134.75</v>
      </c>
      <c r="K261" s="17">
        <v>0</v>
      </c>
      <c r="L261" s="30">
        <v>0</v>
      </c>
      <c r="M261" s="30">
        <v>0</v>
      </c>
    </row>
    <row r="262" spans="1:13" x14ac:dyDescent="0.25">
      <c r="A262" s="16" t="s">
        <v>1294</v>
      </c>
      <c r="B262" s="17">
        <v>0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30">
        <v>0</v>
      </c>
      <c r="M262" s="30">
        <v>909910264.30999994</v>
      </c>
    </row>
    <row r="263" spans="1:13" x14ac:dyDescent="0.25">
      <c r="A263" s="21" t="s">
        <v>1295</v>
      </c>
      <c r="B263" s="17">
        <v>0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30">
        <v>0</v>
      </c>
      <c r="M263" s="30">
        <v>909910264.30999994</v>
      </c>
    </row>
    <row r="264" spans="1:13" x14ac:dyDescent="0.25">
      <c r="A264" s="16" t="s">
        <v>83</v>
      </c>
      <c r="B264" s="17">
        <v>20778268.850000001</v>
      </c>
      <c r="C264" s="17">
        <v>40915456.219999999</v>
      </c>
      <c r="D264" s="17">
        <v>9033124.4499999993</v>
      </c>
      <c r="E264" s="17">
        <v>200340748.03</v>
      </c>
      <c r="F264" s="17">
        <v>138036865.78</v>
      </c>
      <c r="G264" s="17">
        <v>106801292.09999999</v>
      </c>
      <c r="H264" s="17">
        <v>126580870.8</v>
      </c>
      <c r="I264" s="17">
        <v>78885373.319999993</v>
      </c>
      <c r="J264" s="17">
        <v>84614362.950000003</v>
      </c>
      <c r="K264" s="17">
        <v>150595127.28999999</v>
      </c>
      <c r="L264" s="30">
        <v>98505053.090000004</v>
      </c>
      <c r="M264" s="30">
        <v>93936284.959999993</v>
      </c>
    </row>
    <row r="265" spans="1:13" x14ac:dyDescent="0.25">
      <c r="A265" s="21" t="s">
        <v>82</v>
      </c>
      <c r="B265" s="17">
        <v>20778268.850000001</v>
      </c>
      <c r="C265" s="17">
        <v>40915456.219999999</v>
      </c>
      <c r="D265" s="17">
        <v>9033124.4499999993</v>
      </c>
      <c r="E265" s="17">
        <v>200340748.03</v>
      </c>
      <c r="F265" s="17">
        <v>138036865.78</v>
      </c>
      <c r="G265" s="17">
        <v>106801292.09999999</v>
      </c>
      <c r="H265" s="17">
        <v>126580870.8</v>
      </c>
      <c r="I265" s="17">
        <v>78885373.319999993</v>
      </c>
      <c r="J265" s="17">
        <v>84614362.950000003</v>
      </c>
      <c r="K265" s="17">
        <v>150595127.28999999</v>
      </c>
      <c r="L265" s="30">
        <v>98505053.090000004</v>
      </c>
      <c r="M265" s="30">
        <v>93936284.959999993</v>
      </c>
    </row>
    <row r="266" spans="1:13" x14ac:dyDescent="0.25">
      <c r="A266" s="16" t="s">
        <v>1296</v>
      </c>
      <c r="B266" s="17">
        <v>0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30">
        <v>0</v>
      </c>
      <c r="M266" s="30">
        <v>1751201.33</v>
      </c>
    </row>
    <row r="267" spans="1:13" x14ac:dyDescent="0.25">
      <c r="A267" s="21" t="s">
        <v>1297</v>
      </c>
      <c r="B267" s="17">
        <v>0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30">
        <v>0</v>
      </c>
      <c r="M267" s="30">
        <v>1751201.33</v>
      </c>
    </row>
    <row r="268" spans="1:13" x14ac:dyDescent="0.25">
      <c r="A268" s="16" t="s">
        <v>80</v>
      </c>
      <c r="B268" s="17">
        <v>0</v>
      </c>
      <c r="C268" s="17">
        <v>115200000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30">
        <v>0</v>
      </c>
      <c r="M268" s="30">
        <v>0</v>
      </c>
    </row>
    <row r="269" spans="1:13" x14ac:dyDescent="0.25">
      <c r="A269" s="21" t="s">
        <v>79</v>
      </c>
      <c r="B269" s="17">
        <v>0</v>
      </c>
      <c r="C269" s="17">
        <v>115200000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30">
        <v>0</v>
      </c>
      <c r="M269" s="30">
        <v>0</v>
      </c>
    </row>
    <row r="270" spans="1:13" x14ac:dyDescent="0.25">
      <c r="A270" s="16" t="s">
        <v>78</v>
      </c>
      <c r="B270" s="17">
        <v>0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30">
        <v>0</v>
      </c>
      <c r="M270" s="30">
        <v>226100000</v>
      </c>
    </row>
    <row r="271" spans="1:13" x14ac:dyDescent="0.25">
      <c r="A271" s="21" t="s">
        <v>77</v>
      </c>
      <c r="B271" s="17">
        <v>0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30">
        <v>0</v>
      </c>
      <c r="M271" s="30">
        <v>226100000</v>
      </c>
    </row>
    <row r="272" spans="1:13" x14ac:dyDescent="0.25">
      <c r="A272" s="16" t="s">
        <v>76</v>
      </c>
      <c r="B272" s="17">
        <v>0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30">
        <v>0</v>
      </c>
      <c r="M272" s="30">
        <v>22300000</v>
      </c>
    </row>
    <row r="273" spans="1:13" x14ac:dyDescent="0.25">
      <c r="A273" s="21" t="s">
        <v>75</v>
      </c>
      <c r="B273" s="17">
        <v>0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30">
        <v>0</v>
      </c>
      <c r="M273" s="30">
        <v>22300000</v>
      </c>
    </row>
    <row r="274" spans="1:13" x14ac:dyDescent="0.25">
      <c r="A274" s="16" t="s">
        <v>74</v>
      </c>
      <c r="B274" s="17">
        <v>0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30">
        <v>0</v>
      </c>
      <c r="M274" s="30">
        <v>25900000</v>
      </c>
    </row>
    <row r="275" spans="1:13" x14ac:dyDescent="0.25">
      <c r="A275" s="21" t="s">
        <v>73</v>
      </c>
      <c r="B275" s="17">
        <v>0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30">
        <v>0</v>
      </c>
      <c r="M275" s="30">
        <v>25900000</v>
      </c>
    </row>
    <row r="276" spans="1:13" x14ac:dyDescent="0.25">
      <c r="A276" s="16" t="s">
        <v>72</v>
      </c>
      <c r="B276" s="17">
        <v>0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30">
        <v>0</v>
      </c>
      <c r="M276" s="30">
        <v>0</v>
      </c>
    </row>
    <row r="277" spans="1:13" x14ac:dyDescent="0.25">
      <c r="A277" s="21" t="s">
        <v>71</v>
      </c>
      <c r="B277" s="17">
        <v>0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30">
        <v>0</v>
      </c>
      <c r="M277" s="30">
        <v>0</v>
      </c>
    </row>
    <row r="278" spans="1:13" x14ac:dyDescent="0.25">
      <c r="A278" s="16" t="s">
        <v>70</v>
      </c>
      <c r="B278" s="17">
        <v>0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30">
        <v>0</v>
      </c>
      <c r="M278" s="30">
        <v>0</v>
      </c>
    </row>
    <row r="279" spans="1:13" x14ac:dyDescent="0.25">
      <c r="A279" s="21" t="s">
        <v>69</v>
      </c>
      <c r="B279" s="17">
        <v>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30">
        <v>0</v>
      </c>
      <c r="M279" s="30">
        <v>0</v>
      </c>
    </row>
    <row r="280" spans="1:13" x14ac:dyDescent="0.25">
      <c r="A280" s="16" t="s">
        <v>68</v>
      </c>
      <c r="B280" s="17">
        <v>811200000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30">
        <v>0</v>
      </c>
      <c r="M280" s="30">
        <v>0</v>
      </c>
    </row>
    <row r="281" spans="1:13" x14ac:dyDescent="0.25">
      <c r="A281" s="21" t="s">
        <v>67</v>
      </c>
      <c r="B281" s="17">
        <v>811200000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30">
        <v>0</v>
      </c>
      <c r="M281" s="30">
        <v>0</v>
      </c>
    </row>
    <row r="282" spans="1:13" x14ac:dyDescent="0.25">
      <c r="A282" s="16" t="s">
        <v>64</v>
      </c>
      <c r="B282" s="17">
        <v>0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30">
        <v>0</v>
      </c>
      <c r="M282" s="30">
        <v>765900000</v>
      </c>
    </row>
    <row r="283" spans="1:13" x14ac:dyDescent="0.25">
      <c r="A283" s="21" t="s">
        <v>63</v>
      </c>
      <c r="B283" s="17">
        <v>0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30">
        <v>0</v>
      </c>
      <c r="M283" s="30">
        <v>765900000</v>
      </c>
    </row>
    <row r="284" spans="1:13" x14ac:dyDescent="0.25">
      <c r="A284" s="16" t="s">
        <v>62</v>
      </c>
      <c r="B284" s="17">
        <v>0</v>
      </c>
      <c r="C284" s="17">
        <v>14800000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30">
        <v>0</v>
      </c>
      <c r="M284" s="30">
        <v>0</v>
      </c>
    </row>
    <row r="285" spans="1:13" x14ac:dyDescent="0.25">
      <c r="A285" s="21" t="s">
        <v>61</v>
      </c>
      <c r="B285" s="17">
        <v>0</v>
      </c>
      <c r="C285" s="17">
        <v>14800000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30">
        <v>0</v>
      </c>
      <c r="M285" s="30">
        <v>0</v>
      </c>
    </row>
    <row r="286" spans="1:13" x14ac:dyDescent="0.25">
      <c r="A286" s="16" t="s">
        <v>60</v>
      </c>
      <c r="B286" s="17">
        <v>0</v>
      </c>
      <c r="C286" s="17">
        <v>0</v>
      </c>
      <c r="D286" s="17">
        <v>15900000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30">
        <v>0</v>
      </c>
      <c r="M286" s="30">
        <v>0</v>
      </c>
    </row>
    <row r="287" spans="1:13" x14ac:dyDescent="0.25">
      <c r="A287" s="21" t="s">
        <v>59</v>
      </c>
      <c r="B287" s="17">
        <v>0</v>
      </c>
      <c r="C287" s="17">
        <v>0</v>
      </c>
      <c r="D287" s="17">
        <v>15900000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30">
        <v>0</v>
      </c>
      <c r="M287" s="30">
        <v>0</v>
      </c>
    </row>
    <row r="288" spans="1:13" x14ac:dyDescent="0.25">
      <c r="A288" s="16" t="s">
        <v>1284</v>
      </c>
      <c r="B288" s="17">
        <v>0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344944260.38999999</v>
      </c>
      <c r="J288" s="17">
        <v>180480581.65000001</v>
      </c>
      <c r="K288" s="17">
        <v>201342295.16</v>
      </c>
      <c r="L288" s="30">
        <v>236680991.44999999</v>
      </c>
      <c r="M288" s="30">
        <v>236967511.46000001</v>
      </c>
    </row>
    <row r="289" spans="1:13" x14ac:dyDescent="0.25">
      <c r="A289" s="21" t="s">
        <v>1285</v>
      </c>
      <c r="B289" s="17">
        <v>0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344944260.38999999</v>
      </c>
      <c r="J289" s="17">
        <v>180480581.65000001</v>
      </c>
      <c r="K289" s="17">
        <v>201342295.16</v>
      </c>
      <c r="L289" s="30">
        <v>236680991.44999999</v>
      </c>
      <c r="M289" s="30">
        <v>236967511.46000001</v>
      </c>
    </row>
    <row r="290" spans="1:13" x14ac:dyDescent="0.25">
      <c r="A290" s="16" t="s">
        <v>1298</v>
      </c>
      <c r="B290" s="17">
        <v>0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30">
        <v>0</v>
      </c>
      <c r="M290" s="30">
        <v>127935583.14</v>
      </c>
    </row>
    <row r="291" spans="1:13" x14ac:dyDescent="0.25">
      <c r="A291" s="21" t="s">
        <v>1299</v>
      </c>
      <c r="B291" s="17">
        <v>0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30">
        <v>0</v>
      </c>
      <c r="M291" s="30">
        <v>127935583.14</v>
      </c>
    </row>
    <row r="292" spans="1:13" x14ac:dyDescent="0.25">
      <c r="A292" s="16" t="s">
        <v>1286</v>
      </c>
      <c r="B292" s="17">
        <v>0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87727574.099999994</v>
      </c>
      <c r="K292" s="17">
        <v>67969552.739999995</v>
      </c>
      <c r="L292" s="30">
        <v>56178382.310000002</v>
      </c>
      <c r="M292" s="30">
        <v>48016423.189999998</v>
      </c>
    </row>
    <row r="293" spans="1:13" x14ac:dyDescent="0.25">
      <c r="A293" s="21" t="s">
        <v>1287</v>
      </c>
      <c r="B293" s="17">
        <v>0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87727574.099999994</v>
      </c>
      <c r="K293" s="17">
        <v>67969552.739999995</v>
      </c>
      <c r="L293" s="30">
        <v>56178382.310000002</v>
      </c>
      <c r="M293" s="30">
        <v>48016423.189999998</v>
      </c>
    </row>
    <row r="294" spans="1:13" x14ac:dyDescent="0.25">
      <c r="A294" s="16" t="s">
        <v>57</v>
      </c>
      <c r="B294" s="17">
        <v>0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24429200</v>
      </c>
      <c r="K294" s="17">
        <v>0</v>
      </c>
      <c r="L294" s="30">
        <v>0</v>
      </c>
      <c r="M294" s="30">
        <v>0</v>
      </c>
    </row>
    <row r="295" spans="1:13" x14ac:dyDescent="0.25">
      <c r="A295" s="21" t="s">
        <v>56</v>
      </c>
      <c r="B295" s="17">
        <v>0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24429200</v>
      </c>
      <c r="K295" s="17">
        <v>0</v>
      </c>
      <c r="L295" s="30">
        <v>0</v>
      </c>
      <c r="M295" s="30">
        <v>0</v>
      </c>
    </row>
    <row r="296" spans="1:13" x14ac:dyDescent="0.25">
      <c r="A296" s="16" t="s">
        <v>369</v>
      </c>
      <c r="B296" s="17">
        <v>0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30">
        <v>0</v>
      </c>
      <c r="M296" s="30">
        <v>131062334.79000001</v>
      </c>
    </row>
    <row r="297" spans="1:13" x14ac:dyDescent="0.25">
      <c r="A297" s="21" t="s">
        <v>604</v>
      </c>
      <c r="B297" s="17">
        <v>0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30">
        <v>0</v>
      </c>
      <c r="M297" s="30">
        <v>131062334.79000001</v>
      </c>
    </row>
    <row r="298" spans="1:13" x14ac:dyDescent="0.25">
      <c r="A298" s="16" t="s">
        <v>368</v>
      </c>
      <c r="B298" s="17">
        <v>0</v>
      </c>
      <c r="C298" s="17">
        <v>0</v>
      </c>
      <c r="D298" s="17">
        <v>0</v>
      </c>
      <c r="E298" s="17">
        <v>323165000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30">
        <v>0</v>
      </c>
      <c r="M298" s="30">
        <v>0</v>
      </c>
    </row>
    <row r="299" spans="1:13" x14ac:dyDescent="0.25">
      <c r="A299" s="21" t="s">
        <v>437</v>
      </c>
      <c r="B299" s="17">
        <v>0</v>
      </c>
      <c r="C299" s="17">
        <v>0</v>
      </c>
      <c r="D299" s="17">
        <v>0</v>
      </c>
      <c r="E299" s="17">
        <v>323165000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30">
        <v>0</v>
      </c>
      <c r="M299" s="30">
        <v>0</v>
      </c>
    </row>
    <row r="300" spans="1:13" x14ac:dyDescent="0.25">
      <c r="A300" s="16" t="s">
        <v>1253</v>
      </c>
      <c r="B300" s="17">
        <v>0</v>
      </c>
      <c r="C300" s="17">
        <v>0</v>
      </c>
      <c r="D300" s="17">
        <v>30052510000</v>
      </c>
      <c r="E300" s="17">
        <v>0</v>
      </c>
      <c r="F300" s="17">
        <v>0</v>
      </c>
      <c r="G300" s="17">
        <v>0</v>
      </c>
      <c r="H300" s="17">
        <v>24000000000</v>
      </c>
      <c r="I300" s="17">
        <v>46000000000</v>
      </c>
      <c r="J300" s="17">
        <v>0</v>
      </c>
      <c r="K300" s="17">
        <v>0</v>
      </c>
      <c r="L300" s="30">
        <v>0</v>
      </c>
      <c r="M300" s="30">
        <v>0</v>
      </c>
    </row>
    <row r="301" spans="1:13" x14ac:dyDescent="0.25">
      <c r="A301" s="21" t="s">
        <v>1255</v>
      </c>
      <c r="B301" s="17">
        <v>0</v>
      </c>
      <c r="C301" s="17">
        <v>0</v>
      </c>
      <c r="D301" s="17">
        <v>30052510000</v>
      </c>
      <c r="E301" s="17">
        <v>0</v>
      </c>
      <c r="F301" s="17">
        <v>0</v>
      </c>
      <c r="G301" s="17">
        <v>0</v>
      </c>
      <c r="H301" s="17">
        <v>24000000000</v>
      </c>
      <c r="I301" s="17">
        <v>46000000000</v>
      </c>
      <c r="J301" s="17">
        <v>0</v>
      </c>
      <c r="K301" s="17">
        <v>0</v>
      </c>
      <c r="L301" s="30">
        <v>0</v>
      </c>
      <c r="M301" s="30">
        <v>0</v>
      </c>
    </row>
    <row r="302" spans="1:13" x14ac:dyDescent="0.25">
      <c r="A302" s="16" t="s">
        <v>49</v>
      </c>
      <c r="B302" s="17">
        <v>1461734759.4300001</v>
      </c>
      <c r="C302" s="17">
        <v>10224444517.549999</v>
      </c>
      <c r="D302" s="17">
        <v>44488385202.599998</v>
      </c>
      <c r="E302" s="17">
        <v>16098304561.85</v>
      </c>
      <c r="F302" s="17">
        <v>23820303949.59</v>
      </c>
      <c r="G302" s="17">
        <v>9244294505.4200001</v>
      </c>
      <c r="H302" s="17">
        <v>11381762745.52</v>
      </c>
      <c r="I302" s="17">
        <v>27231912041.580002</v>
      </c>
      <c r="J302" s="17">
        <v>18564903073.779999</v>
      </c>
      <c r="K302" s="17">
        <v>35261375691.440002</v>
      </c>
      <c r="L302" s="30">
        <v>36715362833.849998</v>
      </c>
      <c r="M302" s="30">
        <v>149308255167.84</v>
      </c>
    </row>
    <row r="303" spans="1:13" x14ac:dyDescent="0.25">
      <c r="A303" s="21" t="s">
        <v>48</v>
      </c>
      <c r="B303" s="17">
        <v>1461734759.4300001</v>
      </c>
      <c r="C303" s="17">
        <v>10224444517.549999</v>
      </c>
      <c r="D303" s="17">
        <v>44488385202.599998</v>
      </c>
      <c r="E303" s="17">
        <v>16098304561.85</v>
      </c>
      <c r="F303" s="17">
        <v>23820303949.59</v>
      </c>
      <c r="G303" s="17">
        <v>9244294505.4200001</v>
      </c>
      <c r="H303" s="17">
        <v>11381762745.52</v>
      </c>
      <c r="I303" s="17">
        <v>27231912041.580002</v>
      </c>
      <c r="J303" s="17">
        <v>18564903073.779999</v>
      </c>
      <c r="K303" s="17">
        <v>35261375691.440002</v>
      </c>
      <c r="L303" s="30">
        <v>36715362833.849998</v>
      </c>
      <c r="M303" s="30">
        <v>149308255167.84</v>
      </c>
    </row>
    <row r="304" spans="1:13" x14ac:dyDescent="0.25">
      <c r="A304" s="16" t="s">
        <v>45</v>
      </c>
      <c r="B304" s="17">
        <v>0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30">
        <v>0</v>
      </c>
      <c r="M304" s="30">
        <v>0</v>
      </c>
    </row>
    <row r="305" spans="1:13" x14ac:dyDescent="0.25">
      <c r="A305" s="21" t="s">
        <v>44</v>
      </c>
      <c r="B305" s="17">
        <v>0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30">
        <v>0</v>
      </c>
      <c r="M305" s="30">
        <v>0</v>
      </c>
    </row>
    <row r="306" spans="1:13" x14ac:dyDescent="0.25">
      <c r="A306" s="16" t="s">
        <v>43</v>
      </c>
      <c r="B306" s="17">
        <v>307265769006.40002</v>
      </c>
      <c r="C306" s="17">
        <v>194587471910.03</v>
      </c>
      <c r="D306" s="17">
        <v>817360755016.04004</v>
      </c>
      <c r="E306" s="17">
        <v>492880285779.65997</v>
      </c>
      <c r="F306" s="17">
        <v>376109815822.09003</v>
      </c>
      <c r="G306" s="17">
        <v>214298356470.95999</v>
      </c>
      <c r="H306" s="17">
        <v>365605406494.19</v>
      </c>
      <c r="I306" s="17">
        <v>191245814026.01999</v>
      </c>
      <c r="J306" s="17">
        <v>232852043474.16</v>
      </c>
      <c r="K306" s="17">
        <v>204079314418.5</v>
      </c>
      <c r="L306" s="30">
        <v>140805917591.23999</v>
      </c>
      <c r="M306" s="30">
        <v>154952287599.22</v>
      </c>
    </row>
    <row r="307" spans="1:13" x14ac:dyDescent="0.25">
      <c r="A307" s="21" t="s">
        <v>42</v>
      </c>
      <c r="B307" s="17">
        <v>307265769006.40002</v>
      </c>
      <c r="C307" s="17">
        <v>194587471910.03</v>
      </c>
      <c r="D307" s="17">
        <v>817360755016.04004</v>
      </c>
      <c r="E307" s="17">
        <v>492880285779.65997</v>
      </c>
      <c r="F307" s="17">
        <v>376109815822.09003</v>
      </c>
      <c r="G307" s="17">
        <v>214298356470.95999</v>
      </c>
      <c r="H307" s="17">
        <v>365605406494.19</v>
      </c>
      <c r="I307" s="17">
        <v>191245814026.01999</v>
      </c>
      <c r="J307" s="17">
        <v>232852043474.16</v>
      </c>
      <c r="K307" s="17">
        <v>204079314418.5</v>
      </c>
      <c r="L307" s="30">
        <v>140805917591.23999</v>
      </c>
      <c r="M307" s="30">
        <v>154952287599.22</v>
      </c>
    </row>
    <row r="308" spans="1:13" x14ac:dyDescent="0.25">
      <c r="A308" s="16" t="s">
        <v>41</v>
      </c>
      <c r="B308" s="17">
        <v>0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30">
        <v>0</v>
      </c>
      <c r="M308" s="30">
        <v>0</v>
      </c>
    </row>
    <row r="309" spans="1:13" x14ac:dyDescent="0.25">
      <c r="A309" s="21" t="s">
        <v>40</v>
      </c>
      <c r="B309" s="17">
        <v>0</v>
      </c>
      <c r="C309" s="17">
        <v>0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0</v>
      </c>
      <c r="L309" s="30">
        <v>0</v>
      </c>
      <c r="M309" s="30">
        <v>0</v>
      </c>
    </row>
    <row r="310" spans="1:13" x14ac:dyDescent="0.25">
      <c r="A310" s="16" t="s">
        <v>39</v>
      </c>
      <c r="B310" s="17">
        <v>2543548690.8400002</v>
      </c>
      <c r="C310" s="17">
        <v>4605515335.3699999</v>
      </c>
      <c r="D310" s="17">
        <v>0</v>
      </c>
      <c r="E310" s="17">
        <v>0</v>
      </c>
      <c r="F310" s="17">
        <v>937373693.64999998</v>
      </c>
      <c r="G310" s="17">
        <v>533107598.73000002</v>
      </c>
      <c r="H310" s="17">
        <v>485662360.89999998</v>
      </c>
      <c r="I310" s="17">
        <v>477420835.20999998</v>
      </c>
      <c r="J310" s="17">
        <v>323420884.92000002</v>
      </c>
      <c r="K310" s="17">
        <v>0</v>
      </c>
      <c r="L310" s="30">
        <v>0</v>
      </c>
      <c r="M310" s="30">
        <v>550792887.35000002</v>
      </c>
    </row>
    <row r="311" spans="1:13" x14ac:dyDescent="0.25">
      <c r="A311" s="21" t="s">
        <v>38</v>
      </c>
      <c r="B311" s="17">
        <v>2543548690.8400002</v>
      </c>
      <c r="C311" s="17">
        <v>4605515335.3699999</v>
      </c>
      <c r="D311" s="17">
        <v>0</v>
      </c>
      <c r="E311" s="17">
        <v>0</v>
      </c>
      <c r="F311" s="17">
        <v>937373693.64999998</v>
      </c>
      <c r="G311" s="17">
        <v>533107598.73000002</v>
      </c>
      <c r="H311" s="17">
        <v>485662360.89999998</v>
      </c>
      <c r="I311" s="17">
        <v>477420835.20999998</v>
      </c>
      <c r="J311" s="17">
        <v>323420884.92000002</v>
      </c>
      <c r="K311" s="17">
        <v>0</v>
      </c>
      <c r="L311" s="30">
        <v>0</v>
      </c>
      <c r="M311" s="30">
        <v>550792887.35000002</v>
      </c>
    </row>
    <row r="312" spans="1:13" x14ac:dyDescent="0.25">
      <c r="A312" s="16" t="s">
        <v>37</v>
      </c>
      <c r="B312" s="17">
        <v>0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</v>
      </c>
      <c r="L312" s="30">
        <v>0</v>
      </c>
      <c r="M312" s="30">
        <v>0</v>
      </c>
    </row>
    <row r="313" spans="1:13" x14ac:dyDescent="0.25">
      <c r="A313" s="21" t="s">
        <v>36</v>
      </c>
      <c r="B313" s="17">
        <v>0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</v>
      </c>
      <c r="L313" s="30">
        <v>0</v>
      </c>
      <c r="M313" s="30">
        <v>0</v>
      </c>
    </row>
    <row r="314" spans="1:13" x14ac:dyDescent="0.25">
      <c r="A314" s="16" t="s">
        <v>35</v>
      </c>
      <c r="B314" s="17">
        <v>0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30">
        <v>0</v>
      </c>
      <c r="M314" s="30">
        <v>0</v>
      </c>
    </row>
    <row r="315" spans="1:13" x14ac:dyDescent="0.25">
      <c r="A315" s="21" t="s">
        <v>34</v>
      </c>
      <c r="B315" s="17">
        <v>0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30">
        <v>0</v>
      </c>
      <c r="M315" s="30">
        <v>0</v>
      </c>
    </row>
    <row r="316" spans="1:13" x14ac:dyDescent="0.25">
      <c r="A316" s="16" t="s">
        <v>33</v>
      </c>
      <c r="B316" s="17">
        <v>0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30">
        <v>0</v>
      </c>
      <c r="M316" s="30">
        <v>0</v>
      </c>
    </row>
    <row r="317" spans="1:13" x14ac:dyDescent="0.25">
      <c r="A317" s="21" t="s">
        <v>32</v>
      </c>
      <c r="B317" s="17">
        <v>0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30">
        <v>0</v>
      </c>
      <c r="M317" s="30">
        <v>0</v>
      </c>
    </row>
    <row r="318" spans="1:13" x14ac:dyDescent="0.25">
      <c r="A318" s="16" t="s">
        <v>31</v>
      </c>
      <c r="B318" s="17">
        <v>0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30">
        <v>0</v>
      </c>
      <c r="M318" s="30">
        <v>0</v>
      </c>
    </row>
    <row r="319" spans="1:13" x14ac:dyDescent="0.25">
      <c r="A319" s="21" t="s">
        <v>30</v>
      </c>
      <c r="B319" s="17">
        <v>0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</v>
      </c>
      <c r="L319" s="30">
        <v>0</v>
      </c>
      <c r="M319" s="30">
        <v>0</v>
      </c>
    </row>
    <row r="320" spans="1:13" x14ac:dyDescent="0.25">
      <c r="A320" s="16" t="s">
        <v>29</v>
      </c>
      <c r="B320" s="17">
        <v>0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30">
        <v>0</v>
      </c>
      <c r="M320" s="30">
        <v>0</v>
      </c>
    </row>
    <row r="321" spans="1:13" x14ac:dyDescent="0.25">
      <c r="A321" s="21" t="s">
        <v>28</v>
      </c>
      <c r="B321" s="17">
        <v>0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30">
        <v>0</v>
      </c>
      <c r="M321" s="30">
        <v>0</v>
      </c>
    </row>
    <row r="322" spans="1:13" x14ac:dyDescent="0.25">
      <c r="A322" s="16" t="s">
        <v>27</v>
      </c>
      <c r="B322" s="17">
        <v>16569517.08</v>
      </c>
      <c r="C322" s="17">
        <v>0</v>
      </c>
      <c r="D322" s="17">
        <v>52972598.630000003</v>
      </c>
      <c r="E322" s="17">
        <v>71606230.530000001</v>
      </c>
      <c r="F322" s="17">
        <v>42121000.909999996</v>
      </c>
      <c r="G322" s="17">
        <v>73735854.480000004</v>
      </c>
      <c r="H322" s="17">
        <v>318204814.62</v>
      </c>
      <c r="I322" s="17">
        <v>160115841.33000001</v>
      </c>
      <c r="J322" s="17">
        <v>315733774.64999998</v>
      </c>
      <c r="K322" s="17">
        <v>213024949.36000001</v>
      </c>
      <c r="L322" s="30">
        <v>40406130.920000002</v>
      </c>
      <c r="M322" s="30">
        <v>185679714.06999999</v>
      </c>
    </row>
    <row r="323" spans="1:13" x14ac:dyDescent="0.25">
      <c r="A323" s="21" t="s">
        <v>26</v>
      </c>
      <c r="B323" s="17">
        <v>16569517.08</v>
      </c>
      <c r="C323" s="17">
        <v>0</v>
      </c>
      <c r="D323" s="17">
        <v>52972598.630000003</v>
      </c>
      <c r="E323" s="17">
        <v>71606230.530000001</v>
      </c>
      <c r="F323" s="17">
        <v>42121000.909999996</v>
      </c>
      <c r="G323" s="17">
        <v>73735854.480000004</v>
      </c>
      <c r="H323" s="17">
        <v>318204814.62</v>
      </c>
      <c r="I323" s="17">
        <v>160115841.33000001</v>
      </c>
      <c r="J323" s="17">
        <v>315733774.64999998</v>
      </c>
      <c r="K323" s="17">
        <v>213024949.36000001</v>
      </c>
      <c r="L323" s="30">
        <v>40406130.920000002</v>
      </c>
      <c r="M323" s="30">
        <v>185679714.06999999</v>
      </c>
    </row>
    <row r="324" spans="1:13" x14ac:dyDescent="0.25">
      <c r="A324" s="16" t="s">
        <v>25</v>
      </c>
      <c r="B324" s="17">
        <v>73676400000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0</v>
      </c>
      <c r="L324" s="30">
        <v>0</v>
      </c>
      <c r="M324" s="30">
        <v>0</v>
      </c>
    </row>
    <row r="325" spans="1:13" x14ac:dyDescent="0.25">
      <c r="A325" s="21" t="s">
        <v>24</v>
      </c>
      <c r="B325" s="17">
        <v>73676400000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</v>
      </c>
      <c r="L325" s="30">
        <v>0</v>
      </c>
      <c r="M325" s="30">
        <v>0</v>
      </c>
    </row>
    <row r="326" spans="1:13" x14ac:dyDescent="0.25">
      <c r="A326" s="16" t="s">
        <v>23</v>
      </c>
      <c r="B326" s="17">
        <v>0</v>
      </c>
      <c r="C326" s="17">
        <v>0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</v>
      </c>
      <c r="L326" s="30">
        <v>0</v>
      </c>
      <c r="M326" s="30">
        <v>0</v>
      </c>
    </row>
    <row r="327" spans="1:13" x14ac:dyDescent="0.25">
      <c r="A327" s="21" t="s">
        <v>22</v>
      </c>
      <c r="B327" s="17">
        <v>0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</v>
      </c>
      <c r="L327" s="30">
        <v>0</v>
      </c>
      <c r="M327" s="30">
        <v>0</v>
      </c>
    </row>
    <row r="328" spans="1:13" x14ac:dyDescent="0.25">
      <c r="A328" s="16" t="s">
        <v>21</v>
      </c>
      <c r="B328" s="17">
        <v>0</v>
      </c>
      <c r="C328" s="17">
        <v>0</v>
      </c>
      <c r="D328" s="17">
        <v>0</v>
      </c>
      <c r="E328" s="17">
        <v>24512220</v>
      </c>
      <c r="F328" s="17">
        <v>44293425</v>
      </c>
      <c r="G328" s="17">
        <v>22300400</v>
      </c>
      <c r="H328" s="17">
        <v>32170242</v>
      </c>
      <c r="I328" s="17">
        <v>50260237.25</v>
      </c>
      <c r="J328" s="17">
        <v>31338838.370000001</v>
      </c>
      <c r="K328" s="17">
        <v>47020995.229999997</v>
      </c>
      <c r="L328" s="30">
        <v>35589790.130000003</v>
      </c>
      <c r="M328" s="30">
        <v>86101571.569999993</v>
      </c>
    </row>
    <row r="329" spans="1:13" x14ac:dyDescent="0.25">
      <c r="A329" s="21" t="s">
        <v>18</v>
      </c>
      <c r="B329" s="17">
        <v>0</v>
      </c>
      <c r="C329" s="17">
        <v>0</v>
      </c>
      <c r="D329" s="17">
        <v>0</v>
      </c>
      <c r="E329" s="17">
        <v>24512220</v>
      </c>
      <c r="F329" s="17">
        <v>44293425</v>
      </c>
      <c r="G329" s="17">
        <v>22300400</v>
      </c>
      <c r="H329" s="17">
        <v>32170242</v>
      </c>
      <c r="I329" s="17">
        <v>50260237.25</v>
      </c>
      <c r="J329" s="17">
        <v>31338838.370000001</v>
      </c>
      <c r="K329" s="17">
        <v>47020995.229999997</v>
      </c>
      <c r="L329" s="30">
        <v>35589790.130000003</v>
      </c>
      <c r="M329" s="30">
        <v>86101571.569999993</v>
      </c>
    </row>
    <row r="330" spans="1:13" x14ac:dyDescent="0.25">
      <c r="A330" s="16" t="s">
        <v>1235</v>
      </c>
      <c r="B330" s="17">
        <v>0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11656240800</v>
      </c>
      <c r="L330" s="30">
        <v>0</v>
      </c>
      <c r="M330" s="30">
        <v>22880400</v>
      </c>
    </row>
    <row r="331" spans="1:13" x14ac:dyDescent="0.25">
      <c r="A331" s="21" t="s">
        <v>1236</v>
      </c>
      <c r="B331" s="17">
        <v>0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11656240800</v>
      </c>
      <c r="L331" s="30">
        <v>0</v>
      </c>
      <c r="M331" s="30">
        <v>22880400</v>
      </c>
    </row>
    <row r="332" spans="1:13" x14ac:dyDescent="0.25">
      <c r="A332" s="16" t="s">
        <v>1241</v>
      </c>
      <c r="B332" s="17">
        <v>0</v>
      </c>
      <c r="C332" s="17">
        <v>0</v>
      </c>
      <c r="D332" s="17">
        <v>0</v>
      </c>
      <c r="E332" s="17">
        <v>0</v>
      </c>
      <c r="F332" s="17">
        <v>7181400</v>
      </c>
      <c r="G332" s="17">
        <v>7112160</v>
      </c>
      <c r="H332" s="17">
        <v>17300775</v>
      </c>
      <c r="I332" s="17">
        <v>331795545</v>
      </c>
      <c r="J332" s="17">
        <v>107864173.95999999</v>
      </c>
      <c r="K332" s="17">
        <v>27586700</v>
      </c>
      <c r="L332" s="30">
        <v>629953760.96000004</v>
      </c>
      <c r="M332" s="30">
        <v>946557996.32000005</v>
      </c>
    </row>
    <row r="333" spans="1:13" x14ac:dyDescent="0.25">
      <c r="A333" s="21" t="s">
        <v>1242</v>
      </c>
      <c r="B333" s="17">
        <v>0</v>
      </c>
      <c r="C333" s="17">
        <v>0</v>
      </c>
      <c r="D333" s="17">
        <v>0</v>
      </c>
      <c r="E333" s="17">
        <v>0</v>
      </c>
      <c r="F333" s="17">
        <v>7181400</v>
      </c>
      <c r="G333" s="17">
        <v>7112160</v>
      </c>
      <c r="H333" s="17">
        <v>17300775</v>
      </c>
      <c r="I333" s="17">
        <v>331795545</v>
      </c>
      <c r="J333" s="17">
        <v>107864173.95999999</v>
      </c>
      <c r="K333" s="17">
        <v>27586700</v>
      </c>
      <c r="L333" s="30">
        <v>629953760.96000004</v>
      </c>
      <c r="M333" s="30">
        <v>946557996.32000005</v>
      </c>
    </row>
    <row r="334" spans="1:13" x14ac:dyDescent="0.25">
      <c r="A334" s="16" t="s">
        <v>17</v>
      </c>
      <c r="B334" s="17">
        <v>0</v>
      </c>
      <c r="C334" s="17">
        <v>54900900000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34309800000</v>
      </c>
      <c r="J334" s="17">
        <v>0</v>
      </c>
      <c r="K334" s="17">
        <v>0</v>
      </c>
      <c r="L334" s="30">
        <v>0</v>
      </c>
      <c r="M334" s="30">
        <v>0</v>
      </c>
    </row>
    <row r="335" spans="1:13" x14ac:dyDescent="0.25">
      <c r="A335" s="21" t="s">
        <v>16</v>
      </c>
      <c r="B335" s="17">
        <v>0</v>
      </c>
      <c r="C335" s="17">
        <v>54900900000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34309800000</v>
      </c>
      <c r="J335" s="17">
        <v>0</v>
      </c>
      <c r="K335" s="17">
        <v>0</v>
      </c>
      <c r="L335" s="30">
        <v>0</v>
      </c>
      <c r="M335" s="30">
        <v>0</v>
      </c>
    </row>
    <row r="336" spans="1:13" x14ac:dyDescent="0.25">
      <c r="A336" s="16" t="s">
        <v>15</v>
      </c>
      <c r="B336" s="17">
        <v>0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0</v>
      </c>
      <c r="L336" s="30">
        <v>8377000000</v>
      </c>
      <c r="M336" s="30">
        <v>0</v>
      </c>
    </row>
    <row r="337" spans="1:13" x14ac:dyDescent="0.25">
      <c r="A337" s="21" t="s">
        <v>14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30">
        <v>8377000000</v>
      </c>
      <c r="M337" s="30">
        <v>0</v>
      </c>
    </row>
    <row r="338" spans="1:13" x14ac:dyDescent="0.25">
      <c r="A338" s="16" t="s">
        <v>13</v>
      </c>
      <c r="B338" s="17">
        <v>1841910000</v>
      </c>
      <c r="C338" s="17">
        <v>1842240000</v>
      </c>
      <c r="D338" s="17">
        <v>0</v>
      </c>
      <c r="E338" s="17">
        <v>0</v>
      </c>
      <c r="F338" s="17">
        <v>1972806000</v>
      </c>
      <c r="G338" s="17">
        <v>7084400728.9700003</v>
      </c>
      <c r="H338" s="17">
        <v>2199779700</v>
      </c>
      <c r="I338" s="17">
        <v>179603550</v>
      </c>
      <c r="J338" s="17">
        <v>0</v>
      </c>
      <c r="K338" s="17">
        <v>0</v>
      </c>
      <c r="L338" s="30">
        <v>537768636.29999995</v>
      </c>
      <c r="M338" s="30">
        <v>170038440</v>
      </c>
    </row>
    <row r="339" spans="1:13" x14ac:dyDescent="0.25">
      <c r="A339" s="21" t="s">
        <v>11</v>
      </c>
      <c r="B339" s="17">
        <v>1841910000</v>
      </c>
      <c r="C339" s="17">
        <v>1842240000</v>
      </c>
      <c r="D339" s="17">
        <v>0</v>
      </c>
      <c r="E339" s="17">
        <v>0</v>
      </c>
      <c r="F339" s="17">
        <v>1972806000</v>
      </c>
      <c r="G339" s="17">
        <v>7084400728.9700003</v>
      </c>
      <c r="H339" s="17">
        <v>2199779700</v>
      </c>
      <c r="I339" s="17">
        <v>179603550</v>
      </c>
      <c r="J339" s="17">
        <v>0</v>
      </c>
      <c r="K339" s="17">
        <v>0</v>
      </c>
      <c r="L339" s="30">
        <v>537768636.29999995</v>
      </c>
      <c r="M339" s="30">
        <v>170038440</v>
      </c>
    </row>
    <row r="340" spans="1:13" x14ac:dyDescent="0.25">
      <c r="A340" s="16" t="s">
        <v>10</v>
      </c>
      <c r="B340" s="17">
        <v>0</v>
      </c>
      <c r="C340" s="17">
        <v>0</v>
      </c>
      <c r="D340" s="17">
        <v>1357922582.9100001</v>
      </c>
      <c r="E340" s="17">
        <v>734009157.73000002</v>
      </c>
      <c r="F340" s="17">
        <v>209765480.88</v>
      </c>
      <c r="G340" s="17">
        <v>1790328329.72</v>
      </c>
      <c r="H340" s="17">
        <v>0</v>
      </c>
      <c r="I340" s="17">
        <v>449978614.27999997</v>
      </c>
      <c r="J340" s="17">
        <v>779513345.15999997</v>
      </c>
      <c r="K340" s="17">
        <v>561192696.54999995</v>
      </c>
      <c r="L340" s="30">
        <v>543985511.49000001</v>
      </c>
      <c r="M340" s="30">
        <v>886477819.24000001</v>
      </c>
    </row>
    <row r="341" spans="1:13" x14ac:dyDescent="0.25">
      <c r="A341" s="21" t="s">
        <v>9</v>
      </c>
      <c r="B341" s="17">
        <v>0</v>
      </c>
      <c r="C341" s="17">
        <v>0</v>
      </c>
      <c r="D341" s="17">
        <v>1357922582.9100001</v>
      </c>
      <c r="E341" s="17">
        <v>734009157.73000002</v>
      </c>
      <c r="F341" s="17">
        <v>209765480.88</v>
      </c>
      <c r="G341" s="17">
        <v>1790328329.72</v>
      </c>
      <c r="H341" s="17">
        <v>0</v>
      </c>
      <c r="I341" s="17">
        <v>449978614.27999997</v>
      </c>
      <c r="J341" s="17">
        <v>779513345.15999997</v>
      </c>
      <c r="K341" s="17">
        <v>561192696.54999995</v>
      </c>
      <c r="L341" s="30">
        <v>543985511.49000001</v>
      </c>
      <c r="M341" s="30">
        <v>886477819.24000001</v>
      </c>
    </row>
    <row r="342" spans="1:13" x14ac:dyDescent="0.25">
      <c r="A342" s="16" t="s">
        <v>8</v>
      </c>
      <c r="B342" s="17">
        <v>0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30">
        <v>0</v>
      </c>
      <c r="M342" s="30">
        <v>0</v>
      </c>
    </row>
    <row r="343" spans="1:13" x14ac:dyDescent="0.25">
      <c r="A343" s="21" t="s">
        <v>7</v>
      </c>
      <c r="B343" s="17">
        <v>0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0</v>
      </c>
      <c r="L343" s="30">
        <v>0</v>
      </c>
      <c r="M343" s="30">
        <v>0</v>
      </c>
    </row>
    <row r="344" spans="1:13" x14ac:dyDescent="0.25">
      <c r="A344" s="16" t="s">
        <v>6</v>
      </c>
      <c r="B344" s="17">
        <v>0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0</v>
      </c>
      <c r="L344" s="30">
        <v>0</v>
      </c>
      <c r="M344" s="30">
        <v>0</v>
      </c>
    </row>
    <row r="345" spans="1:13" x14ac:dyDescent="0.25">
      <c r="A345" s="21" t="s">
        <v>4</v>
      </c>
      <c r="B345" s="17">
        <v>0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</v>
      </c>
      <c r="L345" s="30">
        <v>0</v>
      </c>
      <c r="M345" s="30">
        <v>0</v>
      </c>
    </row>
    <row r="346" spans="1:13" x14ac:dyDescent="0.25">
      <c r="A346" s="16" t="s">
        <v>5</v>
      </c>
      <c r="B346" s="17">
        <v>0</v>
      </c>
      <c r="C346" s="17">
        <v>0</v>
      </c>
      <c r="D346" s="17">
        <v>0</v>
      </c>
      <c r="E346" s="17">
        <v>1493197793.29</v>
      </c>
      <c r="F346" s="17">
        <v>0</v>
      </c>
      <c r="G346" s="17">
        <v>0</v>
      </c>
      <c r="H346" s="17">
        <v>227037976.65000001</v>
      </c>
      <c r="I346" s="17">
        <v>0</v>
      </c>
      <c r="J346" s="17">
        <v>0</v>
      </c>
      <c r="K346" s="17">
        <v>15389884543.139999</v>
      </c>
      <c r="L346" s="30">
        <v>0</v>
      </c>
      <c r="M346" s="30">
        <v>6354147414.3699999</v>
      </c>
    </row>
    <row r="347" spans="1:13" x14ac:dyDescent="0.25">
      <c r="A347" s="21" t="s">
        <v>4</v>
      </c>
      <c r="B347" s="17">
        <v>0</v>
      </c>
      <c r="C347" s="17">
        <v>0</v>
      </c>
      <c r="D347" s="17">
        <v>0</v>
      </c>
      <c r="E347" s="17">
        <v>1493197793.29</v>
      </c>
      <c r="F347" s="17">
        <v>0</v>
      </c>
      <c r="G347" s="17">
        <v>0</v>
      </c>
      <c r="H347" s="17">
        <v>227037976.65000001</v>
      </c>
      <c r="I347" s="17">
        <v>0</v>
      </c>
      <c r="J347" s="17">
        <v>0</v>
      </c>
      <c r="K347" s="17">
        <v>15389884543.139999</v>
      </c>
      <c r="L347" s="30">
        <v>0</v>
      </c>
      <c r="M347" s="30">
        <v>6354147414.3699999</v>
      </c>
    </row>
    <row r="348" spans="1:13" x14ac:dyDescent="0.25">
      <c r="A348" s="16" t="s">
        <v>3</v>
      </c>
      <c r="B348" s="17">
        <v>0</v>
      </c>
      <c r="C348" s="17">
        <v>0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0</v>
      </c>
      <c r="L348" s="30">
        <v>0</v>
      </c>
      <c r="M348" s="30">
        <v>0</v>
      </c>
    </row>
    <row r="349" spans="1:13" x14ac:dyDescent="0.25">
      <c r="A349" s="21" t="s">
        <v>0</v>
      </c>
      <c r="B349" s="17">
        <v>0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30">
        <v>0</v>
      </c>
      <c r="M349" s="30">
        <v>0</v>
      </c>
    </row>
    <row r="350" spans="1:13" x14ac:dyDescent="0.25">
      <c r="A350" s="16" t="s">
        <v>415</v>
      </c>
      <c r="B350" s="17">
        <v>0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0</v>
      </c>
      <c r="L350" s="30">
        <v>861720000000.06995</v>
      </c>
      <c r="M350" s="30">
        <v>-7.0000000000000007E-2</v>
      </c>
    </row>
    <row r="351" spans="1:13" x14ac:dyDescent="0.25">
      <c r="A351" s="21" t="s">
        <v>414</v>
      </c>
      <c r="B351" s="17">
        <v>0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30">
        <v>861720000000.06995</v>
      </c>
      <c r="M351" s="30">
        <v>-7.0000000000000007E-2</v>
      </c>
    </row>
    <row r="352" spans="1:13" x14ac:dyDescent="0.25">
      <c r="A352" s="16" t="s">
        <v>361</v>
      </c>
      <c r="B352" s="17">
        <v>0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0</v>
      </c>
      <c r="L352" s="30">
        <v>0</v>
      </c>
      <c r="M352" s="30">
        <v>0</v>
      </c>
    </row>
    <row r="353" spans="1:13" x14ac:dyDescent="0.25">
      <c r="A353" s="21" t="s">
        <v>379</v>
      </c>
      <c r="B353" s="17">
        <v>0</v>
      </c>
      <c r="C353" s="17">
        <v>0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30">
        <v>0</v>
      </c>
      <c r="M353" s="30">
        <v>0</v>
      </c>
    </row>
    <row r="354" spans="1:13" x14ac:dyDescent="0.25">
      <c r="A354" s="16" t="s">
        <v>1263</v>
      </c>
      <c r="B354" s="17">
        <v>0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30">
        <v>0</v>
      </c>
      <c r="M354" s="30">
        <v>27846377</v>
      </c>
    </row>
    <row r="355" spans="1:13" x14ac:dyDescent="0.25">
      <c r="A355" s="21" t="s">
        <v>1264</v>
      </c>
      <c r="B355" s="17">
        <v>0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0</v>
      </c>
      <c r="L355" s="30">
        <v>0</v>
      </c>
      <c r="M355" s="30">
        <v>27846377</v>
      </c>
    </row>
    <row r="356" spans="1:13" x14ac:dyDescent="0.25">
      <c r="A356" s="16" t="s">
        <v>1237</v>
      </c>
      <c r="B356" s="17">
        <v>0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0</v>
      </c>
      <c r="L356" s="30">
        <v>0</v>
      </c>
      <c r="M356" s="30">
        <v>50968337.060000002</v>
      </c>
    </row>
    <row r="357" spans="1:13" x14ac:dyDescent="0.25">
      <c r="A357" s="21" t="s">
        <v>1238</v>
      </c>
      <c r="B357" s="17">
        <v>0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30">
        <v>0</v>
      </c>
      <c r="M357" s="30">
        <v>50968337.060000002</v>
      </c>
    </row>
    <row r="358" spans="1:13" x14ac:dyDescent="0.25">
      <c r="A358" s="16" t="s">
        <v>1305</v>
      </c>
      <c r="B358" s="17">
        <v>0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797009</v>
      </c>
      <c r="L358" s="30">
        <v>0</v>
      </c>
      <c r="M358" s="30">
        <v>34697305704.010002</v>
      </c>
    </row>
    <row r="359" spans="1:13" x14ac:dyDescent="0.25">
      <c r="A359" s="21" t="s">
        <v>1306</v>
      </c>
      <c r="B359" s="17">
        <v>0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797009</v>
      </c>
      <c r="L359" s="30">
        <v>0</v>
      </c>
      <c r="M359" s="30">
        <v>34697305704.010002</v>
      </c>
    </row>
    <row r="360" spans="1:13" x14ac:dyDescent="0.25">
      <c r="A360" s="16" t="s">
        <v>1308</v>
      </c>
      <c r="B360" s="17">
        <v>0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30">
        <v>0</v>
      </c>
      <c r="M360" s="30">
        <v>0</v>
      </c>
    </row>
    <row r="361" spans="1:13" x14ac:dyDescent="0.25">
      <c r="A361" s="21" t="s">
        <v>1312</v>
      </c>
      <c r="B361" s="17">
        <v>0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30">
        <v>0</v>
      </c>
      <c r="M361" s="30">
        <v>0</v>
      </c>
    </row>
    <row r="362" spans="1:13" x14ac:dyDescent="0.25">
      <c r="A362" s="16" t="s">
        <v>1309</v>
      </c>
      <c r="B362" s="17">
        <v>0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30">
        <v>95901098780.610001</v>
      </c>
      <c r="M362" s="30">
        <v>50895691526.389999</v>
      </c>
    </row>
    <row r="363" spans="1:13" x14ac:dyDescent="0.25">
      <c r="A363" s="21" t="s">
        <v>1313</v>
      </c>
      <c r="B363" s="17">
        <v>0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30">
        <v>95901098780.610001</v>
      </c>
      <c r="M363" s="30">
        <v>50895691526.389999</v>
      </c>
    </row>
    <row r="364" spans="1:13" x14ac:dyDescent="0.25">
      <c r="A364" s="16" t="s">
        <v>1310</v>
      </c>
      <c r="B364" s="17">
        <v>0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30">
        <v>0</v>
      </c>
      <c r="M364" s="30">
        <v>0</v>
      </c>
    </row>
    <row r="365" spans="1:13" x14ac:dyDescent="0.25">
      <c r="A365" s="21" t="s">
        <v>1314</v>
      </c>
      <c r="B365" s="17">
        <v>0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30">
        <v>0</v>
      </c>
      <c r="M365" s="30">
        <v>0</v>
      </c>
    </row>
    <row r="366" spans="1:13" x14ac:dyDescent="0.25">
      <c r="A366" s="16" t="s">
        <v>1311</v>
      </c>
      <c r="B366" s="17">
        <v>0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0</v>
      </c>
      <c r="L366" s="30">
        <v>0</v>
      </c>
      <c r="M366" s="30">
        <v>0</v>
      </c>
    </row>
    <row r="367" spans="1:13" x14ac:dyDescent="0.25">
      <c r="A367" s="21" t="s">
        <v>1315</v>
      </c>
      <c r="B367" s="17">
        <v>0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30">
        <v>0</v>
      </c>
      <c r="M367" s="30">
        <v>0</v>
      </c>
    </row>
    <row r="368" spans="1:13" x14ac:dyDescent="0.25">
      <c r="A368" s="16" t="s">
        <v>795</v>
      </c>
      <c r="B368" s="17">
        <v>859296340283.42017</v>
      </c>
      <c r="C368" s="17">
        <v>591432405249.13</v>
      </c>
      <c r="D368" s="17">
        <v>1422540253869.2498</v>
      </c>
      <c r="E368" s="17">
        <v>871885331003.81006</v>
      </c>
      <c r="F368" s="17">
        <v>770620268400.83997</v>
      </c>
      <c r="G368" s="17">
        <v>676761438915.40967</v>
      </c>
      <c r="H368" s="17">
        <v>748852862160.94006</v>
      </c>
      <c r="I368" s="17">
        <v>694976097637.08997</v>
      </c>
      <c r="J368" s="17">
        <v>718322958431.11011</v>
      </c>
      <c r="K368" s="17">
        <v>701576861942.90002</v>
      </c>
      <c r="L368" s="30">
        <v>1549213720218.3801</v>
      </c>
      <c r="M368" s="30">
        <v>1085883159492.03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L252"/>
  <sheetViews>
    <sheetView topLeftCell="A4" zoomScale="130" zoomScaleNormal="130" workbookViewId="0">
      <pane xSplit="2" ySplit="7" topLeftCell="C191" activePane="bottomRight" state="frozen"/>
      <selection activeCell="A4" sqref="A4"/>
      <selection pane="topRight" activeCell="C4" sqref="C4"/>
      <selection pane="bottomLeft" activeCell="A11" sqref="A11"/>
      <selection pane="bottomRight" activeCell="B196" sqref="B196"/>
    </sheetView>
  </sheetViews>
  <sheetFormatPr baseColWidth="10" defaultRowHeight="15" x14ac:dyDescent="0.25"/>
  <cols>
    <col min="1" max="1" width="18.7109375" style="101" customWidth="1"/>
    <col min="2" max="2" width="55.28515625" style="101" customWidth="1"/>
    <col min="3" max="3" width="30.85546875" style="101" customWidth="1"/>
    <col min="4" max="4" width="48.28515625" style="101" customWidth="1"/>
    <col min="5" max="5" width="19.5703125" style="101" customWidth="1"/>
    <col min="6" max="6" width="19.42578125" style="101" customWidth="1"/>
    <col min="7" max="7" width="20.140625" style="101" customWidth="1"/>
    <col min="8" max="8" width="18.85546875" style="101" customWidth="1"/>
    <col min="9" max="9" width="20.7109375" style="101" customWidth="1"/>
    <col min="10" max="10" width="19.28515625" style="101" customWidth="1"/>
    <col min="11" max="11" width="19.140625" style="101" customWidth="1"/>
    <col min="12" max="12" width="19.5703125" style="101" customWidth="1"/>
    <col min="13" max="13" width="19.85546875" style="101" customWidth="1"/>
    <col min="14" max="14" width="20.28515625" style="101" customWidth="1"/>
    <col min="15" max="15" width="17.5703125" style="101" customWidth="1"/>
    <col min="16" max="16" width="20.28515625" style="101" customWidth="1"/>
    <col min="17" max="17" width="26.7109375" style="101" customWidth="1"/>
    <col min="18" max="18" width="26.85546875" style="101" hidden="1" customWidth="1"/>
    <col min="19" max="19" width="29.28515625" style="101" bestFit="1" customWidth="1"/>
    <col min="20" max="20" width="27.140625" style="101" bestFit="1" customWidth="1"/>
    <col min="21" max="22" width="20.42578125" style="101" bestFit="1" customWidth="1"/>
    <col min="23" max="23" width="13.140625" style="101" bestFit="1" customWidth="1"/>
    <col min="24" max="24" width="20.42578125" style="101" bestFit="1" customWidth="1"/>
    <col min="25" max="38" width="11.42578125" style="101"/>
  </cols>
  <sheetData>
    <row r="1" spans="1:24" x14ac:dyDescent="0.25">
      <c r="A1" s="198" t="s">
        <v>1098</v>
      </c>
      <c r="B1" s="199"/>
      <c r="C1" s="199"/>
      <c r="D1" s="199"/>
      <c r="E1" s="200"/>
    </row>
    <row r="2" spans="1:24" x14ac:dyDescent="0.25">
      <c r="A2" s="201" t="s">
        <v>1099</v>
      </c>
      <c r="B2" s="202"/>
      <c r="C2" s="202"/>
      <c r="D2" s="202"/>
      <c r="E2" s="203"/>
    </row>
    <row r="3" spans="1:24" x14ac:dyDescent="0.25">
      <c r="A3" s="201" t="s">
        <v>1100</v>
      </c>
      <c r="B3" s="202"/>
      <c r="C3" s="202"/>
      <c r="D3" s="202"/>
      <c r="E3" s="203"/>
    </row>
    <row r="4" spans="1:24" x14ac:dyDescent="0.25">
      <c r="A4" s="201" t="s">
        <v>1256</v>
      </c>
      <c r="B4" s="202"/>
      <c r="C4" s="202"/>
      <c r="D4" s="202"/>
      <c r="E4" s="203"/>
    </row>
    <row r="5" spans="1:24" x14ac:dyDescent="0.25">
      <c r="A5" s="201" t="s">
        <v>1101</v>
      </c>
      <c r="B5" s="202"/>
      <c r="C5" s="202"/>
      <c r="D5" s="202"/>
      <c r="E5" s="203"/>
    </row>
    <row r="6" spans="1:24" x14ac:dyDescent="0.25">
      <c r="A6" s="36"/>
      <c r="B6" s="37"/>
      <c r="C6" s="37"/>
      <c r="D6" s="37"/>
      <c r="E6" s="38"/>
    </row>
    <row r="10" spans="1:24" x14ac:dyDescent="0.25">
      <c r="A10" s="115" t="s">
        <v>1223</v>
      </c>
      <c r="B10" s="115" t="s">
        <v>788</v>
      </c>
      <c r="C10" s="117" t="s">
        <v>1301</v>
      </c>
      <c r="D10" s="117" t="s">
        <v>1300</v>
      </c>
      <c r="E10" s="117" t="s">
        <v>532</v>
      </c>
      <c r="F10" s="117" t="s">
        <v>531</v>
      </c>
      <c r="G10" s="117" t="s">
        <v>530</v>
      </c>
      <c r="H10" s="117" t="s">
        <v>529</v>
      </c>
      <c r="I10" s="117" t="s">
        <v>528</v>
      </c>
      <c r="J10" s="117" t="s">
        <v>527</v>
      </c>
      <c r="K10" s="117" t="s">
        <v>526</v>
      </c>
      <c r="L10" s="117" t="s">
        <v>525</v>
      </c>
      <c r="M10" s="117" t="s">
        <v>1226</v>
      </c>
      <c r="N10" s="117" t="s">
        <v>523</v>
      </c>
      <c r="O10" s="117" t="s">
        <v>522</v>
      </c>
      <c r="P10" s="117" t="s">
        <v>521</v>
      </c>
      <c r="Q10" s="117" t="s">
        <v>1233</v>
      </c>
      <c r="R10" s="117" t="s">
        <v>1234</v>
      </c>
      <c r="S10" s="117" t="s">
        <v>1302</v>
      </c>
      <c r="T10" s="117" t="s">
        <v>1303</v>
      </c>
    </row>
    <row r="11" spans="1:24" x14ac:dyDescent="0.25">
      <c r="A11" s="116" t="s">
        <v>1224</v>
      </c>
      <c r="B11" s="116" t="s">
        <v>1225</v>
      </c>
      <c r="C11" s="118">
        <f>+C12+C246</f>
        <v>5234518393915.0098</v>
      </c>
      <c r="D11" s="118">
        <f>+D12+D246</f>
        <v>5087023472904</v>
      </c>
      <c r="E11" s="118" t="e">
        <f>+E12+E246</f>
        <v>#VALUE!</v>
      </c>
      <c r="F11" s="118" t="e">
        <f>+F12+F246</f>
        <v>#VALUE!</v>
      </c>
      <c r="G11" s="118" t="e">
        <f t="shared" ref="G11:P11" si="0">+G12+G246</f>
        <v>#VALUE!</v>
      </c>
      <c r="H11" s="118" t="e">
        <f t="shared" si="0"/>
        <v>#VALUE!</v>
      </c>
      <c r="I11" s="118" t="e">
        <f t="shared" si="0"/>
        <v>#VALUE!</v>
      </c>
      <c r="J11" s="118" t="e">
        <f t="shared" si="0"/>
        <v>#VALUE!</v>
      </c>
      <c r="K11" s="118" t="e">
        <f t="shared" si="0"/>
        <v>#VALUE!</v>
      </c>
      <c r="L11" s="118" t="e">
        <f t="shared" si="0"/>
        <v>#VALUE!</v>
      </c>
      <c r="M11" s="118" t="e">
        <f t="shared" si="0"/>
        <v>#VALUE!</v>
      </c>
      <c r="N11" s="118" t="e">
        <f t="shared" si="0"/>
        <v>#VALUE!</v>
      </c>
      <c r="O11" s="118" t="e">
        <f t="shared" si="0"/>
        <v>#VALUE!</v>
      </c>
      <c r="P11" s="118" t="e">
        <f t="shared" si="0"/>
        <v>#VALUE!</v>
      </c>
      <c r="Q11" s="109" t="e">
        <f>+SUM(E11:P11)</f>
        <v>#VALUE!</v>
      </c>
      <c r="R11" s="109" t="e">
        <f>+D11-Q11</f>
        <v>#VALUE!</v>
      </c>
      <c r="S11" s="102" t="e">
        <f>+Q11/D11</f>
        <v>#VALUE!</v>
      </c>
      <c r="T11" s="166" t="e">
        <f>+Q11/C11</f>
        <v>#VALUE!</v>
      </c>
    </row>
    <row r="12" spans="1:24" x14ac:dyDescent="0.25">
      <c r="A12" s="116" t="s">
        <v>785</v>
      </c>
      <c r="B12" s="116" t="s">
        <v>784</v>
      </c>
      <c r="C12" s="118">
        <f>+C13+C110+C121+C192</f>
        <v>5234518393915.0098</v>
      </c>
      <c r="D12" s="118">
        <f>+D13+D110+D121+D192</f>
        <v>5087023472904</v>
      </c>
      <c r="E12" s="118">
        <f>+E13+E110+E121+E192</f>
        <v>472345807709.67004</v>
      </c>
      <c r="F12" s="118">
        <f t="shared" ref="F12:P12" si="1">+F13+F110+F121+F192</f>
        <v>325172908885.32996</v>
      </c>
      <c r="G12" s="118">
        <f t="shared" si="1"/>
        <v>528434162105.72003</v>
      </c>
      <c r="H12" s="118">
        <f t="shared" si="1"/>
        <v>360152330260.75006</v>
      </c>
      <c r="I12" s="118">
        <f t="shared" si="1"/>
        <v>367476607628.71997</v>
      </c>
      <c r="J12" s="118">
        <f t="shared" si="1"/>
        <v>443707802867.12988</v>
      </c>
      <c r="K12" s="118">
        <f t="shared" si="1"/>
        <v>343370252337.06</v>
      </c>
      <c r="L12" s="118">
        <f t="shared" si="1"/>
        <v>386491162174.68994</v>
      </c>
      <c r="M12" s="118">
        <f t="shared" si="1"/>
        <v>458090994716.35992</v>
      </c>
      <c r="N12" s="118">
        <f t="shared" si="1"/>
        <v>377754780150.38</v>
      </c>
      <c r="O12" s="118">
        <f t="shared" si="1"/>
        <v>376477807949.08002</v>
      </c>
      <c r="P12" s="118">
        <f t="shared" si="1"/>
        <v>313720087784.34998</v>
      </c>
      <c r="Q12" s="109">
        <f t="shared" ref="Q12:Q81" si="2">+SUM(E12:P12)</f>
        <v>4753194704569.2393</v>
      </c>
      <c r="R12" s="109">
        <f t="shared" ref="R12:R81" si="3">+D12-Q12</f>
        <v>333828768334.76074</v>
      </c>
      <c r="S12" s="102">
        <f t="shared" ref="S12:S81" si="4">+Q12/D12</f>
        <v>0.93437640496197871</v>
      </c>
      <c r="T12" s="102">
        <f>+Q12/C12</f>
        <v>0.90804814251769628</v>
      </c>
    </row>
    <row r="13" spans="1:24" x14ac:dyDescent="0.25">
      <c r="A13" s="121" t="s">
        <v>783</v>
      </c>
      <c r="B13" s="121" t="s">
        <v>782</v>
      </c>
      <c r="C13" s="122">
        <f>+C14+C39+C52+C84+C105</f>
        <v>4869197000000</v>
      </c>
      <c r="D13" s="122">
        <f>+D14+D39+D52+D84+D105</f>
        <v>4733391000000</v>
      </c>
      <c r="E13" s="122">
        <f t="shared" ref="E13:P13" si="5">+E14+E39+E52+E84+E105</f>
        <v>455189582051.53003</v>
      </c>
      <c r="F13" s="122">
        <f>+F14+F39+F52+F84+F105</f>
        <v>303736847845.46997</v>
      </c>
      <c r="G13" s="122">
        <f t="shared" si="5"/>
        <v>474555135172.22998</v>
      </c>
      <c r="H13" s="122">
        <f t="shared" si="5"/>
        <v>348911494293.27002</v>
      </c>
      <c r="I13" s="122">
        <f t="shared" si="5"/>
        <v>305368958623.01001</v>
      </c>
      <c r="J13" s="122">
        <f t="shared" si="5"/>
        <v>422539111482.51996</v>
      </c>
      <c r="K13" s="122">
        <f t="shared" si="5"/>
        <v>325187198775.26001</v>
      </c>
      <c r="L13" s="122">
        <f t="shared" si="5"/>
        <v>332185091612.13</v>
      </c>
      <c r="M13" s="122">
        <f t="shared" si="5"/>
        <v>442561440282.73999</v>
      </c>
      <c r="N13" s="122">
        <f t="shared" si="5"/>
        <v>358734436674.69</v>
      </c>
      <c r="O13" s="122">
        <f t="shared" si="5"/>
        <v>340434280519.75</v>
      </c>
      <c r="P13" s="122">
        <f t="shared" si="5"/>
        <v>284366746455.85999</v>
      </c>
      <c r="Q13" s="123">
        <f t="shared" si="2"/>
        <v>4393770323788.46</v>
      </c>
      <c r="R13" s="123">
        <f t="shared" si="3"/>
        <v>339620676211.54004</v>
      </c>
      <c r="S13" s="124">
        <f t="shared" si="4"/>
        <v>0.92825002705004933</v>
      </c>
      <c r="T13" s="124">
        <f>+Q13/C13</f>
        <v>0.90236035300860906</v>
      </c>
      <c r="U13" s="103"/>
    </row>
    <row r="14" spans="1:24" x14ac:dyDescent="0.25">
      <c r="A14" s="121" t="s">
        <v>781</v>
      </c>
      <c r="B14" s="121" t="s">
        <v>336</v>
      </c>
      <c r="C14" s="122">
        <v>1887901000000</v>
      </c>
      <c r="D14" s="122">
        <f>+D15+D22+D28+D35+D37</f>
        <v>1746980000000</v>
      </c>
      <c r="E14" s="122">
        <f t="shared" ref="E14:P14" si="6">+E15+E22+E28+E35</f>
        <v>185954678725.28</v>
      </c>
      <c r="F14" s="122">
        <f t="shared" si="6"/>
        <v>80330348294.48999</v>
      </c>
      <c r="G14" s="122">
        <f t="shared" si="6"/>
        <v>254038547906.81</v>
      </c>
      <c r="H14" s="122">
        <f t="shared" si="6"/>
        <v>109545007226.90997</v>
      </c>
      <c r="I14" s="122">
        <f t="shared" si="6"/>
        <v>75786574457.539993</v>
      </c>
      <c r="J14" s="122">
        <f t="shared" si="6"/>
        <v>210090687331.25</v>
      </c>
      <c r="K14" s="122">
        <f t="shared" si="6"/>
        <v>116782784047.89001</v>
      </c>
      <c r="L14" s="122">
        <f t="shared" si="6"/>
        <v>82515733476.919998</v>
      </c>
      <c r="M14" s="122">
        <f t="shared" si="6"/>
        <v>201419959755.13</v>
      </c>
      <c r="N14" s="122">
        <f t="shared" si="6"/>
        <v>81689597959.399994</v>
      </c>
      <c r="O14" s="122">
        <f t="shared" si="6"/>
        <v>68708032203.519997</v>
      </c>
      <c r="P14" s="122">
        <f t="shared" si="6"/>
        <v>-107795026573.70001</v>
      </c>
      <c r="Q14" s="123">
        <f t="shared" si="2"/>
        <v>1359066924811.4402</v>
      </c>
      <c r="R14" s="123">
        <f t="shared" si="3"/>
        <v>387913075188.55981</v>
      </c>
      <c r="S14" s="124">
        <f t="shared" si="4"/>
        <v>0.77795219453653741</v>
      </c>
      <c r="T14" s="124">
        <f t="shared" ref="T14:T80" si="7">+Q14/C14</f>
        <v>0.71988251757451271</v>
      </c>
      <c r="U14" s="109">
        <v>288000000000</v>
      </c>
      <c r="V14" s="109">
        <f>+U14+Q14</f>
        <v>1647066924811.4402</v>
      </c>
      <c r="W14" s="101">
        <v>80000000000</v>
      </c>
      <c r="X14" s="109">
        <f>+W14+V14</f>
        <v>1727066924811.4402</v>
      </c>
    </row>
    <row r="15" spans="1:24" x14ac:dyDescent="0.25">
      <c r="A15" s="121" t="s">
        <v>780</v>
      </c>
      <c r="B15" s="121" t="s">
        <v>779</v>
      </c>
      <c r="C15" s="160" t="s">
        <v>954</v>
      </c>
      <c r="D15" s="122">
        <f>+D16+D17+D18</f>
        <v>535400000000</v>
      </c>
      <c r="E15" s="122">
        <f t="shared" ref="E15:P15" si="8">+E16+E17+E18</f>
        <v>38506700108.620003</v>
      </c>
      <c r="F15" s="122">
        <f t="shared" si="8"/>
        <v>36347642430.769997</v>
      </c>
      <c r="G15" s="122">
        <f t="shared" si="8"/>
        <v>44261534975.970001</v>
      </c>
      <c r="H15" s="122">
        <f t="shared" si="8"/>
        <v>47070437875.719994</v>
      </c>
      <c r="I15" s="122">
        <f t="shared" si="8"/>
        <v>37395545612.040001</v>
      </c>
      <c r="J15" s="122">
        <f t="shared" si="8"/>
        <v>41178279669.230003</v>
      </c>
      <c r="K15" s="122">
        <f t="shared" si="8"/>
        <v>42181001789.980003</v>
      </c>
      <c r="L15" s="122">
        <f t="shared" si="8"/>
        <v>41414548716.019997</v>
      </c>
      <c r="M15" s="122">
        <f t="shared" si="8"/>
        <v>49367917228.279999</v>
      </c>
      <c r="N15" s="122">
        <f t="shared" si="8"/>
        <v>50944683335.709999</v>
      </c>
      <c r="O15" s="122">
        <f t="shared" si="8"/>
        <v>42585899406.169998</v>
      </c>
      <c r="P15" s="122">
        <f t="shared" si="8"/>
        <v>64158002207.949997</v>
      </c>
      <c r="Q15" s="123">
        <f t="shared" si="2"/>
        <v>535412193356.46002</v>
      </c>
      <c r="R15" s="123">
        <f t="shared" si="3"/>
        <v>-12193356.460021973</v>
      </c>
      <c r="S15" s="124">
        <f t="shared" si="4"/>
        <v>1.0000227742929773</v>
      </c>
      <c r="T15" s="167" t="e">
        <f>+Q15/C15</f>
        <v>#VALUE!</v>
      </c>
    </row>
    <row r="16" spans="1:24" x14ac:dyDescent="0.25">
      <c r="A16" s="121" t="s">
        <v>360</v>
      </c>
      <c r="B16" s="121" t="s">
        <v>359</v>
      </c>
      <c r="C16" s="160" t="s">
        <v>954</v>
      </c>
      <c r="D16" s="125">
        <v>284200000000</v>
      </c>
      <c r="E16" s="125">
        <f>+IFERROR(VLOOKUP($A$16,Totalidad!$A$3:$M$356,2,FALSE), "No encontrado")</f>
        <v>19331118412.490002</v>
      </c>
      <c r="F16" s="125">
        <f>+IFERROR(VLOOKUP(A16,Totalidad!$A$3:$M$356,3,FALSE), "No encontrado")</f>
        <v>19994283796.560001</v>
      </c>
      <c r="G16" s="125">
        <f>+IFERROR(VLOOKUP(A16,Totalidad!$A$3:$M$356,4,FALSE), "No encontrado")</f>
        <v>20624719686.060001</v>
      </c>
      <c r="H16" s="125">
        <f>+IFERROR(VLOOKUP(A16,Totalidad!$A$3:$M$356,5,FALSE), "No encontrado")</f>
        <v>23754953654.790001</v>
      </c>
      <c r="I16" s="125">
        <f>+IFERROR(VLOOKUP(A16,Totalidad!$A$3:$M$356,6,FALSE), "No encontrado")</f>
        <v>20563382286.009998</v>
      </c>
      <c r="J16" s="125">
        <f>+IFERROR(VLOOKUP(A16,Totalidad!$A$3:$M$356,7,FALSE), "No encontrado")</f>
        <v>20918220743.560001</v>
      </c>
      <c r="K16" s="125">
        <f>+IFERROR(VLOOKUP(A16,Totalidad!$A$3:$M$356,8,FALSE), "No encontrado")</f>
        <v>21997625880.34</v>
      </c>
      <c r="L16" s="125">
        <f>+IFERROR(VLOOKUP(A16,Totalidad!$A$3:$M$356,9,FALSE), "No encontrado")</f>
        <v>22064073994.77</v>
      </c>
      <c r="M16" s="125">
        <f>+IFERROR(VLOOKUP(A16,Totalidad!$A$3:$M$356,10,FALSE), "No encontrado")</f>
        <v>25013223469.360001</v>
      </c>
      <c r="N16" s="125">
        <f>+IFERROR(VLOOKUP(A16,Totalidad!$A$3:$M$356,11,FALSE), "No encontrado")</f>
        <v>25348352589.549999</v>
      </c>
      <c r="O16" s="125">
        <f>+IFERROR(VLOOKUP(A16,Totalidad!$A$3:$M$356,12,FALSE), "No encontrado")</f>
        <v>23774016453.389999</v>
      </c>
      <c r="P16" s="125">
        <f>+IFERROR(VLOOKUP(A16,Totalidad!$A$3:$M$356,13,FALSE), "No encontrado")</f>
        <v>23362712901.669998</v>
      </c>
      <c r="Q16" s="123">
        <f t="shared" si="2"/>
        <v>266746683868.54999</v>
      </c>
      <c r="R16" s="123">
        <f t="shared" si="3"/>
        <v>17453316131.450012</v>
      </c>
      <c r="S16" s="124">
        <f t="shared" si="4"/>
        <v>0.93858790946006332</v>
      </c>
      <c r="T16" s="124" t="e">
        <f t="shared" si="7"/>
        <v>#VALUE!</v>
      </c>
    </row>
    <row r="17" spans="1:20" x14ac:dyDescent="0.25">
      <c r="A17" s="121" t="s">
        <v>358</v>
      </c>
      <c r="B17" s="121" t="s">
        <v>357</v>
      </c>
      <c r="C17" s="160" t="s">
        <v>954</v>
      </c>
      <c r="D17" s="125">
        <v>192500000000</v>
      </c>
      <c r="E17" s="125">
        <f>+IFERROR(VLOOKUP(A$17,Totalidad!$A$3:$M$356,2,FALSE), "No encontrado")</f>
        <v>16304738230.129999</v>
      </c>
      <c r="F17" s="125">
        <f>+IFERROR(VLOOKUP(A17,Totalidad!$A$3:$M$356,3,FALSE), "No encontrado")</f>
        <v>15201718470.860001</v>
      </c>
      <c r="G17" s="125">
        <f>+IFERROR(VLOOKUP(A17,Totalidad!$A$3:$M$356,4,FALSE), "No encontrado")</f>
        <v>16300093807.57</v>
      </c>
      <c r="H17" s="125">
        <f>+IFERROR(VLOOKUP(A17,Totalidad!$A$3:$M$356,5,FALSE), "No encontrado")</f>
        <v>19985464135.689999</v>
      </c>
      <c r="I17" s="125">
        <f>+IFERROR(VLOOKUP(A17,Totalidad!$A$3:$M$356,6,FALSE), "No encontrado")</f>
        <v>16013384691.799999</v>
      </c>
      <c r="J17" s="125">
        <f>+IFERROR(VLOOKUP(A17,Totalidad!$A$3:$M$356,7,FALSE), "No encontrado")</f>
        <v>15920488489.950001</v>
      </c>
      <c r="K17" s="125">
        <f>+IFERROR(VLOOKUP(A17,Totalidad!$A$3:$M$356,8,FALSE), "No encontrado")</f>
        <v>16286653592.200001</v>
      </c>
      <c r="L17" s="125">
        <f>+IFERROR(VLOOKUP(A17,Totalidad!$A$3:$M$356,9,FALSE), "No encontrado")</f>
        <v>17975885938.099998</v>
      </c>
      <c r="M17" s="125">
        <f>+IFERROR(VLOOKUP(A17,Totalidad!$A$3:$M$356,10,FALSE), "No encontrado")</f>
        <v>18835795572.450001</v>
      </c>
      <c r="N17" s="125">
        <f>+IFERROR(VLOOKUP(A17,Totalidad!$A$3:$M$356,11,FALSE), "No encontrado")</f>
        <v>21410662274.119999</v>
      </c>
      <c r="O17" s="125">
        <f>+IFERROR(VLOOKUP(A17,Totalidad!$A$3:$M$356,12,FALSE), "No encontrado")</f>
        <v>16427807660.6</v>
      </c>
      <c r="P17" s="125">
        <f>+IFERROR(VLOOKUP(A17,Totalidad!$A$3:$M$356,13,FALSE), "No encontrado")</f>
        <v>18939898279.48</v>
      </c>
      <c r="Q17" s="123">
        <f t="shared" si="2"/>
        <v>209602591142.95001</v>
      </c>
      <c r="R17" s="123">
        <f t="shared" si="3"/>
        <v>-17102591142.950012</v>
      </c>
      <c r="S17" s="124">
        <f t="shared" si="4"/>
        <v>1.0888446293140261</v>
      </c>
      <c r="T17" s="124" t="e">
        <f t="shared" si="7"/>
        <v>#VALUE!</v>
      </c>
    </row>
    <row r="18" spans="1:20" x14ac:dyDescent="0.25">
      <c r="A18" s="121" t="s">
        <v>356</v>
      </c>
      <c r="B18" s="121" t="s">
        <v>355</v>
      </c>
      <c r="C18" s="160" t="s">
        <v>954</v>
      </c>
      <c r="D18" s="125">
        <v>58700000000</v>
      </c>
      <c r="E18" s="125">
        <f>+IFERROR(VLOOKUP(A$18,Totalidad!$A$3:$M$356,2,FALSE), "No encontrado")</f>
        <v>2870843466</v>
      </c>
      <c r="F18" s="125">
        <f>+IFERROR(VLOOKUP(A18,Totalidad!$A$3:$M$356,3,FALSE), "No encontrado")</f>
        <v>1151640163.3499999</v>
      </c>
      <c r="G18" s="125">
        <f>+IFERROR(VLOOKUP(A18,Totalidad!$A$3:$M$356,4,FALSE), "No encontrado")</f>
        <v>7336721482.3400002</v>
      </c>
      <c r="H18" s="125">
        <f>+IFERROR(VLOOKUP(A18,Totalidad!$A$3:$M$356,5,FALSE), "No encontrado")</f>
        <v>3330020085.2399998</v>
      </c>
      <c r="I18" s="125">
        <f>+IFERROR(VLOOKUP(A18,Totalidad!$A$3:$M$356,6,FALSE), "No encontrado")</f>
        <v>818778634.23000002</v>
      </c>
      <c r="J18" s="125">
        <f>+IFERROR(VLOOKUP(A18,Totalidad!$A$3:$M$356,7,FALSE), "No encontrado")</f>
        <v>4339570435.7200003</v>
      </c>
      <c r="K18" s="125">
        <f>+IFERROR(VLOOKUP(A18,Totalidad!$A$3:$M$356,8,FALSE), "No encontrado")</f>
        <v>3896722317.4400001</v>
      </c>
      <c r="L18" s="125">
        <f>+IFERROR(VLOOKUP(A18,Totalidad!$A$3:$M$356,9,FALSE), "No encontrado")</f>
        <v>1374588783.1500001</v>
      </c>
      <c r="M18" s="125">
        <f>+IFERROR(VLOOKUP(A18,Totalidad!$A$3:$M$356,10,FALSE), "No encontrado")</f>
        <v>5518898186.4700003</v>
      </c>
      <c r="N18" s="125">
        <f>+IFERROR(VLOOKUP(A18,Totalidad!$A$3:$M$356,11,FALSE), "No encontrado")</f>
        <v>4185668472.04</v>
      </c>
      <c r="O18" s="125">
        <f>+IFERROR(VLOOKUP(A18,Totalidad!$A$3:$M$356,12,FALSE), "No encontrado")</f>
        <v>2384075292.1799998</v>
      </c>
      <c r="P18" s="125">
        <f>+IFERROR(VLOOKUP(A18,Totalidad!$A$3:$M$356,13,FALSE), "No encontrado")</f>
        <v>21855391026.799999</v>
      </c>
      <c r="Q18" s="123">
        <f>+SUM(E18:P18)</f>
        <v>59062918344.960007</v>
      </c>
      <c r="R18" s="123">
        <f t="shared" si="3"/>
        <v>-362918344.96000671</v>
      </c>
      <c r="S18" s="124">
        <f t="shared" si="4"/>
        <v>1.0061825953144805</v>
      </c>
      <c r="T18" s="124" t="e">
        <f t="shared" si="7"/>
        <v>#VALUE!</v>
      </c>
    </row>
    <row r="19" spans="1:20" x14ac:dyDescent="0.25">
      <c r="A19" s="121" t="s">
        <v>1270</v>
      </c>
      <c r="B19" s="121" t="s">
        <v>1271</v>
      </c>
      <c r="C19" s="160" t="s">
        <v>954</v>
      </c>
      <c r="D19" s="160" t="s">
        <v>954</v>
      </c>
      <c r="E19" s="125">
        <f>+IFERROR(VLOOKUP(A19,Totalidad!$A$3:$M$356,2,FALSE), "No encontrado")</f>
        <v>0</v>
      </c>
      <c r="F19" s="125">
        <f>+IFERROR(VLOOKUP(B19,Totalidad!$A$3:$M$356,3,FALSE), "No encontrado")</f>
        <v>0</v>
      </c>
      <c r="G19" s="125">
        <f>+IFERROR(VLOOKUP(A19,Totalidad!$A$3:$M$356,4,FALSE), "No encontrado")</f>
        <v>0</v>
      </c>
      <c r="H19" s="125">
        <f>+IFERROR(VLOOKUP(A19,Totalidad!$A$3:$M$356,5,FALSE), "No encontrado")</f>
        <v>0</v>
      </c>
      <c r="I19" s="125">
        <f>+IFERROR(VLOOKUP(A19,Totalidad!$A$3:$M$356,6,FALSE), "No encontrado")</f>
        <v>0</v>
      </c>
      <c r="J19" s="125">
        <f>+IFERROR(VLOOKUP(A19,Totalidad!$A$3:$M$356,7,FALSE), "No encontrado")</f>
        <v>0</v>
      </c>
      <c r="K19" s="125">
        <f>+IFERROR(VLOOKUP(A19,Totalidad!$A$3:$M$356,8,FALSE), "No encontrado")</f>
        <v>0</v>
      </c>
      <c r="L19" s="125">
        <f>+IFERROR(VLOOKUP(A19,Totalidad!$A$3:$M$356,9,FALSE), "No encontrado")</f>
        <v>787612895</v>
      </c>
      <c r="M19" s="125">
        <f>+IFERROR(VLOOKUP(A19,Totalidad!$A$3:$M$356,10,FALSE), "No encontrado")</f>
        <v>1010981281</v>
      </c>
      <c r="N19" s="125">
        <f>+IFERROR(VLOOKUP(A19,Totalidad!$A$3:$M$356,11,FALSE), "No encontrado")</f>
        <v>818098568</v>
      </c>
      <c r="O19" s="125">
        <f>+IFERROR(VLOOKUP(A19,Totalidad!$A$3:$M$356,12,FALSE), "No encontrado")</f>
        <v>1052563734</v>
      </c>
      <c r="P19" s="125">
        <f>+IFERROR(VLOOKUP(A19,Totalidad!$A$3:$M$356,13,FALSE), "No encontrado")</f>
        <v>1185491414</v>
      </c>
      <c r="Q19" s="123">
        <f>+SUM(E19:P19)</f>
        <v>4854747892</v>
      </c>
      <c r="R19" s="123"/>
      <c r="S19" s="124" t="e">
        <f t="shared" si="4"/>
        <v>#VALUE!</v>
      </c>
      <c r="T19" s="124" t="e">
        <f t="shared" si="7"/>
        <v>#VALUE!</v>
      </c>
    </row>
    <row r="20" spans="1:20" x14ac:dyDescent="0.25">
      <c r="A20" s="121" t="s">
        <v>1272</v>
      </c>
      <c r="B20" s="121" t="s">
        <v>1273</v>
      </c>
      <c r="C20" s="160" t="s">
        <v>954</v>
      </c>
      <c r="D20" s="160" t="s">
        <v>954</v>
      </c>
      <c r="E20" s="125">
        <f>+IFERROR(VLOOKUP(A20,Totalidad!$A$3:$M$356,2,FALSE), "No encontrado")</f>
        <v>0</v>
      </c>
      <c r="F20" s="125">
        <f>+IFERROR(VLOOKUP(B20,Totalidad!$A$3:$M$356,3,FALSE), "No encontrado")</f>
        <v>0</v>
      </c>
      <c r="G20" s="125">
        <f>+IFERROR(VLOOKUP(A20,Totalidad!$A$3:$M$356,4,FALSE), "No encontrado")</f>
        <v>0</v>
      </c>
      <c r="H20" s="125">
        <f>+IFERROR(VLOOKUP(A20,Totalidad!$A$3:$M$356,5,FALSE), "No encontrado")</f>
        <v>0</v>
      </c>
      <c r="I20" s="125">
        <f>+IFERROR(VLOOKUP(A20,Totalidad!$A$3:$M$356,6,FALSE), "No encontrado")</f>
        <v>0</v>
      </c>
      <c r="J20" s="125">
        <f>+IFERROR(VLOOKUP(A20,Totalidad!$A$3:$M$356,7,FALSE), "No encontrado")</f>
        <v>0</v>
      </c>
      <c r="K20" s="125">
        <f>+IFERROR(VLOOKUP(A20,Totalidad!$A$3:$M$356,8,FALSE), "No encontrado")</f>
        <v>0</v>
      </c>
      <c r="L20" s="125">
        <f>+IFERROR(VLOOKUP(A20,Totalidad!$A$3:$M$356,9,FALSE), "No encontrado")</f>
        <v>33393828</v>
      </c>
      <c r="M20" s="125">
        <f>+IFERROR(VLOOKUP(A20,Totalidad!$A$3:$M$356,10,FALSE), "No encontrado")</f>
        <v>1891497</v>
      </c>
      <c r="N20" s="125">
        <f>+IFERROR(VLOOKUP(A20,Totalidad!$A$3:$M$356,11,FALSE), "No encontrado")</f>
        <v>72852084</v>
      </c>
      <c r="O20" s="125">
        <f>+IFERROR(VLOOKUP(A20,Totalidad!$A$3:$M$356,12,FALSE), "No encontrado")</f>
        <v>72166638</v>
      </c>
      <c r="P20" s="125">
        <f>+IFERROR(VLOOKUP(A20,Totalidad!$A$3:$M$356,13,FALSE), "No encontrado")</f>
        <v>181534198</v>
      </c>
      <c r="Q20" s="123">
        <f>+SUM(E20:P20)</f>
        <v>361838245</v>
      </c>
      <c r="R20" s="123"/>
      <c r="S20" s="124" t="e">
        <f t="shared" si="4"/>
        <v>#VALUE!</v>
      </c>
      <c r="T20" s="124" t="e">
        <f t="shared" si="7"/>
        <v>#VALUE!</v>
      </c>
    </row>
    <row r="21" spans="1:20" x14ac:dyDescent="0.25">
      <c r="A21" s="121" t="s">
        <v>1274</v>
      </c>
      <c r="B21" s="121" t="s">
        <v>1275</v>
      </c>
      <c r="C21" s="160" t="s">
        <v>954</v>
      </c>
      <c r="D21" s="160" t="s">
        <v>954</v>
      </c>
      <c r="E21" s="125">
        <f>+IFERROR(VLOOKUP(A21,Totalidad!$A$3:$M$356,2,FALSE), "No encontrado")</f>
        <v>0</v>
      </c>
      <c r="F21" s="125">
        <f>+IFERROR(VLOOKUP(B21,Totalidad!$A$3:$M$356,3,FALSE), "No encontrado")</f>
        <v>0</v>
      </c>
      <c r="G21" s="125">
        <f>+IFERROR(VLOOKUP(A21,Totalidad!$A$3:$M$356,4,FALSE), "No encontrado")</f>
        <v>0</v>
      </c>
      <c r="H21" s="125">
        <f>+IFERROR(VLOOKUP(A21,Totalidad!$A$3:$M$356,5,FALSE), "No encontrado")</f>
        <v>0</v>
      </c>
      <c r="I21" s="125">
        <f>+IFERROR(VLOOKUP(A21,Totalidad!$A$3:$M$356,6,FALSE), "No encontrado")</f>
        <v>0</v>
      </c>
      <c r="J21" s="125">
        <f>+IFERROR(VLOOKUP(A21,Totalidad!$A$3:$M$356,7,FALSE), "No encontrado")</f>
        <v>0</v>
      </c>
      <c r="K21" s="125">
        <f>+IFERROR(VLOOKUP(A21,Totalidad!$A$3:$M$356,8,FALSE), "No encontrado")</f>
        <v>0</v>
      </c>
      <c r="L21" s="125">
        <f>+IFERROR(VLOOKUP(A21,Totalidad!$A$3:$M$356,9,FALSE), "No encontrado")</f>
        <v>26786916</v>
      </c>
      <c r="M21" s="125">
        <f>+IFERROR(VLOOKUP(A21,Totalidad!$A$3:$M$356,10,FALSE), "No encontrado")</f>
        <v>52033493</v>
      </c>
      <c r="N21" s="125">
        <f>+IFERROR(VLOOKUP(A21,Totalidad!$A$3:$M$356,11,FALSE), "No encontrado")</f>
        <v>85380409</v>
      </c>
      <c r="O21" s="125">
        <f>+IFERROR(VLOOKUP(A21,Totalidad!$A$3:$M$356,12,FALSE), "No encontrado")</f>
        <v>73465605</v>
      </c>
      <c r="P21" s="125">
        <f>+IFERROR(VLOOKUP(A21,Totalidad!$A$3:$M$356,13,FALSE), "No encontrado")</f>
        <v>87721070</v>
      </c>
      <c r="Q21" s="123">
        <f>+SUM(E21:P21)</f>
        <v>325387493</v>
      </c>
      <c r="R21" s="123"/>
      <c r="S21" s="124" t="e">
        <f t="shared" si="4"/>
        <v>#VALUE!</v>
      </c>
      <c r="T21" s="124" t="e">
        <f t="shared" si="7"/>
        <v>#VALUE!</v>
      </c>
    </row>
    <row r="22" spans="1:20" x14ac:dyDescent="0.25">
      <c r="A22" s="121" t="s">
        <v>778</v>
      </c>
      <c r="B22" s="121" t="s">
        <v>777</v>
      </c>
      <c r="C22" s="160" t="s">
        <v>954</v>
      </c>
      <c r="D22" s="122">
        <f>+D23+D27</f>
        <v>910900000000</v>
      </c>
      <c r="E22" s="122">
        <f t="shared" ref="E22:P22" si="9">+E23+E27</f>
        <v>104096085821.53</v>
      </c>
      <c r="F22" s="122">
        <f t="shared" si="9"/>
        <v>24713555000</v>
      </c>
      <c r="G22" s="122">
        <f t="shared" si="9"/>
        <v>185503933968.31</v>
      </c>
      <c r="H22" s="122">
        <f t="shared" si="9"/>
        <v>31546848142.689999</v>
      </c>
      <c r="I22" s="122">
        <f t="shared" si="9"/>
        <v>17110814933.879999</v>
      </c>
      <c r="J22" s="122">
        <f t="shared" si="9"/>
        <v>143574392039.16998</v>
      </c>
      <c r="K22" s="122">
        <f t="shared" si="9"/>
        <v>41686748616.529999</v>
      </c>
      <c r="L22" s="122">
        <f t="shared" si="9"/>
        <v>19591253522.779999</v>
      </c>
      <c r="M22" s="122">
        <f>+M23+M24+M25+M27</f>
        <v>134352003519.79001</v>
      </c>
      <c r="N22" s="122">
        <f t="shared" si="9"/>
        <v>-12849</v>
      </c>
      <c r="O22" s="122">
        <f t="shared" si="9"/>
        <v>12849</v>
      </c>
      <c r="P22" s="122">
        <f t="shared" si="9"/>
        <v>-134347425773.79001</v>
      </c>
      <c r="Q22" s="123">
        <f t="shared" si="2"/>
        <v>567828209790.89001</v>
      </c>
      <c r="R22" s="123">
        <f t="shared" si="3"/>
        <v>343071790209.10999</v>
      </c>
      <c r="S22" s="124">
        <f t="shared" si="4"/>
        <v>0.62337052342835664</v>
      </c>
      <c r="T22" s="124" t="e">
        <f t="shared" si="7"/>
        <v>#VALUE!</v>
      </c>
    </row>
    <row r="23" spans="1:20" x14ac:dyDescent="0.25">
      <c r="A23" s="121" t="s">
        <v>353</v>
      </c>
      <c r="B23" s="121" t="s">
        <v>352</v>
      </c>
      <c r="C23" s="160" t="s">
        <v>954</v>
      </c>
      <c r="D23" s="125">
        <v>125250000000</v>
      </c>
      <c r="E23" s="125">
        <f>+IFERROR(VLOOKUP(A23,Totalidad!$A$3:$M$356,2,FALSE), "No encontrado")</f>
        <v>13745370134.91</v>
      </c>
      <c r="F23" s="125">
        <f>+IFERROR(VLOOKUP(A23,Totalidad!$A$3:$M$356,3,FALSE), "No encontrado")</f>
        <v>5152955998.5</v>
      </c>
      <c r="G23" s="125">
        <f>+IFERROR(VLOOKUP(A23,Totalidad!$A$3:$M$356,4,FALSE), "No encontrado")</f>
        <v>6850292698.8400002</v>
      </c>
      <c r="H23" s="125">
        <f>+IFERROR(VLOOKUP(A23,Totalidad!$A$3:$M$356,5,FALSE), "No encontrado")</f>
        <v>5907400600.5</v>
      </c>
      <c r="I23" s="125">
        <f>+IFERROR(VLOOKUP(A23,Totalidad!$A$3:$M$356,6,FALSE), "No encontrado")</f>
        <v>5756094721.8299999</v>
      </c>
      <c r="J23" s="125">
        <f>+IFERROR(VLOOKUP(A23,Totalidad!$A$3:$M$356,7,FALSE), "No encontrado")</f>
        <v>13323940191.940001</v>
      </c>
      <c r="K23" s="125">
        <f>+IFERROR(VLOOKUP(A23,Totalidad!$A$3:$M$356,8,FALSE), "No encontrado")</f>
        <v>6882067023.2200003</v>
      </c>
      <c r="L23" s="125">
        <f>+IFERROR(VLOOKUP(A23,Totalidad!$A$3:$M$356,9,FALSE), "No encontrado")</f>
        <v>5894711833.2600002</v>
      </c>
      <c r="M23" s="125">
        <f>+IFERROR(VLOOKUP(A23,Totalidad!$A$3:$M$356,10,FALSE), "No encontrado")</f>
        <v>13144967168.299999</v>
      </c>
      <c r="N23" s="125">
        <f>+IFERROR(VLOOKUP(A23,Totalidad!$A$3:$M$356,11,FALSE), "No encontrado")</f>
        <v>0</v>
      </c>
      <c r="O23" s="125">
        <f>+IFERROR(VLOOKUP(A23,Totalidad!$A$3:$M$356,12,FALSE), "No encontrado")</f>
        <v>0</v>
      </c>
      <c r="P23" s="125">
        <f>+IFERROR(VLOOKUP(A23,Totalidad!$A$3:$M$356,13,FALSE), "No encontrado")</f>
        <v>-13144967168.299999</v>
      </c>
      <c r="Q23" s="123">
        <f t="shared" si="2"/>
        <v>63512833203</v>
      </c>
      <c r="R23" s="123">
        <f t="shared" si="3"/>
        <v>61737166797</v>
      </c>
      <c r="S23" s="124">
        <f t="shared" si="4"/>
        <v>0.50708848864670664</v>
      </c>
      <c r="T23" s="124" t="e">
        <f t="shared" si="7"/>
        <v>#VALUE!</v>
      </c>
    </row>
    <row r="24" spans="1:20" x14ac:dyDescent="0.25">
      <c r="A24" s="121" t="s">
        <v>835</v>
      </c>
      <c r="B24" s="121" t="s">
        <v>1307</v>
      </c>
      <c r="C24" s="160" t="s">
        <v>954</v>
      </c>
      <c r="D24" s="160" t="s">
        <v>954</v>
      </c>
      <c r="E24" s="125">
        <f>+IFERROR(VLOOKUP(A24,Totalidad!$A$3:$M$356,2,FALSE), "No encontrado")</f>
        <v>0</v>
      </c>
      <c r="F24" s="125">
        <f>+IFERROR(VLOOKUP(A24,Totalidad!$A$3:$M$356,3,FALSE), "No encontrado")</f>
        <v>0</v>
      </c>
      <c r="G24" s="125">
        <f>+IFERROR(VLOOKUP(A24,Totalidad!$A$3:$M$356,4,FALSE), "No encontrado")</f>
        <v>0</v>
      </c>
      <c r="H24" s="125">
        <f>+IFERROR(VLOOKUP(A24,Totalidad!$A$3:$M$356,5,FALSE), "No encontrado")</f>
        <v>0</v>
      </c>
      <c r="I24" s="125">
        <f>+IFERROR(VLOOKUP(A24,Totalidad!$A$3:$M$356,6,FALSE), "No encontrado")</f>
        <v>0</v>
      </c>
      <c r="J24" s="125">
        <f>+IFERROR(VLOOKUP(A24,Totalidad!$A$3:$M$356,7,FALSE), "No encontrado")</f>
        <v>0</v>
      </c>
      <c r="K24" s="125">
        <f>+IFERROR(VLOOKUP(A24,Totalidad!$A$3:$M$356,8,FALSE), "No encontrado")</f>
        <v>0</v>
      </c>
      <c r="L24" s="125">
        <f>+IFERROR(VLOOKUP(A24,Totalidad!$A$3:$M$356,9,FALSE), "No encontrado")</f>
        <v>0</v>
      </c>
      <c r="M24" s="125">
        <f>+IFERROR(VLOOKUP(A24,Totalidad!$A$3:$M$356,10,FALSE), "No encontrado")</f>
        <v>0</v>
      </c>
      <c r="N24" s="125">
        <f>+IFERROR(VLOOKUP(A24,Totalidad!$A$3:$M$356,11,FALSE), "No encontrado")</f>
        <v>5265403025.8999996</v>
      </c>
      <c r="O24" s="125">
        <f>+IFERROR(VLOOKUP(A24,Totalidad!$A$3:$M$356,12,FALSE), "No encontrado")</f>
        <v>5263293639.0500002</v>
      </c>
      <c r="P24" s="125">
        <f>+IFERROR(VLOOKUP(A24,Totalidad!$A$3:$M$356,13,FALSE), "No encontrado")</f>
        <v>26272137957.549999</v>
      </c>
      <c r="Q24" s="123">
        <f t="shared" si="2"/>
        <v>36800834622.5</v>
      </c>
      <c r="R24" s="123"/>
      <c r="S24" s="124" t="e">
        <f t="shared" si="4"/>
        <v>#VALUE!</v>
      </c>
      <c r="T24" s="124" t="e">
        <f t="shared" si="7"/>
        <v>#VALUE!</v>
      </c>
    </row>
    <row r="25" spans="1:20" x14ac:dyDescent="0.25">
      <c r="A25" s="121" t="s">
        <v>1276</v>
      </c>
      <c r="B25" s="121" t="s">
        <v>1277</v>
      </c>
      <c r="C25" s="160" t="s">
        <v>954</v>
      </c>
      <c r="D25" s="160" t="s">
        <v>954</v>
      </c>
      <c r="E25" s="125">
        <f>+IFERROR(VLOOKUP(A25,Totalidad!$A$3:$M$356,2,FALSE), "No encontrado")</f>
        <v>0</v>
      </c>
      <c r="F25" s="125">
        <f>+IFERROR(VLOOKUP(A25,Totalidad!$A$3:$M$356,3,FALSE), "No encontrado")</f>
        <v>0</v>
      </c>
      <c r="G25" s="125">
        <f>+IFERROR(VLOOKUP(A25,Totalidad!$A$3:$M$356,4,FALSE), "No encontrado")</f>
        <v>0</v>
      </c>
      <c r="H25" s="125">
        <v>0</v>
      </c>
      <c r="I25" s="125">
        <f>+IFERROR(VLOOKUP(A25,Totalidad!$A$3:$M$356,6,FALSE), "No encontrado")</f>
        <v>0</v>
      </c>
      <c r="J25" s="125">
        <f>+IFERROR(VLOOKUP(A25,Totalidad!$A$3:$M$356,7,FALSE), "No encontrado")</f>
        <v>0</v>
      </c>
      <c r="K25" s="125">
        <f>+IFERROR(VLOOKUP(A25,Totalidad!$A$3:$M$356,8,FALSE), "No encontrado")</f>
        <v>0</v>
      </c>
      <c r="L25" s="125">
        <f>+IFERROR(VLOOKUP(A25,Totalidad!$A$3:$M$356,9,FALSE), "No encontrado")</f>
        <v>2356485</v>
      </c>
      <c r="M25" s="125">
        <f>+IFERROR(VLOOKUP(A25,Totalidad!$A$3:$M$356,10,FALSE), "No encontrado")</f>
        <v>3852777</v>
      </c>
      <c r="N25" s="125">
        <f>+IFERROR(VLOOKUP(A25,Totalidad!$A$3:$M$356,11,FALSE), "No encontrado")</f>
        <v>3626284</v>
      </c>
      <c r="O25" s="125">
        <f>+IFERROR(VLOOKUP(A25,Totalidad!$A$3:$M$356,12,FALSE), "No encontrado")</f>
        <v>5528332</v>
      </c>
      <c r="P25" s="125">
        <f>+IFERROR(VLOOKUP(A25,Totalidad!$A$3:$M$356,13,FALSE), "No encontrado")</f>
        <v>83620650</v>
      </c>
      <c r="Q25" s="123">
        <f t="shared" si="2"/>
        <v>98984528</v>
      </c>
      <c r="R25" s="123"/>
      <c r="S25" s="124" t="e">
        <f t="shared" si="4"/>
        <v>#VALUE!</v>
      </c>
      <c r="T25" s="124" t="e">
        <f t="shared" si="7"/>
        <v>#VALUE!</v>
      </c>
    </row>
    <row r="26" spans="1:20" x14ac:dyDescent="0.25">
      <c r="A26" s="121"/>
      <c r="B26" s="121"/>
      <c r="C26" s="160"/>
      <c r="D26" s="160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3"/>
      <c r="R26" s="123"/>
      <c r="S26" s="124"/>
      <c r="T26" s="124"/>
    </row>
    <row r="27" spans="1:20" x14ac:dyDescent="0.25">
      <c r="A27" s="121" t="s">
        <v>351</v>
      </c>
      <c r="B27" s="121" t="s">
        <v>350</v>
      </c>
      <c r="C27" s="160" t="s">
        <v>954</v>
      </c>
      <c r="D27" s="125">
        <v>785650000000</v>
      </c>
      <c r="E27" s="125">
        <f>+IFERROR(VLOOKUP(A27,Totalidad!$A$3:$M$356,2,FALSE), "No encontrado")</f>
        <v>90350715686.619995</v>
      </c>
      <c r="F27" s="125">
        <f>+IFERROR(VLOOKUP(A27,Totalidad!$A$3:$M$356,3,FALSE), "No encontrado")</f>
        <v>19560599001.5</v>
      </c>
      <c r="G27" s="125">
        <f>+IFERROR(VLOOKUP(A27,Totalidad!$A$3:$M$356,4,FALSE), "No encontrado")</f>
        <v>178653641269.47</v>
      </c>
      <c r="H27" s="125">
        <f>+IFERROR(VLOOKUP(A27,Totalidad!$A$3:$M$356,5,FALSE), "No encontrado")</f>
        <v>25639447542.189999</v>
      </c>
      <c r="I27" s="125">
        <f>+IFERROR(VLOOKUP(A27,Totalidad!$A$3:$M$356,6,FALSE), "No encontrado")</f>
        <v>11354720212.049999</v>
      </c>
      <c r="J27" s="125">
        <f>+IFERROR(VLOOKUP(A27,Totalidad!$A$3:$M$356,7,FALSE), "No encontrado")</f>
        <v>130250451847.23</v>
      </c>
      <c r="K27" s="125">
        <f>+IFERROR(VLOOKUP(A27,Totalidad!$A$3:$M$356,8,FALSE), "No encontrado")</f>
        <v>34804681593.309998</v>
      </c>
      <c r="L27" s="125">
        <f>+IFERROR(VLOOKUP(A27,Totalidad!$A$3:$M$356,9,FALSE), "No encontrado")</f>
        <v>13696541689.52</v>
      </c>
      <c r="M27" s="125">
        <f>+IFERROR(VLOOKUP(A27,Totalidad!$A$3:$M$356,10,FALSE), "No encontrado")</f>
        <v>121203183574.49001</v>
      </c>
      <c r="N27" s="125">
        <f>+IFERROR(VLOOKUP(A27,Totalidad!$A$3:$M$356,11,FALSE), "No encontrado")</f>
        <v>-12849</v>
      </c>
      <c r="O27" s="125">
        <f>+IFERROR(VLOOKUP(A27,Totalidad!$A$3:$M$356,12,FALSE), "No encontrado")</f>
        <v>12849</v>
      </c>
      <c r="P27" s="125">
        <f>+IFERROR(VLOOKUP(A27,Totalidad!$A$3:$M$356,13,FALSE), "No encontrado")</f>
        <v>-121202458605.49001</v>
      </c>
      <c r="Q27" s="123">
        <f t="shared" si="2"/>
        <v>504311523810.89001</v>
      </c>
      <c r="R27" s="123">
        <f t="shared" si="3"/>
        <v>281338476189.10999</v>
      </c>
      <c r="S27" s="124">
        <f t="shared" si="4"/>
        <v>0.64190354968610708</v>
      </c>
      <c r="T27" s="124" t="e">
        <f t="shared" si="7"/>
        <v>#VALUE!</v>
      </c>
    </row>
    <row r="28" spans="1:20" x14ac:dyDescent="0.25">
      <c r="A28" s="121" t="s">
        <v>776</v>
      </c>
      <c r="B28" s="121" t="s">
        <v>775</v>
      </c>
      <c r="C28" s="160" t="s">
        <v>954</v>
      </c>
      <c r="D28" s="122">
        <f>+D29+D32</f>
        <v>129400000000</v>
      </c>
      <c r="E28" s="122">
        <f t="shared" ref="E28:P28" si="10">+E29+E32</f>
        <v>11563837398.59</v>
      </c>
      <c r="F28" s="122">
        <f t="shared" si="10"/>
        <v>7695419679.3999996</v>
      </c>
      <c r="G28" s="122">
        <f t="shared" si="10"/>
        <v>7365873701.9899998</v>
      </c>
      <c r="H28" s="122">
        <f t="shared" si="10"/>
        <v>11695383646.790001</v>
      </c>
      <c r="I28" s="122">
        <f t="shared" si="10"/>
        <v>8673796128.9799995</v>
      </c>
      <c r="J28" s="122">
        <f t="shared" si="10"/>
        <v>11408229586.290001</v>
      </c>
      <c r="K28" s="122">
        <f t="shared" si="10"/>
        <v>12912576042.17</v>
      </c>
      <c r="L28" s="122">
        <f t="shared" si="10"/>
        <v>10691219859.15</v>
      </c>
      <c r="M28" s="122">
        <f t="shared" si="10"/>
        <v>7020950909.8199997</v>
      </c>
      <c r="N28" s="122">
        <f t="shared" si="10"/>
        <v>14147327488.92</v>
      </c>
      <c r="O28" s="122">
        <f t="shared" si="10"/>
        <v>12928342725.639999</v>
      </c>
      <c r="P28" s="122">
        <f t="shared" si="10"/>
        <v>-57700417025.700005</v>
      </c>
      <c r="Q28" s="123">
        <f t="shared" si="2"/>
        <v>58402540142.039986</v>
      </c>
      <c r="R28" s="123">
        <f t="shared" si="3"/>
        <v>70997459857.960022</v>
      </c>
      <c r="S28" s="124">
        <f t="shared" si="4"/>
        <v>0.45133338595084999</v>
      </c>
      <c r="T28" s="124" t="e">
        <f t="shared" si="7"/>
        <v>#VALUE!</v>
      </c>
    </row>
    <row r="29" spans="1:20" x14ac:dyDescent="0.25">
      <c r="A29" s="121" t="s">
        <v>1251</v>
      </c>
      <c r="B29" s="121" t="s">
        <v>773</v>
      </c>
      <c r="C29" s="160" t="s">
        <v>954</v>
      </c>
      <c r="D29" s="125">
        <v>40000000000</v>
      </c>
      <c r="E29" s="125">
        <f>+IFERROR(VLOOKUP(A29,Totalidad!$A$3:$M$356,2,FALSE), "No encontrado")</f>
        <v>4691731505.4499998</v>
      </c>
      <c r="F29" s="125">
        <f>+IFERROR(VLOOKUP(A29,Totalidad!$A$3:$M$356,3,FALSE), "No encontrado")</f>
        <v>2641023481.1900001</v>
      </c>
      <c r="G29" s="125">
        <f>+IFERROR(VLOOKUP(A29,Totalidad!$A$3:$M$356,4,FALSE), "No encontrado")</f>
        <v>2500625138.2399998</v>
      </c>
      <c r="H29" s="125">
        <f>+IFERROR(VLOOKUP(A29,Totalidad!$A$3:$M$356,5,FALSE), "No encontrado")</f>
        <v>2721867313</v>
      </c>
      <c r="I29" s="125">
        <f>+IFERROR(VLOOKUP(A29,Totalidad!$A$3:$M$356,6,FALSE), "No encontrado")</f>
        <v>3197647783.9400001</v>
      </c>
      <c r="J29" s="125">
        <f>+IFERROR(VLOOKUP(A29,Totalidad!$A$3:$M$356,7,FALSE), "No encontrado")</f>
        <v>2838312325.54</v>
      </c>
      <c r="K29" s="125">
        <f>+IFERROR(VLOOKUP(A29,Totalidad!$A$3:$M$356,8,FALSE), "No encontrado")</f>
        <v>5697655568.8900003</v>
      </c>
      <c r="L29" s="125">
        <f>+IFERROR(VLOOKUP(A29,Totalidad!$A$3:$M$356,9,FALSE), "No encontrado")</f>
        <v>2591672932.8600001</v>
      </c>
      <c r="M29" s="125">
        <f>+IFERROR(VLOOKUP(A29,Totalidad!$A$3:$M$356,10,FALSE), "No encontrado")</f>
        <v>1896129315</v>
      </c>
      <c r="N29" s="125">
        <f>+IFERROR(VLOOKUP(A29,Totalidad!$A$3:$M$356,11,FALSE), "No encontrado")</f>
        <v>3307807934.6500001</v>
      </c>
      <c r="O29" s="125">
        <f>+IFERROR(VLOOKUP(A29,Totalidad!$A$3:$M$356,12,FALSE), "No encontrado")</f>
        <v>5925193421</v>
      </c>
      <c r="P29" s="125">
        <f>+IFERROR(VLOOKUP(A29,Totalidad!$A$3:$M$356,13,FALSE), "No encontrado")</f>
        <v>-19418459172.400002</v>
      </c>
      <c r="Q29" s="123">
        <f t="shared" si="2"/>
        <v>18591207547.360001</v>
      </c>
      <c r="R29" s="123">
        <f t="shared" si="3"/>
        <v>21408792452.639999</v>
      </c>
      <c r="S29" s="124">
        <f t="shared" si="4"/>
        <v>0.46478018868400001</v>
      </c>
      <c r="T29" s="124" t="e">
        <f t="shared" si="7"/>
        <v>#VALUE!</v>
      </c>
    </row>
    <row r="30" spans="1:20" x14ac:dyDescent="0.25">
      <c r="A30" s="121" t="s">
        <v>348</v>
      </c>
      <c r="B30" s="121" t="s">
        <v>344</v>
      </c>
      <c r="C30" s="160" t="s">
        <v>954</v>
      </c>
      <c r="D30" s="126" t="s">
        <v>1114</v>
      </c>
      <c r="E30" s="125" t="str">
        <f>+IFERROR(VLOOKUP(A30,Totalidad!$A$3:$M$356,2,FALSE), "No encontrado")</f>
        <v>No encontrado</v>
      </c>
      <c r="F30" s="125" t="str">
        <f>+IFERROR(VLOOKUP(A30,Totalidad!#REF!,3,FALSE), "No encontrado")</f>
        <v>No encontrado</v>
      </c>
      <c r="G30" s="125" t="str">
        <f>+IFERROR(VLOOKUP(A30,Totalidad!#REF!,4,FALSE), "No encontrado")</f>
        <v>No encontrado</v>
      </c>
      <c r="H30" s="125" t="str">
        <f>+IFERROR(VLOOKUP(A30,Totalidad!#REF!,5,FALSE), "No encontrado")</f>
        <v>No encontrado</v>
      </c>
      <c r="I30" s="125" t="str">
        <f>+IFERROR(VLOOKUP(A30,Totalidad!#REF!,6,FALSE), "No encontrado")</f>
        <v>No encontrado</v>
      </c>
      <c r="J30" s="125" t="str">
        <f>+IFERROR(VLOOKUP(A30,Totalidad!#REF!,7,FALSE), "No encontrado")</f>
        <v>No encontrado</v>
      </c>
      <c r="K30" s="125" t="str">
        <f>+IFERROR(VLOOKUP(A30,Totalidad!#REF!,8,FALSE), "No encontrado")</f>
        <v>No encontrado</v>
      </c>
      <c r="L30" s="125" t="str">
        <f>+IFERROR(VLOOKUP(A30,Totalidad!#REF!,9,FALSE), "No encontrado")</f>
        <v>No encontrado</v>
      </c>
      <c r="M30" s="125" t="str">
        <f>+IFERROR(VLOOKUP(A30,Totalidad!#REF!,10,FALSE), "No encontrado")</f>
        <v>No encontrado</v>
      </c>
      <c r="N30" s="125" t="str">
        <f>+IFERROR(VLOOKUP(A30,Totalidad!#REF!,11,FALSE), "No encontrado")</f>
        <v>No encontrado</v>
      </c>
      <c r="O30" s="125" t="str">
        <f>+IFERROR(VLOOKUP(A30,Totalidad!#REF!,12,FALSE), "No encontrado")</f>
        <v>No encontrado</v>
      </c>
      <c r="P30" s="125" t="str">
        <f>+IFERROR(VLOOKUP(A30,Totalidad!#REF!,13,FALSE), "No encontrado")</f>
        <v>No encontrado</v>
      </c>
      <c r="Q30" s="123">
        <f t="shared" si="2"/>
        <v>0</v>
      </c>
      <c r="R30" s="123" t="e">
        <f t="shared" si="3"/>
        <v>#VALUE!</v>
      </c>
      <c r="S30" s="124" t="e">
        <f t="shared" si="4"/>
        <v>#VALUE!</v>
      </c>
      <c r="T30" s="124" t="e">
        <f t="shared" si="7"/>
        <v>#VALUE!</v>
      </c>
    </row>
    <row r="31" spans="1:20" x14ac:dyDescent="0.25">
      <c r="A31" s="121" t="s">
        <v>347</v>
      </c>
      <c r="B31" s="121" t="s">
        <v>342</v>
      </c>
      <c r="C31" s="160" t="s">
        <v>954</v>
      </c>
      <c r="D31" s="126" t="s">
        <v>1114</v>
      </c>
      <c r="E31" s="125" t="str">
        <f>+IFERROR(VLOOKUP(A31,Totalidad!$A$3:$M$356,2,FALSE), "No encontrado")</f>
        <v>No encontrado</v>
      </c>
      <c r="F31" s="125" t="str">
        <f>+IFERROR(VLOOKUP(A31,Totalidad!#REF!,3,FALSE), "No encontrado")</f>
        <v>No encontrado</v>
      </c>
      <c r="G31" s="125" t="str">
        <f>+IFERROR(VLOOKUP(A31,Totalidad!#REF!,4,FALSE), "No encontrado")</f>
        <v>No encontrado</v>
      </c>
      <c r="H31" s="125" t="str">
        <f>+IFERROR(VLOOKUP(A31,Totalidad!#REF!,5,FALSE), "No encontrado")</f>
        <v>No encontrado</v>
      </c>
      <c r="I31" s="125" t="str">
        <f>+IFERROR(VLOOKUP(A31,Totalidad!#REF!,6,FALSE), "No encontrado")</f>
        <v>No encontrado</v>
      </c>
      <c r="J31" s="125" t="str">
        <f>+IFERROR(VLOOKUP(A31,Totalidad!#REF!,7,FALSE), "No encontrado")</f>
        <v>No encontrado</v>
      </c>
      <c r="K31" s="125" t="str">
        <f>+IFERROR(VLOOKUP(A31,Totalidad!#REF!,8,FALSE), "No encontrado")</f>
        <v>No encontrado</v>
      </c>
      <c r="L31" s="125" t="str">
        <f>+IFERROR(VLOOKUP(A31,Totalidad!#REF!,9,FALSE), "No encontrado")</f>
        <v>No encontrado</v>
      </c>
      <c r="M31" s="125" t="str">
        <f>+IFERROR(VLOOKUP(A31,Totalidad!#REF!,10,FALSE), "No encontrado")</f>
        <v>No encontrado</v>
      </c>
      <c r="N31" s="125" t="str">
        <f>+IFERROR(VLOOKUP(A31,Totalidad!#REF!,11,FALSE), "No encontrado")</f>
        <v>No encontrado</v>
      </c>
      <c r="O31" s="125" t="str">
        <f>+IFERROR(VLOOKUP(A31,Totalidad!#REF!,12,FALSE), "No encontrado")</f>
        <v>No encontrado</v>
      </c>
      <c r="P31" s="125" t="str">
        <f>+IFERROR(VLOOKUP(A31,Totalidad!#REF!,13,FALSE), "No encontrado")</f>
        <v>No encontrado</v>
      </c>
      <c r="Q31" s="123">
        <f t="shared" si="2"/>
        <v>0</v>
      </c>
      <c r="R31" s="123" t="e">
        <f t="shared" si="3"/>
        <v>#VALUE!</v>
      </c>
      <c r="S31" s="124" t="e">
        <f t="shared" si="4"/>
        <v>#VALUE!</v>
      </c>
      <c r="T31" s="124" t="e">
        <f>+Q31/C31</f>
        <v>#VALUE!</v>
      </c>
    </row>
    <row r="32" spans="1:20" x14ac:dyDescent="0.25">
      <c r="A32" s="121" t="s">
        <v>1252</v>
      </c>
      <c r="B32" s="121" t="s">
        <v>771</v>
      </c>
      <c r="C32" s="160" t="s">
        <v>954</v>
      </c>
      <c r="D32" s="125">
        <v>89400000000</v>
      </c>
      <c r="E32" s="125">
        <f>+IFERROR(VLOOKUP(A32,Totalidad!$A$3:$M$356,2,FALSE), "No encontrado")</f>
        <v>6872105893.1400003</v>
      </c>
      <c r="F32" s="125">
        <f>+IFERROR(VLOOKUP(A32,Totalidad!$A$3:$M$356,3,FALSE), "No encontrado")</f>
        <v>5054396198.21</v>
      </c>
      <c r="G32" s="125">
        <f>+IFERROR(VLOOKUP(A32,Totalidad!$A$3:$M$356,4,FALSE), "No encontrado")</f>
        <v>4865248563.75</v>
      </c>
      <c r="H32" s="125">
        <f>+IFERROR(VLOOKUP(A32,Totalidad!$A$3:$M$356,5,FALSE), "No encontrado")</f>
        <v>8973516333.7900009</v>
      </c>
      <c r="I32" s="125">
        <f>+IFERROR(VLOOKUP(A32,Totalidad!$A$3:$M$356,6,FALSE), "No encontrado")</f>
        <v>5476148345.04</v>
      </c>
      <c r="J32" s="125">
        <f>+IFERROR(VLOOKUP(A32,Totalidad!$A$3:$M$356,7,FALSE), "No encontrado")</f>
        <v>8569917260.75</v>
      </c>
      <c r="K32" s="125">
        <f>+IFERROR(VLOOKUP(A32,Totalidad!$A$3:$M$356,8,FALSE), "No encontrado")</f>
        <v>7214920473.2799997</v>
      </c>
      <c r="L32" s="125">
        <f>+IFERROR(VLOOKUP(A32,Totalidad!$A$3:$M$356,9,FALSE), "No encontrado")</f>
        <v>8099546926.29</v>
      </c>
      <c r="M32" s="125">
        <f>+IFERROR(VLOOKUP(A32,Totalidad!$A$3:$M$356,10,FALSE), "No encontrado")</f>
        <v>5124821594.8199997</v>
      </c>
      <c r="N32" s="125">
        <f>+IFERROR(VLOOKUP(A32,Totalidad!$A$3:$M$356,11,FALSE), "No encontrado")</f>
        <v>10839519554.27</v>
      </c>
      <c r="O32" s="125">
        <f>+IFERROR(VLOOKUP(A32,Totalidad!$A$3:$M$356,12,FALSE), "No encontrado")</f>
        <v>7003149304.6400003</v>
      </c>
      <c r="P32" s="125">
        <f>+IFERROR(VLOOKUP(A32,Totalidad!$A$3:$M$356,13,FALSE), "No encontrado")</f>
        <v>-38281957853.300003</v>
      </c>
      <c r="Q32" s="123">
        <f t="shared" si="2"/>
        <v>39811332594.679993</v>
      </c>
      <c r="R32" s="123">
        <f t="shared" si="3"/>
        <v>49588667405.320007</v>
      </c>
      <c r="S32" s="124">
        <f t="shared" si="4"/>
        <v>0.44531691940357931</v>
      </c>
      <c r="T32" s="124" t="e">
        <f t="shared" si="7"/>
        <v>#VALUE!</v>
      </c>
    </row>
    <row r="33" spans="1:20" x14ac:dyDescent="0.25">
      <c r="A33" s="121" t="s">
        <v>345</v>
      </c>
      <c r="B33" s="121" t="s">
        <v>344</v>
      </c>
      <c r="C33" s="160" t="s">
        <v>954</v>
      </c>
      <c r="D33" s="126" t="s">
        <v>1114</v>
      </c>
      <c r="E33" s="125" t="str">
        <f>+IFERROR(VLOOKUP(A33,Totalidad!$A$3:$M$356,2,FALSE), "No encontrado")</f>
        <v>No encontrado</v>
      </c>
      <c r="F33" s="125" t="str">
        <f>+IFERROR(VLOOKUP(A33,Totalidad!#REF!,3,FALSE), "No encontrado")</f>
        <v>No encontrado</v>
      </c>
      <c r="G33" s="125" t="str">
        <f>+IFERROR(VLOOKUP(A33,Totalidad!#REF!,4,FALSE), "No encontrado")</f>
        <v>No encontrado</v>
      </c>
      <c r="H33" s="125" t="str">
        <f>+IFERROR(VLOOKUP(A33,Totalidad!#REF!,5,FALSE), "No encontrado")</f>
        <v>No encontrado</v>
      </c>
      <c r="I33" s="125" t="str">
        <f>+IFERROR(VLOOKUP(A33,Totalidad!#REF!,6,FALSE), "No encontrado")</f>
        <v>No encontrado</v>
      </c>
      <c r="J33" s="125" t="str">
        <f>+IFERROR(VLOOKUP(A33,Totalidad!#REF!,7,FALSE), "No encontrado")</f>
        <v>No encontrado</v>
      </c>
      <c r="K33" s="125" t="str">
        <f>+IFERROR(VLOOKUP(A33,Totalidad!#REF!,8,FALSE), "No encontrado")</f>
        <v>No encontrado</v>
      </c>
      <c r="L33" s="125" t="str">
        <f>+IFERROR(VLOOKUP(A33,Totalidad!#REF!,9,FALSE), "No encontrado")</f>
        <v>No encontrado</v>
      </c>
      <c r="M33" s="125" t="str">
        <f>+IFERROR(VLOOKUP(A33,Totalidad!#REF!,10,FALSE), "No encontrado")</f>
        <v>No encontrado</v>
      </c>
      <c r="N33" s="125" t="str">
        <f>+IFERROR(VLOOKUP(A33,Totalidad!#REF!,11,FALSE), "No encontrado")</f>
        <v>No encontrado</v>
      </c>
      <c r="O33" s="125" t="str">
        <f>+IFERROR(VLOOKUP(A33,Totalidad!#REF!,12,FALSE), "No encontrado")</f>
        <v>No encontrado</v>
      </c>
      <c r="P33" s="125" t="str">
        <f>+IFERROR(VLOOKUP(A33,Totalidad!#REF!,13,FALSE), "No encontrado")</f>
        <v>No encontrado</v>
      </c>
      <c r="Q33" s="123">
        <f t="shared" si="2"/>
        <v>0</v>
      </c>
      <c r="R33" s="123" t="e">
        <f t="shared" si="3"/>
        <v>#VALUE!</v>
      </c>
      <c r="S33" s="124" t="e">
        <f t="shared" si="4"/>
        <v>#VALUE!</v>
      </c>
      <c r="T33" s="124" t="e">
        <f t="shared" si="7"/>
        <v>#VALUE!</v>
      </c>
    </row>
    <row r="34" spans="1:20" x14ac:dyDescent="0.25">
      <c r="A34" s="121" t="s">
        <v>343</v>
      </c>
      <c r="B34" s="121" t="s">
        <v>342</v>
      </c>
      <c r="C34" s="160" t="s">
        <v>954</v>
      </c>
      <c r="D34" s="126" t="s">
        <v>1114</v>
      </c>
      <c r="E34" s="125" t="str">
        <f>+IFERROR(VLOOKUP(A34,Totalidad!$A$3:$M$356,2,FALSE), "No encontrado")</f>
        <v>No encontrado</v>
      </c>
      <c r="F34" s="125" t="str">
        <f>+IFERROR(VLOOKUP(A34,Totalidad!#REF!,3,FALSE), "No encontrado")</f>
        <v>No encontrado</v>
      </c>
      <c r="G34" s="125" t="str">
        <f>+IFERROR(VLOOKUP(A34,Totalidad!#REF!,4,FALSE), "No encontrado")</f>
        <v>No encontrado</v>
      </c>
      <c r="H34" s="125" t="str">
        <f>+IFERROR(VLOOKUP(A34,Totalidad!#REF!,5,FALSE), "No encontrado")</f>
        <v>No encontrado</v>
      </c>
      <c r="I34" s="125" t="str">
        <f>+IFERROR(VLOOKUP(A34,Totalidad!#REF!,6,FALSE), "No encontrado")</f>
        <v>No encontrado</v>
      </c>
      <c r="J34" s="125" t="str">
        <f>+IFERROR(VLOOKUP(A34,Totalidad!#REF!,7,FALSE), "No encontrado")</f>
        <v>No encontrado</v>
      </c>
      <c r="K34" s="125" t="str">
        <f>+IFERROR(VLOOKUP(A34,Totalidad!#REF!,8,FALSE), "No encontrado")</f>
        <v>No encontrado</v>
      </c>
      <c r="L34" s="125" t="str">
        <f>+IFERROR(VLOOKUP(A34,Totalidad!#REF!,9,FALSE), "No encontrado")</f>
        <v>No encontrado</v>
      </c>
      <c r="M34" s="125" t="str">
        <f>+IFERROR(VLOOKUP(A34,Totalidad!#REF!,10,FALSE), "No encontrado")</f>
        <v>No encontrado</v>
      </c>
      <c r="N34" s="125" t="str">
        <f>+IFERROR(VLOOKUP(A34,Totalidad!#REF!,11,FALSE), "No encontrado")</f>
        <v>No encontrado</v>
      </c>
      <c r="O34" s="125" t="str">
        <f>+IFERROR(VLOOKUP(A34,Totalidad!#REF!,12,FALSE), "No encontrado")</f>
        <v>No encontrado</v>
      </c>
      <c r="P34" s="125" t="str">
        <f>+IFERROR(VLOOKUP(A34,Totalidad!#REF!,13,FALSE), "No encontrado")</f>
        <v>No encontrado</v>
      </c>
      <c r="Q34" s="123">
        <f t="shared" si="2"/>
        <v>0</v>
      </c>
      <c r="R34" s="123" t="e">
        <f t="shared" si="3"/>
        <v>#VALUE!</v>
      </c>
      <c r="S34" s="124" t="e">
        <f t="shared" si="4"/>
        <v>#VALUE!</v>
      </c>
      <c r="T34" s="124" t="e">
        <f t="shared" si="7"/>
        <v>#VALUE!</v>
      </c>
    </row>
    <row r="35" spans="1:20" x14ac:dyDescent="0.25">
      <c r="A35" s="121" t="s">
        <v>770</v>
      </c>
      <c r="B35" s="121" t="s">
        <v>769</v>
      </c>
      <c r="C35" s="160" t="s">
        <v>954</v>
      </c>
      <c r="D35" s="122">
        <f>+D36</f>
        <v>171280000000</v>
      </c>
      <c r="E35" s="122">
        <f t="shared" ref="E35:P35" si="11">+E36</f>
        <v>31788055396.540001</v>
      </c>
      <c r="F35" s="122">
        <f t="shared" si="11"/>
        <v>11573731184.32</v>
      </c>
      <c r="G35" s="122">
        <f t="shared" si="11"/>
        <v>16907205260.540001</v>
      </c>
      <c r="H35" s="122">
        <f t="shared" si="11"/>
        <v>19232337561.709999</v>
      </c>
      <c r="I35" s="122">
        <f t="shared" si="11"/>
        <v>12606417782.639999</v>
      </c>
      <c r="J35" s="122">
        <f t="shared" si="11"/>
        <v>13929786036.559999</v>
      </c>
      <c r="K35" s="122">
        <f t="shared" si="11"/>
        <v>20002457599.209999</v>
      </c>
      <c r="L35" s="122">
        <f t="shared" si="11"/>
        <v>10818711378.969999</v>
      </c>
      <c r="M35" s="122">
        <f t="shared" si="11"/>
        <v>10679088097.24</v>
      </c>
      <c r="N35" s="122">
        <f t="shared" si="11"/>
        <v>16597599983.77</v>
      </c>
      <c r="O35" s="122">
        <f t="shared" si="11"/>
        <v>13193777222.709999</v>
      </c>
      <c r="P35" s="122">
        <f t="shared" si="11"/>
        <v>20094814017.84</v>
      </c>
      <c r="Q35" s="123">
        <f t="shared" si="2"/>
        <v>197423981522.04996</v>
      </c>
      <c r="R35" s="123">
        <f t="shared" si="3"/>
        <v>-26143981522.049957</v>
      </c>
      <c r="S35" s="124">
        <f t="shared" si="4"/>
        <v>1.1526388458783861</v>
      </c>
      <c r="T35" s="124" t="e">
        <f t="shared" si="7"/>
        <v>#VALUE!</v>
      </c>
    </row>
    <row r="36" spans="1:20" x14ac:dyDescent="0.25">
      <c r="A36" s="121" t="s">
        <v>340</v>
      </c>
      <c r="B36" s="121" t="s">
        <v>339</v>
      </c>
      <c r="C36" s="160" t="s">
        <v>954</v>
      </c>
      <c r="D36" s="125">
        <v>171280000000</v>
      </c>
      <c r="E36" s="125">
        <f>+IFERROR(VLOOKUP(A36,Totalidad!$A$3:$M$356,2,FALSE), "No encontrado")</f>
        <v>31788055396.540001</v>
      </c>
      <c r="F36" s="125">
        <f>+IFERROR(VLOOKUP(A36,Totalidad!$A$3:$M$356,3,FALSE), "No encontrado")</f>
        <v>11573731184.32</v>
      </c>
      <c r="G36" s="125">
        <f>+IFERROR(VLOOKUP(A36,Totalidad!$A$3:$M$356,4,FALSE), "No encontrado")</f>
        <v>16907205260.540001</v>
      </c>
      <c r="H36" s="125">
        <f>+IFERROR(VLOOKUP(A36,Totalidad!$A$3:$M$356,5,FALSE), "No encontrado")</f>
        <v>19232337561.709999</v>
      </c>
      <c r="I36" s="125">
        <f>+IFERROR(VLOOKUP(A36,Totalidad!$A$3:$M$356,6,FALSE), "No encontrado")</f>
        <v>12606417782.639999</v>
      </c>
      <c r="J36" s="125">
        <f>+IFERROR(VLOOKUP(A36,Totalidad!$A$3:$M$356,7,FALSE), "No encontrado")</f>
        <v>13929786036.559999</v>
      </c>
      <c r="K36" s="125">
        <f>+IFERROR(VLOOKUP(A36,Totalidad!$A$3:$M$356,8,FALSE), "No encontrado")</f>
        <v>20002457599.209999</v>
      </c>
      <c r="L36" s="125">
        <f>+IFERROR(VLOOKUP(A36,Totalidad!$A$3:$M$356,9,FALSE), "No encontrado")</f>
        <v>10818711378.969999</v>
      </c>
      <c r="M36" s="125">
        <f>+IFERROR(VLOOKUP(A36,Totalidad!$A$3:$M$356,10,FALSE), "No encontrado")</f>
        <v>10679088097.24</v>
      </c>
      <c r="N36" s="125">
        <f>+IFERROR(VLOOKUP(A36,Totalidad!$A$3:$M$356,11,FALSE), "No encontrado")</f>
        <v>16597599983.77</v>
      </c>
      <c r="O36" s="125">
        <f>+IFERROR(VLOOKUP(A36,Totalidad!$A$3:$M$356,12,FALSE), "No encontrado")</f>
        <v>13193777222.709999</v>
      </c>
      <c r="P36" s="125">
        <f>+IFERROR(VLOOKUP(A36,Totalidad!$A$3:$M$356,13,FALSE), "No encontrado")</f>
        <v>20094814017.84</v>
      </c>
      <c r="Q36" s="123">
        <f t="shared" si="2"/>
        <v>197423981522.04996</v>
      </c>
      <c r="R36" s="123">
        <f t="shared" si="3"/>
        <v>-26143981522.049957</v>
      </c>
      <c r="S36" s="124">
        <f t="shared" si="4"/>
        <v>1.1526388458783861</v>
      </c>
      <c r="T36" s="124" t="e">
        <f t="shared" si="7"/>
        <v>#VALUE!</v>
      </c>
    </row>
    <row r="37" spans="1:20" x14ac:dyDescent="0.25">
      <c r="A37" s="121" t="s">
        <v>768</v>
      </c>
      <c r="B37" s="121" t="s">
        <v>767</v>
      </c>
      <c r="C37" s="160" t="s">
        <v>954</v>
      </c>
      <c r="D37" s="127">
        <f>+D38</f>
        <v>0</v>
      </c>
      <c r="E37" s="127" t="str">
        <f t="shared" ref="E37:P37" si="12">+E38</f>
        <v>No encontrado</v>
      </c>
      <c r="F37" s="127" t="str">
        <f t="shared" si="12"/>
        <v>No encontrado</v>
      </c>
      <c r="G37" s="127" t="str">
        <f t="shared" si="12"/>
        <v>No encontrado</v>
      </c>
      <c r="H37" s="127" t="str">
        <f t="shared" si="12"/>
        <v>No encontrado</v>
      </c>
      <c r="I37" s="127" t="str">
        <f t="shared" si="12"/>
        <v>No encontrado</v>
      </c>
      <c r="J37" s="127" t="str">
        <f t="shared" si="12"/>
        <v>No encontrado</v>
      </c>
      <c r="K37" s="127" t="str">
        <f t="shared" si="12"/>
        <v>No encontrado</v>
      </c>
      <c r="L37" s="127" t="str">
        <f t="shared" si="12"/>
        <v>No encontrado</v>
      </c>
      <c r="M37" s="127" t="str">
        <f t="shared" si="12"/>
        <v>No encontrado</v>
      </c>
      <c r="N37" s="127" t="str">
        <f t="shared" si="12"/>
        <v>No encontrado</v>
      </c>
      <c r="O37" s="127" t="str">
        <f t="shared" si="12"/>
        <v>No encontrado</v>
      </c>
      <c r="P37" s="127" t="str">
        <f t="shared" si="12"/>
        <v>No encontrado</v>
      </c>
      <c r="Q37" s="123">
        <f t="shared" si="2"/>
        <v>0</v>
      </c>
      <c r="R37" s="123">
        <f t="shared" si="3"/>
        <v>0</v>
      </c>
      <c r="S37" s="124" t="e">
        <f t="shared" si="4"/>
        <v>#DIV/0!</v>
      </c>
      <c r="T37" s="124" t="e">
        <f t="shared" si="7"/>
        <v>#VALUE!</v>
      </c>
    </row>
    <row r="38" spans="1:20" x14ac:dyDescent="0.25">
      <c r="A38" s="121" t="s">
        <v>338</v>
      </c>
      <c r="B38" s="121" t="s">
        <v>337</v>
      </c>
      <c r="C38" s="160" t="s">
        <v>954</v>
      </c>
      <c r="D38" s="128">
        <v>0</v>
      </c>
      <c r="E38" s="125" t="str">
        <f>+IFERROR(VLOOKUP(A38,Totalidad!$A$3:$M$356,2,FALSE), "No encontrado")</f>
        <v>No encontrado</v>
      </c>
      <c r="F38" s="125" t="str">
        <f>+IFERROR(VLOOKUP(A38,Totalidad!$A$3:$M$356,3,FALSE), "No encontrado")</f>
        <v>No encontrado</v>
      </c>
      <c r="G38" s="125" t="str">
        <f>+IFERROR(VLOOKUP(A38,Totalidad!$A$3:$M$356,4,FALSE), "No encontrado")</f>
        <v>No encontrado</v>
      </c>
      <c r="H38" s="125" t="str">
        <f>+IFERROR(VLOOKUP(A38,Totalidad!$A$3:$M$356,5,FALSE), "No encontrado")</f>
        <v>No encontrado</v>
      </c>
      <c r="I38" s="125" t="str">
        <f>+IFERROR(VLOOKUP(A38,Totalidad!$A$3:$M$356,6,FALSE), "No encontrado")</f>
        <v>No encontrado</v>
      </c>
      <c r="J38" s="125" t="str">
        <f>+IFERROR(VLOOKUP(A38,Totalidad!$A$3:$M$356,7,FALSE), "No encontrado")</f>
        <v>No encontrado</v>
      </c>
      <c r="K38" s="125" t="str">
        <f>+IFERROR(VLOOKUP(A38,Totalidad!$A$3:$M$356,8,FALSE), "No encontrado")</f>
        <v>No encontrado</v>
      </c>
      <c r="L38" s="125" t="str">
        <f>+IFERROR(VLOOKUP(A38,Totalidad!$A$3:$M$356,9,FALSE), "No encontrado")</f>
        <v>No encontrado</v>
      </c>
      <c r="M38" s="125" t="str">
        <f>+IFERROR(VLOOKUP(A38,Totalidad!$A$3:$M$356,10,FALSE), "No encontrado")</f>
        <v>No encontrado</v>
      </c>
      <c r="N38" s="125" t="str">
        <f>+IFERROR(VLOOKUP(A38,Totalidad!$A$3:$M$356,11,FALSE), "No encontrado")</f>
        <v>No encontrado</v>
      </c>
      <c r="O38" s="125" t="str">
        <f>+IFERROR(VLOOKUP(A38,Totalidad!$A$3:$M$356,12,FALSE), "No encontrado")</f>
        <v>No encontrado</v>
      </c>
      <c r="P38" s="125" t="str">
        <f>+IFERROR(VLOOKUP(A38,Totalidad!$A$3:$M$356,13,FALSE), "No encontrado")</f>
        <v>No encontrado</v>
      </c>
      <c r="Q38" s="123">
        <f t="shared" si="2"/>
        <v>0</v>
      </c>
      <c r="R38" s="123">
        <f t="shared" si="3"/>
        <v>0</v>
      </c>
      <c r="S38" s="124" t="e">
        <f t="shared" si="4"/>
        <v>#DIV/0!</v>
      </c>
      <c r="T38" s="124" t="e">
        <f t="shared" si="7"/>
        <v>#VALUE!</v>
      </c>
    </row>
    <row r="39" spans="1:20" x14ac:dyDescent="0.25">
      <c r="A39" s="121" t="s">
        <v>766</v>
      </c>
      <c r="B39" s="121" t="s">
        <v>765</v>
      </c>
      <c r="C39" s="122">
        <f>+C40+C42+C45+C48+C50</f>
        <v>270073000000</v>
      </c>
      <c r="D39" s="122">
        <f>+D40+D42+D45+D48+D50</f>
        <v>269455000000</v>
      </c>
      <c r="E39" s="122">
        <f t="shared" ref="E39:P39" si="13">+E40+E42+E45+E48+E50</f>
        <v>32502259005.900002</v>
      </c>
      <c r="F39" s="122">
        <f t="shared" si="13"/>
        <v>13569903586.27</v>
      </c>
      <c r="G39" s="122">
        <f t="shared" si="13"/>
        <v>9516944637.7700005</v>
      </c>
      <c r="H39" s="122">
        <f t="shared" si="13"/>
        <v>7865010092.6499996</v>
      </c>
      <c r="I39" s="122">
        <f t="shared" si="13"/>
        <v>9050470674.0599995</v>
      </c>
      <c r="J39" s="122">
        <f t="shared" si="13"/>
        <v>11204590913.16</v>
      </c>
      <c r="K39" s="122">
        <f t="shared" si="13"/>
        <v>10030968735.309999</v>
      </c>
      <c r="L39" s="122">
        <f t="shared" si="13"/>
        <v>6476557870.8800001</v>
      </c>
      <c r="M39" s="122">
        <f t="shared" si="13"/>
        <v>6845539474.8500004</v>
      </c>
      <c r="N39" s="122">
        <f t="shared" si="13"/>
        <v>6546047785.2299995</v>
      </c>
      <c r="O39" s="122">
        <f t="shared" si="13"/>
        <v>24572459087.970001</v>
      </c>
      <c r="P39" s="122">
        <f t="shared" si="13"/>
        <v>143322732564.62003</v>
      </c>
      <c r="Q39" s="123">
        <f t="shared" si="2"/>
        <v>281503484428.67004</v>
      </c>
      <c r="R39" s="123">
        <f t="shared" si="3"/>
        <v>-12048484428.670044</v>
      </c>
      <c r="S39" s="124">
        <f t="shared" si="4"/>
        <v>1.0447142729905552</v>
      </c>
      <c r="T39" s="124">
        <f t="shared" si="7"/>
        <v>1.0423236844433543</v>
      </c>
    </row>
    <row r="40" spans="1:20" x14ac:dyDescent="0.25">
      <c r="A40" s="121" t="s">
        <v>764</v>
      </c>
      <c r="B40" s="121" t="s">
        <v>333</v>
      </c>
      <c r="C40" s="122">
        <f>+C41</f>
        <v>4642000000</v>
      </c>
      <c r="D40" s="122">
        <f>+D41</f>
        <v>4600000000</v>
      </c>
      <c r="E40" s="122">
        <f t="shared" ref="E40:P40" si="14">+E41</f>
        <v>3653515972</v>
      </c>
      <c r="F40" s="122">
        <f t="shared" si="14"/>
        <v>373590606.14999998</v>
      </c>
      <c r="G40" s="122">
        <f t="shared" si="14"/>
        <v>138136734</v>
      </c>
      <c r="H40" s="122">
        <f t="shared" si="14"/>
        <v>68509301</v>
      </c>
      <c r="I40" s="122">
        <f t="shared" si="14"/>
        <v>79269734</v>
      </c>
      <c r="J40" s="122">
        <f t="shared" si="14"/>
        <v>51785177</v>
      </c>
      <c r="K40" s="122">
        <f t="shared" si="14"/>
        <v>61459137</v>
      </c>
      <c r="L40" s="122">
        <f t="shared" si="14"/>
        <v>31520396</v>
      </c>
      <c r="M40" s="122">
        <f t="shared" si="14"/>
        <v>64754842</v>
      </c>
      <c r="N40" s="122">
        <f t="shared" si="14"/>
        <v>48034090</v>
      </c>
      <c r="O40" s="122">
        <f t="shared" si="14"/>
        <v>36110247</v>
      </c>
      <c r="P40" s="122">
        <f t="shared" si="14"/>
        <v>92657454</v>
      </c>
      <c r="Q40" s="123">
        <f t="shared" si="2"/>
        <v>4699343690.1499996</v>
      </c>
      <c r="R40" s="123">
        <f t="shared" si="3"/>
        <v>-99343690.149999619</v>
      </c>
      <c r="S40" s="124">
        <f t="shared" si="4"/>
        <v>1.0215964543804348</v>
      </c>
      <c r="T40" s="124">
        <f t="shared" si="7"/>
        <v>1.0123532292438604</v>
      </c>
    </row>
    <row r="41" spans="1:20" x14ac:dyDescent="0.25">
      <c r="A41" s="121" t="s">
        <v>335</v>
      </c>
      <c r="B41" s="121" t="s">
        <v>334</v>
      </c>
      <c r="C41" s="125">
        <v>4642000000</v>
      </c>
      <c r="D41" s="125">
        <v>4600000000</v>
      </c>
      <c r="E41" s="125">
        <f>+IFERROR(VLOOKUP(A41,Totalidad!$A$3:$M$356,2,FALSE), "No encontrado")</f>
        <v>3653515972</v>
      </c>
      <c r="F41" s="125">
        <f>+IFERROR(VLOOKUP(A41,Totalidad!$A$3:$M$356,3,FALSE), "No encontrado")</f>
        <v>373590606.14999998</v>
      </c>
      <c r="G41" s="125">
        <f>+IFERROR(VLOOKUP(A41,Totalidad!$A$3:$M$356,4,FALSE), "No encontrado")</f>
        <v>138136734</v>
      </c>
      <c r="H41" s="125">
        <f>+IFERROR(VLOOKUP(A41,Totalidad!$A$3:$M$356,5,FALSE), "No encontrado")</f>
        <v>68509301</v>
      </c>
      <c r="I41" s="125">
        <f>+IFERROR(VLOOKUP(A41,Totalidad!$A$3:$M$356,6,FALSE), "No encontrado")</f>
        <v>79269734</v>
      </c>
      <c r="J41" s="125">
        <f>+IFERROR(VLOOKUP(A41,Totalidad!$A$3:$M$356,7,FALSE), "No encontrado")</f>
        <v>51785177</v>
      </c>
      <c r="K41" s="125">
        <f>+IFERROR(VLOOKUP(A41,Totalidad!$A$3:$M$356,8,FALSE), "No encontrado")</f>
        <v>61459137</v>
      </c>
      <c r="L41" s="125">
        <f>+IFERROR(VLOOKUP(A41,Totalidad!$A$3:$M$356,9,FALSE), "No encontrado")</f>
        <v>31520396</v>
      </c>
      <c r="M41" s="125">
        <f>+IFERROR(VLOOKUP(A41,Totalidad!$A$3:$M$356,10,FALSE), "No encontrado")</f>
        <v>64754842</v>
      </c>
      <c r="N41" s="125">
        <f>+IFERROR(VLOOKUP(A41,Totalidad!$A$3:$M$356,11,FALSE), "No encontrado")</f>
        <v>48034090</v>
      </c>
      <c r="O41" s="125">
        <f>+IFERROR(VLOOKUP(A41,Totalidad!$A$3:$M$356,12,FALSE), "No encontrado")</f>
        <v>36110247</v>
      </c>
      <c r="P41" s="125">
        <f>+IFERROR(VLOOKUP(A41,Totalidad!$A$3:$M$356,13,FALSE), "No encontrado")</f>
        <v>92657454</v>
      </c>
      <c r="Q41" s="123">
        <f t="shared" si="2"/>
        <v>4699343690.1499996</v>
      </c>
      <c r="R41" s="123">
        <f t="shared" si="3"/>
        <v>-99343690.149999619</v>
      </c>
      <c r="S41" s="124">
        <f t="shared" si="4"/>
        <v>1.0215964543804348</v>
      </c>
      <c r="T41" s="124">
        <f t="shared" si="7"/>
        <v>1.0123532292438604</v>
      </c>
    </row>
    <row r="42" spans="1:20" x14ac:dyDescent="0.25">
      <c r="A42" s="121" t="s">
        <v>763</v>
      </c>
      <c r="B42" s="121" t="s">
        <v>327</v>
      </c>
      <c r="C42" s="122">
        <f>+C43+C44</f>
        <v>179021000000</v>
      </c>
      <c r="D42" s="122">
        <f>+D43+D44</f>
        <v>177675000000</v>
      </c>
      <c r="E42" s="122">
        <f t="shared" ref="E42:P42" si="15">+E43+E44</f>
        <v>12565083190.790001</v>
      </c>
      <c r="F42" s="122">
        <f t="shared" si="15"/>
        <v>2819505809.4899998</v>
      </c>
      <c r="G42" s="122">
        <f t="shared" si="15"/>
        <v>1833613230.6800001</v>
      </c>
      <c r="H42" s="122">
        <f t="shared" si="15"/>
        <v>2150409827.4499998</v>
      </c>
      <c r="I42" s="122">
        <f t="shared" si="15"/>
        <v>1659904397.0899999</v>
      </c>
      <c r="J42" s="122">
        <f t="shared" si="15"/>
        <v>1613745461.3299999</v>
      </c>
      <c r="K42" s="122">
        <f t="shared" si="15"/>
        <v>1121659670.25</v>
      </c>
      <c r="L42" s="122">
        <f t="shared" si="15"/>
        <v>873561925.34000003</v>
      </c>
      <c r="M42" s="122">
        <f t="shared" si="15"/>
        <v>751704555.25</v>
      </c>
      <c r="N42" s="122">
        <f t="shared" si="15"/>
        <v>605880793</v>
      </c>
      <c r="O42" s="122">
        <f t="shared" si="15"/>
        <v>18977103209</v>
      </c>
      <c r="P42" s="122">
        <f t="shared" si="15"/>
        <v>138045867255.23001</v>
      </c>
      <c r="Q42" s="123">
        <f t="shared" si="2"/>
        <v>183018039324.90002</v>
      </c>
      <c r="R42" s="123">
        <f t="shared" si="3"/>
        <v>-5343039324.9000244</v>
      </c>
      <c r="S42" s="124">
        <f t="shared" si="4"/>
        <v>1.0300719815669059</v>
      </c>
      <c r="T42" s="124">
        <f t="shared" si="7"/>
        <v>1.022327209237464</v>
      </c>
    </row>
    <row r="43" spans="1:20" x14ac:dyDescent="0.25">
      <c r="A43" s="121" t="s">
        <v>332</v>
      </c>
      <c r="B43" s="121" t="s">
        <v>331</v>
      </c>
      <c r="C43" s="125">
        <v>177141000000</v>
      </c>
      <c r="D43" s="125">
        <v>176000000000</v>
      </c>
      <c r="E43" s="125">
        <f>+IFERROR(VLOOKUP(A43,Totalidad!$A$3:$M$356,2,FALSE), "No encontrado")</f>
        <v>12237510574.790001</v>
      </c>
      <c r="F43" s="125">
        <f>+IFERROR(VLOOKUP(A43,Totalidad!$A$3:$M$356,3,FALSE), "No encontrado")</f>
        <v>2791306335.4899998</v>
      </c>
      <c r="G43" s="125">
        <f>+IFERROR(VLOOKUP(A43,Totalidad!$A$3:$M$356,4,FALSE), "No encontrado")</f>
        <v>1809652420.6800001</v>
      </c>
      <c r="H43" s="125">
        <f>+IFERROR(VLOOKUP(A43,Totalidad!$A$3:$M$356,5,FALSE), "No encontrado")</f>
        <v>2134301792.45</v>
      </c>
      <c r="I43" s="125">
        <f>+IFERROR(VLOOKUP(A43,Totalidad!$A$3:$M$356,6,FALSE), "No encontrado")</f>
        <v>1648686637.0899999</v>
      </c>
      <c r="J43" s="125">
        <f>+IFERROR(VLOOKUP(A43,Totalidad!$A$3:$M$356,7,FALSE), "No encontrado")</f>
        <v>1603478475.3299999</v>
      </c>
      <c r="K43" s="125">
        <f>+IFERROR(VLOOKUP(A43,Totalidad!$A$3:$M$356,8,FALSE), "No encontrado")</f>
        <v>1113117335.25</v>
      </c>
      <c r="L43" s="125">
        <f>+IFERROR(VLOOKUP(A43,Totalidad!$A$3:$M$356,9,FALSE), "No encontrado")</f>
        <v>866078713.34000003</v>
      </c>
      <c r="M43" s="125">
        <f>+IFERROR(VLOOKUP(A43,Totalidad!$A$3:$M$356,10,FALSE), "No encontrado")</f>
        <v>744749394.25</v>
      </c>
      <c r="N43" s="125">
        <f>+IFERROR(VLOOKUP(A43,Totalidad!$A$3:$M$356,11,FALSE), "No encontrado")</f>
        <v>599546974</v>
      </c>
      <c r="O43" s="125">
        <f>+IFERROR(VLOOKUP(A43,Totalidad!$A$3:$M$356,12,FALSE), "No encontrado")</f>
        <v>18844720676</v>
      </c>
      <c r="P43" s="125">
        <f>+IFERROR(VLOOKUP(A43,Totalidad!$A$3:$M$356,13,FALSE), "No encontrado")</f>
        <v>136804846623.58</v>
      </c>
      <c r="Q43" s="123">
        <f t="shared" si="2"/>
        <v>181197995952.25</v>
      </c>
      <c r="R43" s="123">
        <f t="shared" si="3"/>
        <v>-5197995952.25</v>
      </c>
      <c r="S43" s="124">
        <f t="shared" si="4"/>
        <v>1.0295340679105114</v>
      </c>
      <c r="T43" s="124">
        <f t="shared" si="7"/>
        <v>1.0229026366129241</v>
      </c>
    </row>
    <row r="44" spans="1:20" x14ac:dyDescent="0.25">
      <c r="A44" s="121" t="s">
        <v>329</v>
      </c>
      <c r="B44" s="121" t="s">
        <v>328</v>
      </c>
      <c r="C44" s="125">
        <v>1880000000</v>
      </c>
      <c r="D44" s="125">
        <v>1675000000</v>
      </c>
      <c r="E44" s="125">
        <f>+IFERROR(VLOOKUP(A44,Totalidad!$A$3:$M$356,2,FALSE), "No encontrado")</f>
        <v>327572616</v>
      </c>
      <c r="F44" s="125">
        <f>+IFERROR(VLOOKUP(A44,Totalidad!$A$3:$M$356,3,FALSE), "No encontrado")</f>
        <v>28199474</v>
      </c>
      <c r="G44" s="125">
        <f>+IFERROR(VLOOKUP(A44,Totalidad!$A$3:$M$356,4,FALSE), "No encontrado")</f>
        <v>23960810</v>
      </c>
      <c r="H44" s="125">
        <f>+IFERROR(VLOOKUP(A44,Totalidad!$A$3:$M$356,5,FALSE), "No encontrado")</f>
        <v>16108035</v>
      </c>
      <c r="I44" s="125">
        <f>+IFERROR(VLOOKUP(A44,Totalidad!$A$3:$M$356,6,FALSE), "No encontrado")</f>
        <v>11217760</v>
      </c>
      <c r="J44" s="125">
        <f>+IFERROR(VLOOKUP(A44,Totalidad!$A$3:$M$356,7,FALSE), "No encontrado")</f>
        <v>10266986</v>
      </c>
      <c r="K44" s="125">
        <f>+IFERROR(VLOOKUP(A44,Totalidad!$A$3:$M$356,8,FALSE), "No encontrado")</f>
        <v>8542335</v>
      </c>
      <c r="L44" s="125">
        <f>+IFERROR(VLOOKUP(A44,Totalidad!$A$3:$M$356,9,FALSE), "No encontrado")</f>
        <v>7483212</v>
      </c>
      <c r="M44" s="125">
        <f>+IFERROR(VLOOKUP(A44,Totalidad!$A$3:$M$356,10,FALSE), "No encontrado")</f>
        <v>6955161</v>
      </c>
      <c r="N44" s="125">
        <f>+IFERROR(VLOOKUP(A44,Totalidad!$A$3:$M$356,11,FALSE), "No encontrado")</f>
        <v>6333819</v>
      </c>
      <c r="O44" s="125">
        <f>+IFERROR(VLOOKUP(A44,Totalidad!$A$3:$M$356,12,FALSE), "No encontrado")</f>
        <v>132382533</v>
      </c>
      <c r="P44" s="125">
        <f>+IFERROR(VLOOKUP(A44,Totalidad!$A$3:$M$356,13,FALSE), "No encontrado")</f>
        <v>1241020631.6500001</v>
      </c>
      <c r="Q44" s="123">
        <f t="shared" si="2"/>
        <v>1820043372.6500001</v>
      </c>
      <c r="R44" s="123">
        <f t="shared" si="3"/>
        <v>-145043372.6500001</v>
      </c>
      <c r="S44" s="124">
        <f t="shared" si="4"/>
        <v>1.0865930582985075</v>
      </c>
      <c r="T44" s="124">
        <f t="shared" si="7"/>
        <v>0.96810817694148943</v>
      </c>
    </row>
    <row r="45" spans="1:20" x14ac:dyDescent="0.25">
      <c r="A45" s="121" t="s">
        <v>762</v>
      </c>
      <c r="B45" s="121" t="s">
        <v>761</v>
      </c>
      <c r="C45" s="122">
        <f>+C46+C47</f>
        <v>27210000000</v>
      </c>
      <c r="D45" s="122">
        <f>+D46+D47</f>
        <v>25880000000</v>
      </c>
      <c r="E45" s="122">
        <f t="shared" ref="E45:P45" si="16">+E46+E47</f>
        <v>11753768171.110001</v>
      </c>
      <c r="F45" s="122">
        <f t="shared" si="16"/>
        <v>5753732360.6300001</v>
      </c>
      <c r="G45" s="122">
        <f t="shared" si="16"/>
        <v>2107757530.0899999</v>
      </c>
      <c r="H45" s="122">
        <f t="shared" si="16"/>
        <v>1119514959.2</v>
      </c>
      <c r="I45" s="122">
        <f t="shared" si="16"/>
        <v>1231301288.47</v>
      </c>
      <c r="J45" s="122">
        <f t="shared" si="16"/>
        <v>948785158.32999992</v>
      </c>
      <c r="K45" s="122">
        <f t="shared" si="16"/>
        <v>844851549.06000006</v>
      </c>
      <c r="L45" s="122">
        <f t="shared" si="16"/>
        <v>839679945.54000008</v>
      </c>
      <c r="M45" s="122">
        <f t="shared" si="16"/>
        <v>1060833923.08</v>
      </c>
      <c r="N45" s="122">
        <f t="shared" si="16"/>
        <v>881923711.23000002</v>
      </c>
      <c r="O45" s="122">
        <f t="shared" si="16"/>
        <v>710517982.64999998</v>
      </c>
      <c r="P45" s="122">
        <f t="shared" si="16"/>
        <v>756302591.38999999</v>
      </c>
      <c r="Q45" s="123">
        <f t="shared" si="2"/>
        <v>28008969170.780006</v>
      </c>
      <c r="R45" s="123">
        <f t="shared" si="3"/>
        <v>-2128969170.7800064</v>
      </c>
      <c r="S45" s="124">
        <f t="shared" si="4"/>
        <v>1.0822631055170018</v>
      </c>
      <c r="T45" s="124">
        <f t="shared" si="7"/>
        <v>1.0293630713259834</v>
      </c>
    </row>
    <row r="46" spans="1:20" x14ac:dyDescent="0.25">
      <c r="A46" s="121" t="s">
        <v>325</v>
      </c>
      <c r="B46" s="121" t="s">
        <v>324</v>
      </c>
      <c r="C46" s="125">
        <v>610000000</v>
      </c>
      <c r="D46" s="125">
        <v>480000000</v>
      </c>
      <c r="E46" s="125">
        <f>+IFERROR(VLOOKUP(A46,Totalidad!$A$3:$M$356,2,FALSE), "No encontrado")</f>
        <v>5736935.9900000002</v>
      </c>
      <c r="F46" s="125">
        <f>+IFERROR(VLOOKUP(A46,Totalidad!$A$3:$M$356,3,FALSE), "No encontrado")</f>
        <v>45023376.5</v>
      </c>
      <c r="G46" s="125">
        <f>+IFERROR(VLOOKUP(A46,Totalidad!$A$3:$M$356,4,FALSE), "No encontrado")</f>
        <v>114306069.03</v>
      </c>
      <c r="H46" s="125">
        <f>+IFERROR(VLOOKUP(A46,Totalidad!$A$3:$M$356,5,FALSE), "No encontrado")</f>
        <v>23041522.260000002</v>
      </c>
      <c r="I46" s="125">
        <f>+IFERROR(VLOOKUP(A46,Totalidad!$A$3:$M$356,6,FALSE), "No encontrado")</f>
        <v>200692188.88</v>
      </c>
      <c r="J46" s="125">
        <f>+IFERROR(VLOOKUP(A46,Totalidad!$A$3:$M$356,7,FALSE), "No encontrado")</f>
        <v>30429534.280000001</v>
      </c>
      <c r="K46" s="125">
        <f>+IFERROR(VLOOKUP(A46,Totalidad!$A$3:$M$356,8,FALSE), "No encontrado")</f>
        <v>39021671.859999999</v>
      </c>
      <c r="L46" s="125">
        <f>+IFERROR(VLOOKUP(A46,Totalidad!$A$3:$M$356,9,FALSE), "No encontrado")</f>
        <v>33444989.32</v>
      </c>
      <c r="M46" s="125">
        <f>+IFERROR(VLOOKUP(A46,Totalidad!$A$3:$M$356,10,FALSE), "No encontrado")</f>
        <v>0</v>
      </c>
      <c r="N46" s="125">
        <f>+IFERROR(VLOOKUP(A46,Totalidad!$A$3:$M$356,11,FALSE), "No encontrado")</f>
        <v>0</v>
      </c>
      <c r="O46" s="125">
        <f>+IFERROR(VLOOKUP(A46,Totalidad!$A$3:$M$356,12,FALSE), "No encontrado")</f>
        <v>0</v>
      </c>
      <c r="P46" s="125">
        <f>+IFERROR(VLOOKUP(A46,Totalidad!$A$3:$M$356,13,FALSE), "No encontrado")</f>
        <v>0</v>
      </c>
      <c r="Q46" s="123">
        <f t="shared" si="2"/>
        <v>491696288.11999995</v>
      </c>
      <c r="R46" s="123">
        <f t="shared" si="3"/>
        <v>-11696288.119999945</v>
      </c>
      <c r="S46" s="124">
        <f t="shared" si="4"/>
        <v>1.0243672669166666</v>
      </c>
      <c r="T46" s="124">
        <f t="shared" si="7"/>
        <v>0.80605948872131139</v>
      </c>
    </row>
    <row r="47" spans="1:20" x14ac:dyDescent="0.25">
      <c r="A47" s="121" t="s">
        <v>323</v>
      </c>
      <c r="B47" s="121" t="s">
        <v>321</v>
      </c>
      <c r="C47" s="125">
        <v>26600000000</v>
      </c>
      <c r="D47" s="125">
        <v>25400000000</v>
      </c>
      <c r="E47" s="125">
        <f>+IFERROR(VLOOKUP(A47,Totalidad!$A$3:$M$356,2,FALSE), "No encontrado")</f>
        <v>11748031235.120001</v>
      </c>
      <c r="F47" s="125">
        <f>+IFERROR(VLOOKUP(A47,Totalidad!$A$3:$M$356,3,FALSE), "No encontrado")</f>
        <v>5708708984.1300001</v>
      </c>
      <c r="G47" s="125">
        <f>+IFERROR(VLOOKUP(A47,Totalidad!$A$3:$M$356,4,FALSE), "No encontrado")</f>
        <v>1993451461.0599999</v>
      </c>
      <c r="H47" s="125">
        <f>+IFERROR(VLOOKUP(A47,Totalidad!$A$3:$M$356,5,FALSE), "No encontrado")</f>
        <v>1096473436.9400001</v>
      </c>
      <c r="I47" s="125">
        <f>+IFERROR(VLOOKUP(A47,Totalidad!$A$3:$M$356,6,FALSE), "No encontrado")</f>
        <v>1030609099.59</v>
      </c>
      <c r="J47" s="125">
        <f>+IFERROR(VLOOKUP(A47,Totalidad!$A$3:$M$356,7,FALSE), "No encontrado")</f>
        <v>918355624.04999995</v>
      </c>
      <c r="K47" s="125">
        <f>+IFERROR(VLOOKUP(A47,Totalidad!$A$3:$M$356,8,FALSE), "No encontrado")</f>
        <v>805829877.20000005</v>
      </c>
      <c r="L47" s="125">
        <f>+IFERROR(VLOOKUP(A47,Totalidad!$A$3:$M$356,9,FALSE), "No encontrado")</f>
        <v>806234956.22000003</v>
      </c>
      <c r="M47" s="125">
        <f>+IFERROR(VLOOKUP(A47,Totalidad!$A$3:$M$356,10,FALSE), "No encontrado")</f>
        <v>1060833923.08</v>
      </c>
      <c r="N47" s="125">
        <f>+IFERROR(VLOOKUP(A47,Totalidad!$A$3:$M$356,11,FALSE), "No encontrado")</f>
        <v>881923711.23000002</v>
      </c>
      <c r="O47" s="125">
        <f>+IFERROR(VLOOKUP(A47,Totalidad!$A$3:$M$356,12,FALSE), "No encontrado")</f>
        <v>710517982.64999998</v>
      </c>
      <c r="P47" s="125">
        <f>+IFERROR(VLOOKUP(A47,Totalidad!$A$3:$M$356,13,FALSE), "No encontrado")</f>
        <v>756302591.38999999</v>
      </c>
      <c r="Q47" s="123">
        <f t="shared" si="2"/>
        <v>27517272882.660004</v>
      </c>
      <c r="R47" s="123">
        <f t="shared" si="3"/>
        <v>-2117272882.6600037</v>
      </c>
      <c r="S47" s="124">
        <f t="shared" si="4"/>
        <v>1.0833572001047245</v>
      </c>
      <c r="T47" s="124">
        <f t="shared" si="7"/>
        <v>1.0344839429571431</v>
      </c>
    </row>
    <row r="48" spans="1:20" x14ac:dyDescent="0.25">
      <c r="A48" s="121" t="s">
        <v>760</v>
      </c>
      <c r="B48" s="121" t="s">
        <v>759</v>
      </c>
      <c r="C48" s="122">
        <f>+C49</f>
        <v>35700000000</v>
      </c>
      <c r="D48" s="122">
        <f>+D49</f>
        <v>38000000000</v>
      </c>
      <c r="E48" s="122">
        <f t="shared" ref="E48:P48" si="17">+E49</f>
        <v>2429715634</v>
      </c>
      <c r="F48" s="122">
        <f t="shared" si="17"/>
        <v>2601224218</v>
      </c>
      <c r="G48" s="122">
        <f t="shared" si="17"/>
        <v>3369140665</v>
      </c>
      <c r="H48" s="122">
        <f t="shared" si="17"/>
        <v>2817842323</v>
      </c>
      <c r="I48" s="122">
        <f t="shared" si="17"/>
        <v>3937208792.5</v>
      </c>
      <c r="J48" s="122">
        <f t="shared" si="17"/>
        <v>6512902139.5</v>
      </c>
      <c r="K48" s="122">
        <f t="shared" si="17"/>
        <v>5875002513</v>
      </c>
      <c r="L48" s="122">
        <f t="shared" si="17"/>
        <v>2944749991</v>
      </c>
      <c r="M48" s="122">
        <f t="shared" si="17"/>
        <v>3181540981.52</v>
      </c>
      <c r="N48" s="122">
        <f t="shared" si="17"/>
        <v>2924889591</v>
      </c>
      <c r="O48" s="122">
        <f t="shared" si="17"/>
        <v>2990374351.3200002</v>
      </c>
      <c r="P48" s="122">
        <f t="shared" si="17"/>
        <v>2969827026</v>
      </c>
      <c r="Q48" s="123">
        <f t="shared" si="2"/>
        <v>42554418225.840004</v>
      </c>
      <c r="R48" s="123">
        <f t="shared" si="3"/>
        <v>-4554418225.840004</v>
      </c>
      <c r="S48" s="124">
        <f t="shared" si="4"/>
        <v>1.1198531112063159</v>
      </c>
      <c r="T48" s="124">
        <f t="shared" si="7"/>
        <v>1.1920005105277311</v>
      </c>
    </row>
    <row r="49" spans="1:20" x14ac:dyDescent="0.25">
      <c r="A49" s="121" t="s">
        <v>320</v>
      </c>
      <c r="B49" s="121" t="s">
        <v>319</v>
      </c>
      <c r="C49" s="125">
        <v>35700000000</v>
      </c>
      <c r="D49" s="125">
        <v>38000000000</v>
      </c>
      <c r="E49" s="125">
        <f>+IFERROR(VLOOKUP(A49,Totalidad!$A$3:$M$356,2,FALSE), "No encontrado")</f>
        <v>2429715634</v>
      </c>
      <c r="F49" s="125">
        <f>+IFERROR(VLOOKUP(A49,Totalidad!$A$3:$M$356,3,FALSE), "No encontrado")</f>
        <v>2601224218</v>
      </c>
      <c r="G49" s="125">
        <f>+IFERROR(VLOOKUP(A49,Totalidad!$A$3:$M$356,4,FALSE), "No encontrado")</f>
        <v>3369140665</v>
      </c>
      <c r="H49" s="125">
        <f>+IFERROR(VLOOKUP(A49,Totalidad!$A$3:$M$356,5,FALSE), "No encontrado")</f>
        <v>2817842323</v>
      </c>
      <c r="I49" s="125">
        <f>+IFERROR(VLOOKUP(A49,Totalidad!$A$3:$M$356,6,FALSE), "No encontrado")</f>
        <v>3937208792.5</v>
      </c>
      <c r="J49" s="125">
        <f>+IFERROR(VLOOKUP(A49,Totalidad!$A$3:$M$356,7,FALSE), "No encontrado")</f>
        <v>6512902139.5</v>
      </c>
      <c r="K49" s="125">
        <f>+IFERROR(VLOOKUP(A49,Totalidad!$A$3:$M$356,8,FALSE), "No encontrado")</f>
        <v>5875002513</v>
      </c>
      <c r="L49" s="125">
        <f>+IFERROR(VLOOKUP(A49,Totalidad!$A$3:$M$356,9,FALSE), "No encontrado")</f>
        <v>2944749991</v>
      </c>
      <c r="M49" s="125">
        <f>+IFERROR(VLOOKUP(A49,Totalidad!$A$3:$M$356,10,FALSE), "No encontrado")</f>
        <v>3181540981.52</v>
      </c>
      <c r="N49" s="125">
        <f>+IFERROR(VLOOKUP(A49,Totalidad!$A$3:$M$356,11,FALSE), "No encontrado")</f>
        <v>2924889591</v>
      </c>
      <c r="O49" s="125">
        <f>+IFERROR(VLOOKUP(A49,Totalidad!$A$3:$M$356,12,FALSE), "No encontrado")</f>
        <v>2990374351.3200002</v>
      </c>
      <c r="P49" s="125">
        <f>+IFERROR(VLOOKUP(A49,Totalidad!$A$3:$M$356,13,FALSE), "No encontrado")</f>
        <v>2969827026</v>
      </c>
      <c r="Q49" s="123">
        <f t="shared" si="2"/>
        <v>42554418225.840004</v>
      </c>
      <c r="R49" s="123">
        <f t="shared" si="3"/>
        <v>-4554418225.840004</v>
      </c>
      <c r="S49" s="124">
        <f t="shared" si="4"/>
        <v>1.1198531112063159</v>
      </c>
      <c r="T49" s="124">
        <f t="shared" si="7"/>
        <v>1.1920005105277311</v>
      </c>
    </row>
    <row r="50" spans="1:20" x14ac:dyDescent="0.25">
      <c r="A50" s="121" t="s">
        <v>758</v>
      </c>
      <c r="B50" s="121" t="s">
        <v>757</v>
      </c>
      <c r="C50" s="122">
        <f>+C51</f>
        <v>23500000000</v>
      </c>
      <c r="D50" s="122">
        <f>+D51</f>
        <v>23300000000</v>
      </c>
      <c r="E50" s="122">
        <f t="shared" ref="E50:P50" si="18">+E51</f>
        <v>2100176038</v>
      </c>
      <c r="F50" s="122">
        <f t="shared" si="18"/>
        <v>2021850592</v>
      </c>
      <c r="G50" s="122">
        <f t="shared" si="18"/>
        <v>2068296478</v>
      </c>
      <c r="H50" s="122">
        <f t="shared" si="18"/>
        <v>1708733682</v>
      </c>
      <c r="I50" s="122">
        <f t="shared" si="18"/>
        <v>2142786462</v>
      </c>
      <c r="J50" s="122">
        <f t="shared" si="18"/>
        <v>2077372977</v>
      </c>
      <c r="K50" s="122">
        <f t="shared" si="18"/>
        <v>2127995866</v>
      </c>
      <c r="L50" s="122">
        <f t="shared" si="18"/>
        <v>1787045613</v>
      </c>
      <c r="M50" s="122">
        <f t="shared" si="18"/>
        <v>1786705173</v>
      </c>
      <c r="N50" s="122">
        <f t="shared" si="18"/>
        <v>2085319600</v>
      </c>
      <c r="O50" s="122">
        <f t="shared" si="18"/>
        <v>1858353298</v>
      </c>
      <c r="P50" s="122">
        <f t="shared" si="18"/>
        <v>1458078238</v>
      </c>
      <c r="Q50" s="123">
        <f t="shared" si="2"/>
        <v>23222714017</v>
      </c>
      <c r="R50" s="123">
        <f t="shared" si="3"/>
        <v>77285983</v>
      </c>
      <c r="S50" s="124">
        <f t="shared" si="4"/>
        <v>0.99668300502145923</v>
      </c>
      <c r="T50" s="124">
        <f t="shared" si="7"/>
        <v>0.98820059646808511</v>
      </c>
    </row>
    <row r="51" spans="1:20" x14ac:dyDescent="0.25">
      <c r="A51" s="121" t="s">
        <v>317</v>
      </c>
      <c r="B51" s="121" t="s">
        <v>316</v>
      </c>
      <c r="C51" s="125">
        <v>23500000000</v>
      </c>
      <c r="D51" s="125">
        <v>23300000000</v>
      </c>
      <c r="E51" s="125">
        <f>+IFERROR(VLOOKUP(A51,Totalidad!$A$3:$M$356,2,FALSE), "No encontrado")</f>
        <v>2100176038</v>
      </c>
      <c r="F51" s="125">
        <f>+IFERROR(VLOOKUP(A51,Totalidad!$A$3:$M$356,3,FALSE), "No encontrado")</f>
        <v>2021850592</v>
      </c>
      <c r="G51" s="125">
        <f>+IFERROR(VLOOKUP(A51,Totalidad!$A$3:$M$356,4,FALSE), "No encontrado")</f>
        <v>2068296478</v>
      </c>
      <c r="H51" s="125">
        <f>+IFERROR(VLOOKUP(A51,Totalidad!$A$3:$M$356,5,FALSE), "No encontrado")</f>
        <v>1708733682</v>
      </c>
      <c r="I51" s="125">
        <f>+IFERROR(VLOOKUP(A51,Totalidad!$A$3:$M$356,6,FALSE), "No encontrado")</f>
        <v>2142786462</v>
      </c>
      <c r="J51" s="125">
        <f>+IFERROR(VLOOKUP(A51,Totalidad!$A$3:$M$356,7,FALSE), "No encontrado")</f>
        <v>2077372977</v>
      </c>
      <c r="K51" s="125">
        <f>+IFERROR(VLOOKUP(A51,Totalidad!$A$3:$M$356,8,FALSE), "No encontrado")</f>
        <v>2127995866</v>
      </c>
      <c r="L51" s="125">
        <f>+IFERROR(VLOOKUP(A51,Totalidad!$A$3:$M$356,9,FALSE), "No encontrado")</f>
        <v>1787045613</v>
      </c>
      <c r="M51" s="125">
        <f>+IFERROR(VLOOKUP(A51,Totalidad!$A$3:$M$356,10,FALSE), "No encontrado")</f>
        <v>1786705173</v>
      </c>
      <c r="N51" s="125">
        <f>+IFERROR(VLOOKUP(A51,Totalidad!$A$3:$M$356,11,FALSE), "No encontrado")</f>
        <v>2085319600</v>
      </c>
      <c r="O51" s="125">
        <f>+IFERROR(VLOOKUP(A51,Totalidad!$A$3:$M$356,12,FALSE), "No encontrado")</f>
        <v>1858353298</v>
      </c>
      <c r="P51" s="125">
        <f>+IFERROR(VLOOKUP(A51,Totalidad!$A$3:$M$356,13,FALSE), "No encontrado")</f>
        <v>1458078238</v>
      </c>
      <c r="Q51" s="123">
        <f t="shared" si="2"/>
        <v>23222714017</v>
      </c>
      <c r="R51" s="123">
        <f t="shared" si="3"/>
        <v>77285983</v>
      </c>
      <c r="S51" s="124">
        <f t="shared" si="4"/>
        <v>0.99668300502145923</v>
      </c>
      <c r="T51" s="124">
        <f t="shared" si="7"/>
        <v>0.98820059646808511</v>
      </c>
    </row>
    <row r="52" spans="1:20" x14ac:dyDescent="0.25">
      <c r="A52" s="121" t="s">
        <v>756</v>
      </c>
      <c r="B52" s="121" t="s">
        <v>755</v>
      </c>
      <c r="C52" s="122">
        <f>+C53+C60</f>
        <v>2450471000000</v>
      </c>
      <c r="D52" s="122">
        <f>+D53+D60</f>
        <v>2446289000000</v>
      </c>
      <c r="E52" s="122">
        <f t="shared" ref="E52:P52" si="19">+E53+E60</f>
        <v>214574945420.63</v>
      </c>
      <c r="F52" s="122">
        <f t="shared" si="19"/>
        <v>187771476342.51999</v>
      </c>
      <c r="G52" s="122">
        <f t="shared" si="19"/>
        <v>189240863636.01001</v>
      </c>
      <c r="H52" s="122">
        <f t="shared" si="19"/>
        <v>210943422959.85001</v>
      </c>
      <c r="I52" s="122">
        <f t="shared" si="19"/>
        <v>199919687575.25</v>
      </c>
      <c r="J52" s="122">
        <f t="shared" si="19"/>
        <v>181653293159.65997</v>
      </c>
      <c r="K52" s="122">
        <f t="shared" si="19"/>
        <v>176639774907.62</v>
      </c>
      <c r="L52" s="122">
        <f t="shared" si="19"/>
        <v>223519381076.87</v>
      </c>
      <c r="M52" s="122">
        <f t="shared" si="19"/>
        <v>215618666327.90002</v>
      </c>
      <c r="N52" s="122">
        <f t="shared" si="19"/>
        <v>248581519461.57001</v>
      </c>
      <c r="O52" s="122">
        <f t="shared" si="19"/>
        <v>224947323464.71997</v>
      </c>
      <c r="P52" s="122">
        <f t="shared" si="19"/>
        <v>227802511646.44998</v>
      </c>
      <c r="Q52" s="123">
        <f t="shared" si="2"/>
        <v>2501212865979.0503</v>
      </c>
      <c r="R52" s="123">
        <f t="shared" si="3"/>
        <v>-54923865979.050293</v>
      </c>
      <c r="S52" s="124">
        <f t="shared" si="4"/>
        <v>1.0224519122552773</v>
      </c>
      <c r="T52" s="124">
        <f t="shared" si="7"/>
        <v>1.0207069848935368</v>
      </c>
    </row>
    <row r="53" spans="1:20" x14ac:dyDescent="0.25">
      <c r="A53" s="121" t="s">
        <v>754</v>
      </c>
      <c r="B53" s="121" t="s">
        <v>753</v>
      </c>
      <c r="C53" s="122">
        <f>+C54+C57</f>
        <v>1799226000000</v>
      </c>
      <c r="D53" s="122">
        <f>+D54+D57</f>
        <v>1791692000000</v>
      </c>
      <c r="E53" s="122">
        <f t="shared" ref="E53:P53" si="20">+E54+E57</f>
        <v>167814847116.79001</v>
      </c>
      <c r="F53" s="122">
        <f t="shared" si="20"/>
        <v>133389278949.12</v>
      </c>
      <c r="G53" s="122">
        <f t="shared" si="20"/>
        <v>143006962875.39001</v>
      </c>
      <c r="H53" s="122">
        <f t="shared" si="20"/>
        <v>133531389049.58</v>
      </c>
      <c r="I53" s="122">
        <f t="shared" si="20"/>
        <v>140101858459.48999</v>
      </c>
      <c r="J53" s="122">
        <f t="shared" si="20"/>
        <v>128796804978.73</v>
      </c>
      <c r="K53" s="122">
        <f t="shared" si="20"/>
        <v>143741672916.84</v>
      </c>
      <c r="L53" s="122">
        <f t="shared" si="20"/>
        <v>154330464429.91</v>
      </c>
      <c r="M53" s="122">
        <f t="shared" si="20"/>
        <v>166049387252.91</v>
      </c>
      <c r="N53" s="122">
        <f t="shared" si="20"/>
        <v>179254918199.03</v>
      </c>
      <c r="O53" s="122">
        <f t="shared" si="20"/>
        <v>171572350381.73999</v>
      </c>
      <c r="P53" s="122">
        <f t="shared" si="20"/>
        <v>170847951878.64999</v>
      </c>
      <c r="Q53" s="123">
        <f t="shared" si="2"/>
        <v>1832437886488.1797</v>
      </c>
      <c r="R53" s="123">
        <f t="shared" si="3"/>
        <v>-40745886488.179688</v>
      </c>
      <c r="S53" s="124">
        <f t="shared" si="4"/>
        <v>1.0227415685777352</v>
      </c>
      <c r="T53" s="124">
        <f t="shared" si="7"/>
        <v>1.0184589854127162</v>
      </c>
    </row>
    <row r="54" spans="1:20" x14ac:dyDescent="0.25">
      <c r="A54" s="121" t="s">
        <v>752</v>
      </c>
      <c r="B54" s="121" t="s">
        <v>751</v>
      </c>
      <c r="C54" s="122">
        <v>1607188000000</v>
      </c>
      <c r="D54" s="122">
        <f>+D55+D56</f>
        <v>1569400000000</v>
      </c>
      <c r="E54" s="122">
        <f t="shared" ref="E54:P54" si="21">+E55+E56</f>
        <v>149082509841.76001</v>
      </c>
      <c r="F54" s="122">
        <f t="shared" si="21"/>
        <v>118959520146.59</v>
      </c>
      <c r="G54" s="122">
        <f t="shared" si="21"/>
        <v>123743601171.28</v>
      </c>
      <c r="H54" s="122">
        <f t="shared" si="21"/>
        <v>117347176565.05</v>
      </c>
      <c r="I54" s="122">
        <f t="shared" si="21"/>
        <v>124110496676.7</v>
      </c>
      <c r="J54" s="122">
        <f t="shared" si="21"/>
        <v>114100754552.75999</v>
      </c>
      <c r="K54" s="122">
        <f t="shared" si="21"/>
        <v>128940303829.95999</v>
      </c>
      <c r="L54" s="122">
        <f t="shared" si="21"/>
        <v>141235205923.45999</v>
      </c>
      <c r="M54" s="122">
        <f t="shared" si="21"/>
        <v>149741747935.5</v>
      </c>
      <c r="N54" s="122">
        <f t="shared" si="21"/>
        <v>159654888098.22</v>
      </c>
      <c r="O54" s="122">
        <f t="shared" si="21"/>
        <v>151938167904.78998</v>
      </c>
      <c r="P54" s="122">
        <f t="shared" si="21"/>
        <v>156131565352.84</v>
      </c>
      <c r="Q54" s="123">
        <f t="shared" si="2"/>
        <v>1634985937998.9102</v>
      </c>
      <c r="R54" s="123">
        <f t="shared" si="3"/>
        <v>-65585937998.910156</v>
      </c>
      <c r="S54" s="124">
        <f t="shared" si="4"/>
        <v>1.0417904536758698</v>
      </c>
      <c r="T54" s="124">
        <f t="shared" si="7"/>
        <v>1.0172960089292045</v>
      </c>
    </row>
    <row r="55" spans="1:20" x14ac:dyDescent="0.25">
      <c r="A55" s="121" t="s">
        <v>313</v>
      </c>
      <c r="B55" s="121" t="s">
        <v>312</v>
      </c>
      <c r="C55" s="128" t="s">
        <v>954</v>
      </c>
      <c r="D55" s="125">
        <v>817100000000</v>
      </c>
      <c r="E55" s="125">
        <f>+IFERROR(VLOOKUP(A55,Totalidad!$A$3:$M$356,2,FALSE), "No encontrado")</f>
        <v>89003899513.880005</v>
      </c>
      <c r="F55" s="125">
        <f>+IFERROR(VLOOKUP(A55,Totalidad!$A$3:$M$356,3,FALSE), "No encontrado")</f>
        <v>67979772273.080002</v>
      </c>
      <c r="G55" s="125">
        <f>+IFERROR(VLOOKUP(A55,Totalidad!$A$3:$M$356,4,FALSE), "No encontrado")</f>
        <v>64988540995.010002</v>
      </c>
      <c r="H55" s="125">
        <f>+IFERROR(VLOOKUP(A55,Totalidad!$A$3:$M$356,5,FALSE), "No encontrado")</f>
        <v>65146291425.110001</v>
      </c>
      <c r="I55" s="125">
        <f>+IFERROR(VLOOKUP(A55,Totalidad!$A$3:$M$356,6,FALSE), "No encontrado")</f>
        <v>67528773604.610001</v>
      </c>
      <c r="J55" s="125">
        <f>+IFERROR(VLOOKUP(A55,Totalidad!$A$3:$M$356,7,FALSE), "No encontrado")</f>
        <v>62407881452.169998</v>
      </c>
      <c r="K55" s="125">
        <f>+IFERROR(VLOOKUP(A55,Totalidad!$A$3:$M$356,8,FALSE), "No encontrado")</f>
        <v>70319897654.830002</v>
      </c>
      <c r="L55" s="125">
        <f>+IFERROR(VLOOKUP(A55,Totalidad!$A$3:$M$356,9,FALSE), "No encontrado")</f>
        <v>89098977789.440002</v>
      </c>
      <c r="M55" s="125">
        <f>+IFERROR(VLOOKUP(A55,Totalidad!$A$3:$M$356,10,FALSE), "No encontrado")</f>
        <v>95804930385.880005</v>
      </c>
      <c r="N55" s="125">
        <f>+IFERROR(VLOOKUP(A55,Totalidad!$A$3:$M$356,11,FALSE), "No encontrado")</f>
        <v>95192218189.639999</v>
      </c>
      <c r="O55" s="125">
        <f>+IFERROR(VLOOKUP(A55,Totalidad!$A$3:$M$356,12,FALSE), "No encontrado")</f>
        <v>89254386967.399994</v>
      </c>
      <c r="P55" s="125">
        <f>+IFERROR(VLOOKUP(A55,Totalidad!$A$3:$M$356,13,FALSE), "No encontrado")</f>
        <v>102024548327.25</v>
      </c>
      <c r="Q55" s="123">
        <f t="shared" si="2"/>
        <v>958750118578.30005</v>
      </c>
      <c r="R55" s="123">
        <f t="shared" si="3"/>
        <v>-141650118578.30005</v>
      </c>
      <c r="S55" s="124">
        <f t="shared" si="4"/>
        <v>1.1733571393688655</v>
      </c>
      <c r="T55" s="124" t="e">
        <f t="shared" si="7"/>
        <v>#VALUE!</v>
      </c>
    </row>
    <row r="56" spans="1:20" x14ac:dyDescent="0.25">
      <c r="A56" s="121" t="s">
        <v>310</v>
      </c>
      <c r="B56" s="121" t="s">
        <v>309</v>
      </c>
      <c r="C56" s="128" t="s">
        <v>954</v>
      </c>
      <c r="D56" s="125">
        <v>752300000000</v>
      </c>
      <c r="E56" s="125">
        <f>+IFERROR(VLOOKUP(A56,Totalidad!$A$3:$M$356,2,FALSE), "No encontrado")</f>
        <v>60078610327.879997</v>
      </c>
      <c r="F56" s="125">
        <f>+IFERROR(VLOOKUP(A56,Totalidad!$A$3:$M$356,3,FALSE), "No encontrado")</f>
        <v>50979747873.510002</v>
      </c>
      <c r="G56" s="125">
        <f>+IFERROR(VLOOKUP(A56,Totalidad!$A$3:$M$356,4,FALSE), "No encontrado")</f>
        <v>58755060176.269997</v>
      </c>
      <c r="H56" s="125">
        <f>+IFERROR(VLOOKUP(A56,Totalidad!$A$3:$M$356,5,FALSE), "No encontrado")</f>
        <v>52200885139.940002</v>
      </c>
      <c r="I56" s="125">
        <f>+IFERROR(VLOOKUP(A56,Totalidad!$A$3:$M$356,6,FALSE), "No encontrado")</f>
        <v>56581723072.089996</v>
      </c>
      <c r="J56" s="125">
        <f>+IFERROR(VLOOKUP(A56,Totalidad!$A$3:$M$356,7,FALSE), "No encontrado")</f>
        <v>51692873100.589996</v>
      </c>
      <c r="K56" s="125">
        <f>+IFERROR(VLOOKUP(A56,Totalidad!$A$3:$M$356,8,FALSE), "No encontrado")</f>
        <v>58620406175.129997</v>
      </c>
      <c r="L56" s="125">
        <f>+IFERROR(VLOOKUP(A56,Totalidad!$A$3:$M$356,9,FALSE), "No encontrado")</f>
        <v>52136228134.019997</v>
      </c>
      <c r="M56" s="125">
        <f>+IFERROR(VLOOKUP(A56,Totalidad!$A$3:$M$356,10,FALSE), "No encontrado")</f>
        <v>53936817549.620003</v>
      </c>
      <c r="N56" s="125">
        <f>+IFERROR(VLOOKUP(A56,Totalidad!$A$3:$M$356,11,FALSE), "No encontrado")</f>
        <v>64462669908.580002</v>
      </c>
      <c r="O56" s="125">
        <f>+IFERROR(VLOOKUP(A56,Totalidad!$A$3:$M$356,12,FALSE), "No encontrado")</f>
        <v>62683780937.389999</v>
      </c>
      <c r="P56" s="125">
        <f>+IFERROR(VLOOKUP(A56,Totalidad!$A$3:$M$356,13,FALSE), "No encontrado")</f>
        <v>54107017025.589996</v>
      </c>
      <c r="Q56" s="123">
        <f t="shared" si="2"/>
        <v>676235819420.60999</v>
      </c>
      <c r="R56" s="123">
        <f t="shared" si="3"/>
        <v>76064180579.390015</v>
      </c>
      <c r="S56" s="124">
        <f t="shared" si="4"/>
        <v>0.89889115967115507</v>
      </c>
      <c r="T56" s="124" t="e">
        <f t="shared" si="7"/>
        <v>#VALUE!</v>
      </c>
    </row>
    <row r="57" spans="1:20" x14ac:dyDescent="0.25">
      <c r="A57" s="121" t="s">
        <v>750</v>
      </c>
      <c r="B57" s="121" t="s">
        <v>749</v>
      </c>
      <c r="C57" s="122">
        <v>192038000000</v>
      </c>
      <c r="D57" s="122">
        <f>+D58+D59</f>
        <v>222292000000</v>
      </c>
      <c r="E57" s="122">
        <f t="shared" ref="E57:P57" si="22">+E58+E59</f>
        <v>18732337275.030003</v>
      </c>
      <c r="F57" s="122">
        <f t="shared" si="22"/>
        <v>14429758802.530001</v>
      </c>
      <c r="G57" s="122">
        <f t="shared" si="22"/>
        <v>19263361704.110001</v>
      </c>
      <c r="H57" s="122">
        <f t="shared" si="22"/>
        <v>16184212484.530001</v>
      </c>
      <c r="I57" s="122">
        <f t="shared" si="22"/>
        <v>15991361782.789999</v>
      </c>
      <c r="J57" s="122">
        <f t="shared" si="22"/>
        <v>14696050425.970001</v>
      </c>
      <c r="K57" s="122">
        <f t="shared" si="22"/>
        <v>14801369086.879999</v>
      </c>
      <c r="L57" s="122">
        <f t="shared" si="22"/>
        <v>13095258506.450001</v>
      </c>
      <c r="M57" s="122">
        <f t="shared" si="22"/>
        <v>16307639317.41</v>
      </c>
      <c r="N57" s="122">
        <f t="shared" si="22"/>
        <v>19600030100.810001</v>
      </c>
      <c r="O57" s="122">
        <f t="shared" si="22"/>
        <v>19634182476.950001</v>
      </c>
      <c r="P57" s="122">
        <f t="shared" si="22"/>
        <v>14716386525.809999</v>
      </c>
      <c r="Q57" s="123">
        <f t="shared" si="2"/>
        <v>197451948489.27002</v>
      </c>
      <c r="R57" s="123">
        <f t="shared" si="3"/>
        <v>24840051510.72998</v>
      </c>
      <c r="S57" s="124">
        <f t="shared" si="4"/>
        <v>0.8882548561768755</v>
      </c>
      <c r="T57" s="124">
        <f t="shared" si="7"/>
        <v>1.0281920687013508</v>
      </c>
    </row>
    <row r="58" spans="1:20" x14ac:dyDescent="0.25">
      <c r="A58" s="121" t="s">
        <v>306</v>
      </c>
      <c r="B58" s="121" t="s">
        <v>305</v>
      </c>
      <c r="C58" s="128" t="s">
        <v>954</v>
      </c>
      <c r="D58" s="125">
        <v>20006000000</v>
      </c>
      <c r="E58" s="125">
        <f>+IFERROR(VLOOKUP(A58,Totalidad!$A$3:$M$356,2,FALSE), "No encontrado")</f>
        <v>1015649375.45</v>
      </c>
      <c r="F58" s="125">
        <f>+IFERROR(VLOOKUP(A58,Totalidad!$A$3:$M$356,3,FALSE), "No encontrado")</f>
        <v>721200898.44000006</v>
      </c>
      <c r="G58" s="125">
        <f>+IFERROR(VLOOKUP(A58,Totalidad!$A$3:$M$356,4,FALSE), "No encontrado")</f>
        <v>663662658.17999995</v>
      </c>
      <c r="H58" s="125">
        <f>+IFERROR(VLOOKUP(A58,Totalidad!$A$3:$M$356,5,FALSE), "No encontrado")</f>
        <v>811736526.69000006</v>
      </c>
      <c r="I58" s="125">
        <f>+IFERROR(VLOOKUP(A58,Totalidad!$A$3:$M$356,6,FALSE), "No encontrado")</f>
        <v>956372925.49000001</v>
      </c>
      <c r="J58" s="125">
        <f>+IFERROR(VLOOKUP(A58,Totalidad!$A$3:$M$356,7,FALSE), "No encontrado")</f>
        <v>841157498.36000001</v>
      </c>
      <c r="K58" s="125">
        <f>+IFERROR(VLOOKUP(A58,Totalidad!$A$3:$M$356,8,FALSE), "No encontrado")</f>
        <v>747808582.88999999</v>
      </c>
      <c r="L58" s="125">
        <f>+IFERROR(VLOOKUP(A58,Totalidad!$A$3:$M$356,9,FALSE), "No encontrado")</f>
        <v>715364580.12</v>
      </c>
      <c r="M58" s="125">
        <f>+IFERROR(VLOOKUP(A58,Totalidad!$A$3:$M$356,10,FALSE), "No encontrado")</f>
        <v>898429423.94000006</v>
      </c>
      <c r="N58" s="125">
        <f>+IFERROR(VLOOKUP(A58,Totalidad!$A$3:$M$356,11,FALSE), "No encontrado")</f>
        <v>985540867</v>
      </c>
      <c r="O58" s="125">
        <f>+IFERROR(VLOOKUP(A58,Totalidad!$A$3:$M$356,12,FALSE), "No encontrado")</f>
        <v>820584712.80999994</v>
      </c>
      <c r="P58" s="125">
        <f>+IFERROR(VLOOKUP(A58,Totalidad!$A$3:$M$356,13,FALSE), "No encontrado")</f>
        <v>1013429527</v>
      </c>
      <c r="Q58" s="123">
        <f t="shared" si="2"/>
        <v>10190937576.369999</v>
      </c>
      <c r="R58" s="123">
        <f t="shared" si="3"/>
        <v>9815062423.6300011</v>
      </c>
      <c r="S58" s="124">
        <f t="shared" si="4"/>
        <v>0.50939406060031989</v>
      </c>
      <c r="T58" s="124" t="e">
        <f t="shared" si="7"/>
        <v>#VALUE!</v>
      </c>
    </row>
    <row r="59" spans="1:20" x14ac:dyDescent="0.25">
      <c r="A59" s="121" t="s">
        <v>303</v>
      </c>
      <c r="B59" s="121" t="s">
        <v>302</v>
      </c>
      <c r="C59" s="128" t="s">
        <v>954</v>
      </c>
      <c r="D59" s="125">
        <v>202286000000</v>
      </c>
      <c r="E59" s="125">
        <f>+IFERROR(VLOOKUP(A59,Totalidad!$A$3:$M$356,2,FALSE), "No encontrado")</f>
        <v>17716687899.580002</v>
      </c>
      <c r="F59" s="125">
        <f>+IFERROR(VLOOKUP(A59,Totalidad!$A$3:$M$356,3,FALSE), "No encontrado")</f>
        <v>13708557904.09</v>
      </c>
      <c r="G59" s="125">
        <f>+IFERROR(VLOOKUP(A59,Totalidad!$A$3:$M$356,4,FALSE), "No encontrado")</f>
        <v>18599699045.93</v>
      </c>
      <c r="H59" s="125">
        <f>+IFERROR(VLOOKUP(A59,Totalidad!$A$3:$M$356,5,FALSE), "No encontrado")</f>
        <v>15372475957.84</v>
      </c>
      <c r="I59" s="125">
        <f>+IFERROR(VLOOKUP(A59,Totalidad!$A$3:$M$356,6,FALSE), "No encontrado")</f>
        <v>15034988857.299999</v>
      </c>
      <c r="J59" s="125">
        <f>+IFERROR(VLOOKUP(A59,Totalidad!$A$3:$M$356,7,FALSE), "No encontrado")</f>
        <v>13854892927.610001</v>
      </c>
      <c r="K59" s="125">
        <f>+IFERROR(VLOOKUP(A59,Totalidad!$A$3:$M$356,8,FALSE), "No encontrado")</f>
        <v>14053560503.99</v>
      </c>
      <c r="L59" s="125">
        <f>+IFERROR(VLOOKUP(A59,Totalidad!$A$3:$M$356,9,FALSE), "No encontrado")</f>
        <v>12379893926.33</v>
      </c>
      <c r="M59" s="125">
        <f>+IFERROR(VLOOKUP(A59,Totalidad!$A$3:$M$356,10,FALSE), "No encontrado")</f>
        <v>15409209893.469999</v>
      </c>
      <c r="N59" s="125">
        <f>+IFERROR(VLOOKUP(A59,Totalidad!$A$3:$M$356,11,FALSE), "No encontrado")</f>
        <v>18614489233.810001</v>
      </c>
      <c r="O59" s="125">
        <f>+IFERROR(VLOOKUP(A59,Totalidad!$A$3:$M$356,12,FALSE), "No encontrado")</f>
        <v>18813597764.139999</v>
      </c>
      <c r="P59" s="125">
        <f>+IFERROR(VLOOKUP(A59,Totalidad!$A$3:$M$356,13,FALSE), "No encontrado")</f>
        <v>13702956998.809999</v>
      </c>
      <c r="Q59" s="123">
        <f t="shared" si="2"/>
        <v>187261010912.90002</v>
      </c>
      <c r="R59" s="123">
        <f t="shared" si="3"/>
        <v>15024989087.099976</v>
      </c>
      <c r="S59" s="124">
        <f t="shared" si="4"/>
        <v>0.92572402891401295</v>
      </c>
      <c r="T59" s="124" t="e">
        <f t="shared" si="7"/>
        <v>#VALUE!</v>
      </c>
    </row>
    <row r="60" spans="1:20" x14ac:dyDescent="0.25">
      <c r="A60" s="121" t="s">
        <v>748</v>
      </c>
      <c r="B60" s="121" t="s">
        <v>747</v>
      </c>
      <c r="C60" s="122">
        <f>+C61+C80</f>
        <v>651245000000</v>
      </c>
      <c r="D60" s="122">
        <f>+D61+D80</f>
        <v>654597000000</v>
      </c>
      <c r="E60" s="122">
        <f t="shared" ref="E60:P60" si="23">+E61+E80</f>
        <v>46760098303.840004</v>
      </c>
      <c r="F60" s="122">
        <f t="shared" si="23"/>
        <v>54382197393.400002</v>
      </c>
      <c r="G60" s="122">
        <f t="shared" si="23"/>
        <v>46233900760.620003</v>
      </c>
      <c r="H60" s="122">
        <f t="shared" si="23"/>
        <v>77412033910.270004</v>
      </c>
      <c r="I60" s="122">
        <f t="shared" si="23"/>
        <v>59817829115.760002</v>
      </c>
      <c r="J60" s="122">
        <f t="shared" si="23"/>
        <v>52856488180.929993</v>
      </c>
      <c r="K60" s="122">
        <f t="shared" si="23"/>
        <v>32898101990.780003</v>
      </c>
      <c r="L60" s="122">
        <f t="shared" si="23"/>
        <v>69188916646.960007</v>
      </c>
      <c r="M60" s="122">
        <f t="shared" si="23"/>
        <v>49569279074.990005</v>
      </c>
      <c r="N60" s="122">
        <f t="shared" si="23"/>
        <v>69326601262.539993</v>
      </c>
      <c r="O60" s="122">
        <f t="shared" si="23"/>
        <v>53374973082.979996</v>
      </c>
      <c r="P60" s="122">
        <f t="shared" si="23"/>
        <v>56954559767.799995</v>
      </c>
      <c r="Q60" s="123">
        <f t="shared" si="2"/>
        <v>668774979490.87012</v>
      </c>
      <c r="R60" s="123">
        <f t="shared" si="3"/>
        <v>-14177979490.870117</v>
      </c>
      <c r="S60" s="124">
        <f t="shared" si="4"/>
        <v>1.0216590963461032</v>
      </c>
      <c r="T60" s="124">
        <f t="shared" si="7"/>
        <v>1.0269176415801582</v>
      </c>
    </row>
    <row r="61" spans="1:20" x14ac:dyDescent="0.25">
      <c r="A61" s="121" t="s">
        <v>746</v>
      </c>
      <c r="B61" s="121" t="s">
        <v>745</v>
      </c>
      <c r="C61" s="122">
        <f>+C62+C66</f>
        <v>649795000000</v>
      </c>
      <c r="D61" s="122">
        <f>+D62+D66</f>
        <v>653726000000</v>
      </c>
      <c r="E61" s="122">
        <f t="shared" ref="E61:P61" si="24">+E62+E66</f>
        <v>46638647404.440002</v>
      </c>
      <c r="F61" s="122">
        <f t="shared" si="24"/>
        <v>54246924851.010002</v>
      </c>
      <c r="G61" s="122">
        <f t="shared" si="24"/>
        <v>46130065117.450005</v>
      </c>
      <c r="H61" s="122">
        <f t="shared" si="24"/>
        <v>77279987440.690002</v>
      </c>
      <c r="I61" s="122">
        <f t="shared" si="24"/>
        <v>59726220648.389999</v>
      </c>
      <c r="J61" s="122">
        <f t="shared" si="24"/>
        <v>52734110707.429993</v>
      </c>
      <c r="K61" s="122">
        <f t="shared" si="24"/>
        <v>32774843373.330002</v>
      </c>
      <c r="L61" s="122">
        <f t="shared" si="24"/>
        <v>69043599002.960007</v>
      </c>
      <c r="M61" s="122">
        <f t="shared" si="24"/>
        <v>49494350556.990005</v>
      </c>
      <c r="N61" s="122">
        <f t="shared" si="24"/>
        <v>69265290186.539993</v>
      </c>
      <c r="O61" s="122">
        <f t="shared" si="24"/>
        <v>53327984390.979996</v>
      </c>
      <c r="P61" s="122">
        <f t="shared" si="24"/>
        <v>56871579425.449997</v>
      </c>
      <c r="Q61" s="123">
        <f t="shared" si="2"/>
        <v>667533603105.66003</v>
      </c>
      <c r="R61" s="123">
        <f t="shared" si="3"/>
        <v>-13807603105.660034</v>
      </c>
      <c r="S61" s="124">
        <f t="shared" si="4"/>
        <v>1.0211213919985744</v>
      </c>
      <c r="T61" s="124">
        <f t="shared" si="7"/>
        <v>1.0272987682356127</v>
      </c>
    </row>
    <row r="62" spans="1:20" x14ac:dyDescent="0.25">
      <c r="A62" s="121" t="s">
        <v>744</v>
      </c>
      <c r="B62" s="121" t="s">
        <v>743</v>
      </c>
      <c r="C62" s="122">
        <f>+C63</f>
        <v>530000000000</v>
      </c>
      <c r="D62" s="122">
        <f>+D63</f>
        <v>530000000000</v>
      </c>
      <c r="E62" s="122">
        <f t="shared" ref="E62:P62" si="25">+E63</f>
        <v>32307167265.360001</v>
      </c>
      <c r="F62" s="122">
        <f t="shared" si="25"/>
        <v>46594477041.040001</v>
      </c>
      <c r="G62" s="122">
        <f t="shared" si="25"/>
        <v>37299577880.550003</v>
      </c>
      <c r="H62" s="122">
        <f t="shared" si="25"/>
        <v>67819170695</v>
      </c>
      <c r="I62" s="122">
        <f t="shared" si="25"/>
        <v>50381919461.389999</v>
      </c>
      <c r="J62" s="122">
        <f t="shared" si="25"/>
        <v>43561521654.009995</v>
      </c>
      <c r="K62" s="122">
        <f t="shared" si="25"/>
        <v>24314573244.889999</v>
      </c>
      <c r="L62" s="122">
        <f t="shared" si="25"/>
        <v>61239122779.040001</v>
      </c>
      <c r="M62" s="122">
        <f t="shared" si="25"/>
        <v>39561433877.470001</v>
      </c>
      <c r="N62" s="122">
        <f t="shared" si="25"/>
        <v>58979369480.619995</v>
      </c>
      <c r="O62" s="122">
        <f t="shared" si="25"/>
        <v>43615213282.68</v>
      </c>
      <c r="P62" s="122">
        <f t="shared" si="25"/>
        <v>46343292636.43</v>
      </c>
      <c r="Q62" s="123">
        <f t="shared" si="2"/>
        <v>552016839298.47998</v>
      </c>
      <c r="R62" s="123">
        <f t="shared" si="3"/>
        <v>-22016839298.47998</v>
      </c>
      <c r="S62" s="124">
        <f t="shared" si="4"/>
        <v>1.0415412062235472</v>
      </c>
      <c r="T62" s="124">
        <f t="shared" si="7"/>
        <v>1.0415412062235472</v>
      </c>
    </row>
    <row r="63" spans="1:20" x14ac:dyDescent="0.25">
      <c r="A63" s="121" t="s">
        <v>742</v>
      </c>
      <c r="B63" s="121" t="s">
        <v>741</v>
      </c>
      <c r="C63" s="122">
        <f>+C64+C65</f>
        <v>530000000000</v>
      </c>
      <c r="D63" s="122">
        <f>+D64+D65</f>
        <v>530000000000</v>
      </c>
      <c r="E63" s="122">
        <f t="shared" ref="E63:P63" si="26">+E64+E65</f>
        <v>32307167265.360001</v>
      </c>
      <c r="F63" s="122">
        <f t="shared" si="26"/>
        <v>46594477041.040001</v>
      </c>
      <c r="G63" s="122">
        <f t="shared" si="26"/>
        <v>37299577880.550003</v>
      </c>
      <c r="H63" s="122">
        <f t="shared" si="26"/>
        <v>67819170695</v>
      </c>
      <c r="I63" s="122">
        <f t="shared" si="26"/>
        <v>50381919461.389999</v>
      </c>
      <c r="J63" s="122">
        <f t="shared" si="26"/>
        <v>43561521654.009995</v>
      </c>
      <c r="K63" s="122">
        <f t="shared" si="26"/>
        <v>24314573244.889999</v>
      </c>
      <c r="L63" s="122">
        <f t="shared" si="26"/>
        <v>61239122779.040001</v>
      </c>
      <c r="M63" s="122">
        <f t="shared" si="26"/>
        <v>39561433877.470001</v>
      </c>
      <c r="N63" s="122">
        <f t="shared" si="26"/>
        <v>58979369480.619995</v>
      </c>
      <c r="O63" s="122">
        <f t="shared" si="26"/>
        <v>43615213282.68</v>
      </c>
      <c r="P63" s="122">
        <f t="shared" si="26"/>
        <v>46343292636.43</v>
      </c>
      <c r="Q63" s="123">
        <f t="shared" si="2"/>
        <v>552016839298.47998</v>
      </c>
      <c r="R63" s="123">
        <f t="shared" si="3"/>
        <v>-22016839298.47998</v>
      </c>
      <c r="S63" s="124">
        <f t="shared" si="4"/>
        <v>1.0415412062235472</v>
      </c>
      <c r="T63" s="124">
        <f t="shared" si="7"/>
        <v>1.0415412062235472</v>
      </c>
    </row>
    <row r="64" spans="1:20" x14ac:dyDescent="0.25">
      <c r="A64" s="121" t="s">
        <v>298</v>
      </c>
      <c r="B64" s="121" t="s">
        <v>281</v>
      </c>
      <c r="C64" s="125">
        <v>320118000000</v>
      </c>
      <c r="D64" s="125">
        <v>320118000000</v>
      </c>
      <c r="E64" s="125">
        <f>+IFERROR(VLOOKUP(A64,Totalidad!$A$3:$M$356,2,FALSE), "No encontrado")</f>
        <v>13922621944</v>
      </c>
      <c r="F64" s="125">
        <f>+IFERROR(VLOOKUP(A64,Totalidad!$A$3:$M$356,3,FALSE), "No encontrado")</f>
        <v>33802511456</v>
      </c>
      <c r="G64" s="125">
        <f>+IFERROR(VLOOKUP(A64,Totalidad!$A$3:$M$356,4,FALSE), "No encontrado")</f>
        <v>10255405303</v>
      </c>
      <c r="H64" s="125">
        <f>+IFERROR(VLOOKUP(A64,Totalidad!$A$3:$M$356,5,FALSE), "No encontrado")</f>
        <v>47665297931</v>
      </c>
      <c r="I64" s="125">
        <f>+IFERROR(VLOOKUP(A64,Totalidad!$A$3:$M$356,6,FALSE), "No encontrado")</f>
        <v>35797265177</v>
      </c>
      <c r="J64" s="125">
        <f>+IFERROR(VLOOKUP(A64,Totalidad!$A$3:$M$356,7,FALSE), "No encontrado")</f>
        <v>24299275702</v>
      </c>
      <c r="K64" s="125">
        <f>+IFERROR(VLOOKUP(A64,Totalidad!$A$3:$M$356,8,FALSE), "No encontrado")</f>
        <v>12182350002</v>
      </c>
      <c r="L64" s="125">
        <f>+IFERROR(VLOOKUP(A64,Totalidad!$A$3:$M$356,9,FALSE), "No encontrado")</f>
        <v>41135703224</v>
      </c>
      <c r="M64" s="125">
        <f>+IFERROR(VLOOKUP(A64,Totalidad!$A$3:$M$356,10,FALSE), "No encontrado")</f>
        <v>25064952607</v>
      </c>
      <c r="N64" s="125">
        <f>+IFERROR(VLOOKUP(A64,Totalidad!$A$3:$M$356,11,FALSE), "No encontrado")</f>
        <v>38238382883</v>
      </c>
      <c r="O64" s="125">
        <f>+IFERROR(VLOOKUP(A64,Totalidad!$A$3:$M$356,12,FALSE), "No encontrado")</f>
        <v>24042311240</v>
      </c>
      <c r="P64" s="125">
        <f>+IFERROR(VLOOKUP(A64,Totalidad!$A$3:$M$356,13,FALSE), "No encontrado")</f>
        <v>25187184647</v>
      </c>
      <c r="Q64" s="123">
        <f t="shared" si="2"/>
        <v>331593262116</v>
      </c>
      <c r="R64" s="123">
        <f t="shared" si="3"/>
        <v>-11475262116</v>
      </c>
      <c r="S64" s="124">
        <f t="shared" si="4"/>
        <v>1.0358469755402695</v>
      </c>
      <c r="T64" s="124">
        <f t="shared" si="7"/>
        <v>1.0358469755402695</v>
      </c>
    </row>
    <row r="65" spans="1:20" x14ac:dyDescent="0.25">
      <c r="A65" s="121" t="s">
        <v>297</v>
      </c>
      <c r="B65" s="121" t="s">
        <v>287</v>
      </c>
      <c r="C65" s="125">
        <v>209882000000</v>
      </c>
      <c r="D65" s="125">
        <v>209882000000</v>
      </c>
      <c r="E65" s="125">
        <f>+IFERROR(VLOOKUP(A65,Totalidad!$A$3:$M$356,2,FALSE), "No encontrado")</f>
        <v>18384545321.360001</v>
      </c>
      <c r="F65" s="125">
        <f>+IFERROR(VLOOKUP(A65,Totalidad!$A$3:$M$356,3,FALSE), "No encontrado")</f>
        <v>12791965585.040001</v>
      </c>
      <c r="G65" s="125">
        <f>+IFERROR(VLOOKUP(A65,Totalidad!$A$3:$M$356,4,FALSE), "No encontrado")</f>
        <v>27044172577.549999</v>
      </c>
      <c r="H65" s="125">
        <f>+IFERROR(VLOOKUP(A65,Totalidad!$A$3:$M$356,5,FALSE), "No encontrado")</f>
        <v>20153872764</v>
      </c>
      <c r="I65" s="125">
        <f>+IFERROR(VLOOKUP(A65,Totalidad!$A$3:$M$356,6,FALSE), "No encontrado")</f>
        <v>14584654284.389999</v>
      </c>
      <c r="J65" s="125">
        <f>+IFERROR(VLOOKUP(A65,Totalidad!$A$3:$M$356,7,FALSE), "No encontrado")</f>
        <v>19262245952.009998</v>
      </c>
      <c r="K65" s="125">
        <f>+IFERROR(VLOOKUP(A65,Totalidad!$A$3:$M$356,8,FALSE), "No encontrado")</f>
        <v>12132223242.889999</v>
      </c>
      <c r="L65" s="125">
        <f>+IFERROR(VLOOKUP(A65,Totalidad!$A$3:$M$356,9,FALSE), "No encontrado")</f>
        <v>20103419555.040001</v>
      </c>
      <c r="M65" s="125">
        <f>+IFERROR(VLOOKUP(A65,Totalidad!$A$3:$M$356,10,FALSE), "No encontrado")</f>
        <v>14496481270.469999</v>
      </c>
      <c r="N65" s="125">
        <f>+IFERROR(VLOOKUP(A65,Totalidad!$A$3:$M$356,11,FALSE), "No encontrado")</f>
        <v>20740986597.619999</v>
      </c>
      <c r="O65" s="125">
        <f>+IFERROR(VLOOKUP(A65,Totalidad!$A$3:$M$356,12,FALSE), "No encontrado")</f>
        <v>19572902042.68</v>
      </c>
      <c r="P65" s="125">
        <f>+IFERROR(VLOOKUP(A65,Totalidad!$A$3:$M$356,13,FALSE), "No encontrado")</f>
        <v>21156107989.43</v>
      </c>
      <c r="Q65" s="123">
        <f t="shared" si="2"/>
        <v>220423577182.47998</v>
      </c>
      <c r="R65" s="123">
        <f t="shared" si="3"/>
        <v>-10541577182.47998</v>
      </c>
      <c r="S65" s="124">
        <f t="shared" si="4"/>
        <v>1.0502262089292078</v>
      </c>
      <c r="T65" s="124">
        <f t="shared" si="7"/>
        <v>1.0502262089292078</v>
      </c>
    </row>
    <row r="66" spans="1:20" x14ac:dyDescent="0.25">
      <c r="A66" s="121" t="s">
        <v>740</v>
      </c>
      <c r="B66" s="121" t="s">
        <v>739</v>
      </c>
      <c r="C66" s="122">
        <f>+C67+C70+C73+C75+C77</f>
        <v>119795000000</v>
      </c>
      <c r="D66" s="122">
        <f>+D67+D70+D73+D75+D77</f>
        <v>123726000000</v>
      </c>
      <c r="E66" s="122">
        <f t="shared" ref="E66:P66" si="27">+E67+E70+E73+E75+E77</f>
        <v>14331480139.08</v>
      </c>
      <c r="F66" s="122">
        <f t="shared" si="27"/>
        <v>7652447809.9700012</v>
      </c>
      <c r="G66" s="122">
        <f t="shared" si="27"/>
        <v>8830487236.8999996</v>
      </c>
      <c r="H66" s="122">
        <f t="shared" si="27"/>
        <v>9460816745.6900005</v>
      </c>
      <c r="I66" s="122">
        <f t="shared" si="27"/>
        <v>9344301187</v>
      </c>
      <c r="J66" s="122">
        <f t="shared" si="27"/>
        <v>9172589053.4200001</v>
      </c>
      <c r="K66" s="122">
        <f t="shared" si="27"/>
        <v>8460270128.4400005</v>
      </c>
      <c r="L66" s="122">
        <f t="shared" si="27"/>
        <v>7804476223.9200001</v>
      </c>
      <c r="M66" s="122">
        <f t="shared" si="27"/>
        <v>9932916679.5200005</v>
      </c>
      <c r="N66" s="122">
        <f t="shared" si="27"/>
        <v>10285920705.92</v>
      </c>
      <c r="O66" s="122">
        <f t="shared" si="27"/>
        <v>9712771108.2999992</v>
      </c>
      <c r="P66" s="122">
        <f t="shared" si="27"/>
        <v>10528286789.019999</v>
      </c>
      <c r="Q66" s="123">
        <f t="shared" si="2"/>
        <v>115516763807.18002</v>
      </c>
      <c r="R66" s="123">
        <f t="shared" si="3"/>
        <v>8209236192.8199768</v>
      </c>
      <c r="S66" s="124">
        <f t="shared" si="4"/>
        <v>0.93364986993178489</v>
      </c>
      <c r="T66" s="124">
        <f t="shared" si="7"/>
        <v>0.9642870220558456</v>
      </c>
    </row>
    <row r="67" spans="1:20" x14ac:dyDescent="0.25">
      <c r="A67" s="121" t="s">
        <v>738</v>
      </c>
      <c r="B67" s="121" t="s">
        <v>737</v>
      </c>
      <c r="C67" s="122">
        <v>47060000000</v>
      </c>
      <c r="D67" s="122">
        <f>+D68+D69</f>
        <v>46500000000</v>
      </c>
      <c r="E67" s="122">
        <f t="shared" ref="E67:P67" si="28">+E68+E69</f>
        <v>4506875485.6000004</v>
      </c>
      <c r="F67" s="122">
        <f t="shared" si="28"/>
        <v>3106393712.6800003</v>
      </c>
      <c r="G67" s="122">
        <f t="shared" si="28"/>
        <v>3805275773.7999997</v>
      </c>
      <c r="H67" s="122">
        <f t="shared" si="28"/>
        <v>3453043150.4400001</v>
      </c>
      <c r="I67" s="122">
        <f t="shared" si="28"/>
        <v>3732967106.0700002</v>
      </c>
      <c r="J67" s="122">
        <f t="shared" si="28"/>
        <v>3684297800.0299997</v>
      </c>
      <c r="K67" s="122">
        <f t="shared" si="28"/>
        <v>2995822314.52</v>
      </c>
      <c r="L67" s="122">
        <f t="shared" si="28"/>
        <v>2683322346.4200001</v>
      </c>
      <c r="M67" s="122">
        <f t="shared" si="28"/>
        <v>3572795296.7600002</v>
      </c>
      <c r="N67" s="122">
        <f t="shared" si="28"/>
        <v>4061781580.3699999</v>
      </c>
      <c r="O67" s="122">
        <f t="shared" si="28"/>
        <v>3626372711.8199997</v>
      </c>
      <c r="P67" s="122">
        <f t="shared" si="28"/>
        <v>4620095969.5599995</v>
      </c>
      <c r="Q67" s="123">
        <f t="shared" si="2"/>
        <v>43849043248.07</v>
      </c>
      <c r="R67" s="123">
        <f t="shared" si="3"/>
        <v>2650956751.9300003</v>
      </c>
      <c r="S67" s="124">
        <f t="shared" si="4"/>
        <v>0.9429901773778494</v>
      </c>
      <c r="T67" s="124">
        <f t="shared" si="7"/>
        <v>0.93176887479961745</v>
      </c>
    </row>
    <row r="68" spans="1:20" x14ac:dyDescent="0.25">
      <c r="A68" s="121" t="s">
        <v>295</v>
      </c>
      <c r="B68" s="121" t="s">
        <v>281</v>
      </c>
      <c r="C68" s="128" t="s">
        <v>954</v>
      </c>
      <c r="D68" s="125">
        <v>35173000000</v>
      </c>
      <c r="E68" s="125">
        <f>+IFERROR(VLOOKUP(A68,Totalidad!$A$3:$M$356,2,FALSE), "No encontrado")</f>
        <v>3594779927.21</v>
      </c>
      <c r="F68" s="125">
        <f>+IFERROR(VLOOKUP(A68,Totalidad!$A$3:$M$356,3,FALSE), "No encontrado")</f>
        <v>2169824699.96</v>
      </c>
      <c r="G68" s="125">
        <f>+IFERROR(VLOOKUP(A68,Totalidad!$A$3:$M$356,4,FALSE), "No encontrado")</f>
        <v>2791533394.1799998</v>
      </c>
      <c r="H68" s="125">
        <f>+IFERROR(VLOOKUP(A68,Totalidad!$A$3:$M$356,5,FALSE), "No encontrado")</f>
        <v>2525527688.1100001</v>
      </c>
      <c r="I68" s="125">
        <f>+IFERROR(VLOOKUP(A68,Totalidad!$A$3:$M$356,6,FALSE), "No encontrado")</f>
        <v>2849248069.98</v>
      </c>
      <c r="J68" s="125">
        <f>+IFERROR(VLOOKUP(A68,Totalidad!$A$3:$M$356,7,FALSE), "No encontrado")</f>
        <v>2921901884.1599998</v>
      </c>
      <c r="K68" s="125">
        <f>+IFERROR(VLOOKUP(A68,Totalidad!$A$3:$M$356,8,FALSE), "No encontrado")</f>
        <v>2091594550.7</v>
      </c>
      <c r="L68" s="125">
        <f>+IFERROR(VLOOKUP(A68,Totalidad!$A$3:$M$356,9,FALSE), "No encontrado")</f>
        <v>1856126203.3499999</v>
      </c>
      <c r="M68" s="125">
        <f>+IFERROR(VLOOKUP(A68,Totalidad!$A$3:$M$356,10,FALSE), "No encontrado")</f>
        <v>2750989477.5300002</v>
      </c>
      <c r="N68" s="125">
        <f>+IFERROR(VLOOKUP(A68,Totalidad!$A$3:$M$356,11,FALSE), "No encontrado")</f>
        <v>2762773518.4699998</v>
      </c>
      <c r="O68" s="125">
        <f>+IFERROR(VLOOKUP(A68,Totalidad!$A$3:$M$356,12,FALSE), "No encontrado")</f>
        <v>2264223761</v>
      </c>
      <c r="P68" s="125">
        <f>+IFERROR(VLOOKUP(A68,Totalidad!$A$3:$M$356,13,FALSE), "No encontrado")</f>
        <v>3116415159</v>
      </c>
      <c r="Q68" s="123">
        <f t="shared" si="2"/>
        <v>31694938333.649998</v>
      </c>
      <c r="R68" s="123">
        <f t="shared" si="3"/>
        <v>3478061666.3500023</v>
      </c>
      <c r="S68" s="124">
        <f t="shared" si="4"/>
        <v>0.90111558108918766</v>
      </c>
      <c r="T68" s="124" t="e">
        <f t="shared" si="7"/>
        <v>#VALUE!</v>
      </c>
    </row>
    <row r="69" spans="1:20" x14ac:dyDescent="0.25">
      <c r="A69" s="121" t="s">
        <v>294</v>
      </c>
      <c r="B69" s="121" t="s">
        <v>287</v>
      </c>
      <c r="C69" s="128" t="s">
        <v>954</v>
      </c>
      <c r="D69" s="125">
        <v>11327000000</v>
      </c>
      <c r="E69" s="125">
        <f>+IFERROR(VLOOKUP(A69,Totalidad!$A$3:$M$356,2,FALSE), "No encontrado")</f>
        <v>912095558.38999999</v>
      </c>
      <c r="F69" s="125">
        <f>+IFERROR(VLOOKUP(A69,Totalidad!$A$3:$M$356,3,FALSE), "No encontrado")</f>
        <v>936569012.72000003</v>
      </c>
      <c r="G69" s="125">
        <f>+IFERROR(VLOOKUP(A69,Totalidad!$A$3:$M$356,4,FALSE), "No encontrado")</f>
        <v>1013742379.62</v>
      </c>
      <c r="H69" s="125">
        <f>+IFERROR(VLOOKUP(A69,Totalidad!$A$3:$M$356,5,FALSE), "No encontrado")</f>
        <v>927515462.33000004</v>
      </c>
      <c r="I69" s="125">
        <f>+IFERROR(VLOOKUP(A69,Totalidad!$A$3:$M$356,6,FALSE), "No encontrado")</f>
        <v>883719036.09000003</v>
      </c>
      <c r="J69" s="125">
        <f>+IFERROR(VLOOKUP(A69,Totalidad!$A$3:$M$356,7,FALSE), "No encontrado")</f>
        <v>762395915.87</v>
      </c>
      <c r="K69" s="125">
        <f>+IFERROR(VLOOKUP(A69,Totalidad!$A$3:$M$356,8,FALSE), "No encontrado")</f>
        <v>904227763.82000005</v>
      </c>
      <c r="L69" s="125">
        <f>+IFERROR(VLOOKUP(A69,Totalidad!$A$3:$M$356,9,FALSE), "No encontrado")</f>
        <v>827196143.07000005</v>
      </c>
      <c r="M69" s="125">
        <f>+IFERROR(VLOOKUP(A69,Totalidad!$A$3:$M$356,10,FALSE), "No encontrado")</f>
        <v>821805819.23000002</v>
      </c>
      <c r="N69" s="125">
        <f>+IFERROR(VLOOKUP(A69,Totalidad!$A$3:$M$356,11,FALSE), "No encontrado")</f>
        <v>1299008061.9000001</v>
      </c>
      <c r="O69" s="125">
        <f>+IFERROR(VLOOKUP(A69,Totalidad!$A$3:$M$356,12,FALSE), "No encontrado")</f>
        <v>1362148950.8199999</v>
      </c>
      <c r="P69" s="125">
        <f>+IFERROR(VLOOKUP(A69,Totalidad!$A$3:$M$356,13,FALSE), "No encontrado")</f>
        <v>1503680810.5599999</v>
      </c>
      <c r="Q69" s="123">
        <f t="shared" si="2"/>
        <v>12154104914.419998</v>
      </c>
      <c r="R69" s="123">
        <f t="shared" si="3"/>
        <v>-827104914.41999817</v>
      </c>
      <c r="S69" s="124">
        <f t="shared" si="4"/>
        <v>1.0730206510479383</v>
      </c>
      <c r="T69" s="124" t="e">
        <f t="shared" si="7"/>
        <v>#VALUE!</v>
      </c>
    </row>
    <row r="70" spans="1:20" x14ac:dyDescent="0.25">
      <c r="A70" s="121" t="s">
        <v>736</v>
      </c>
      <c r="B70" s="121" t="s">
        <v>735</v>
      </c>
      <c r="C70" s="122">
        <v>42500000000</v>
      </c>
      <c r="D70" s="122">
        <f>+D71+D72</f>
        <v>42691000000</v>
      </c>
      <c r="E70" s="122">
        <f t="shared" ref="E70:P70" si="29">+E71+E72</f>
        <v>3995312208.2200003</v>
      </c>
      <c r="F70" s="122">
        <f t="shared" si="29"/>
        <v>3520750455.52</v>
      </c>
      <c r="G70" s="122">
        <f t="shared" si="29"/>
        <v>3311116269.6999998</v>
      </c>
      <c r="H70" s="122">
        <f t="shared" si="29"/>
        <v>3909867049.9200001</v>
      </c>
      <c r="I70" s="122">
        <f t="shared" si="29"/>
        <v>3743694041.6200004</v>
      </c>
      <c r="J70" s="122">
        <f t="shared" si="29"/>
        <v>3343752027.9900002</v>
      </c>
      <c r="K70" s="122">
        <f t="shared" si="29"/>
        <v>3241027354.8200002</v>
      </c>
      <c r="L70" s="122">
        <f t="shared" si="29"/>
        <v>2960766450.79</v>
      </c>
      <c r="M70" s="122">
        <f t="shared" si="29"/>
        <v>3311411217.8800001</v>
      </c>
      <c r="N70" s="122">
        <f t="shared" si="29"/>
        <v>3337100816.9200001</v>
      </c>
      <c r="O70" s="122">
        <f t="shared" si="29"/>
        <v>3100352393.0799999</v>
      </c>
      <c r="P70" s="122">
        <f t="shared" si="29"/>
        <v>3471345954.5299997</v>
      </c>
      <c r="Q70" s="123">
        <f t="shared" si="2"/>
        <v>41246496240.990005</v>
      </c>
      <c r="R70" s="123">
        <f t="shared" si="3"/>
        <v>1444503759.0099945</v>
      </c>
      <c r="S70" s="124">
        <f t="shared" si="4"/>
        <v>0.96616374039001207</v>
      </c>
      <c r="T70" s="124">
        <f t="shared" si="7"/>
        <v>0.97050579390564717</v>
      </c>
    </row>
    <row r="71" spans="1:20" x14ac:dyDescent="0.25">
      <c r="A71" s="121" t="s">
        <v>292</v>
      </c>
      <c r="B71" s="121" t="s">
        <v>281</v>
      </c>
      <c r="C71" s="128" t="s">
        <v>954</v>
      </c>
      <c r="D71" s="125">
        <v>38698000000</v>
      </c>
      <c r="E71" s="125">
        <f>+IFERROR(VLOOKUP(A71,Totalidad!$A$3:$M$356,2,FALSE), "No encontrado")</f>
        <v>3711177857.1700001</v>
      </c>
      <c r="F71" s="125">
        <f>+IFERROR(VLOOKUP(A71,Totalidad!$A$3:$M$356,3,FALSE), "No encontrado")</f>
        <v>3271345427.8200002</v>
      </c>
      <c r="G71" s="125">
        <f>+IFERROR(VLOOKUP(A71,Totalidad!$A$3:$M$356,4,FALSE), "No encontrado")</f>
        <v>3023053175.96</v>
      </c>
      <c r="H71" s="125">
        <f>+IFERROR(VLOOKUP(A71,Totalidad!$A$3:$M$356,5,FALSE), "No encontrado")</f>
        <v>3511477520.1199999</v>
      </c>
      <c r="I71" s="125">
        <f>+IFERROR(VLOOKUP(A71,Totalidad!$A$3:$M$356,6,FALSE), "No encontrado")</f>
        <v>3466006440.3200002</v>
      </c>
      <c r="J71" s="125">
        <f>+IFERROR(VLOOKUP(A71,Totalidad!$A$3:$M$356,7,FALSE), "No encontrado")</f>
        <v>3039346784.5500002</v>
      </c>
      <c r="K71" s="125">
        <f>+IFERROR(VLOOKUP(A71,Totalidad!$A$3:$M$356,8,FALSE), "No encontrado")</f>
        <v>2983211032.1300001</v>
      </c>
      <c r="L71" s="125">
        <f>+IFERROR(VLOOKUP(A71,Totalidad!$A$3:$M$356,9,FALSE), "No encontrado")</f>
        <v>2669243032</v>
      </c>
      <c r="M71" s="125">
        <f>+IFERROR(VLOOKUP(A71,Totalidad!$A$3:$M$356,10,FALSE), "No encontrado")</f>
        <v>3098514723.8899999</v>
      </c>
      <c r="N71" s="125">
        <f>+IFERROR(VLOOKUP(A71,Totalidad!$A$3:$M$356,11,FALSE), "No encontrado")</f>
        <v>3049620435.8699999</v>
      </c>
      <c r="O71" s="125">
        <f>+IFERROR(VLOOKUP(A71,Totalidad!$A$3:$M$356,12,FALSE), "No encontrado")</f>
        <v>2851598630</v>
      </c>
      <c r="P71" s="125">
        <f>+IFERROR(VLOOKUP(A71,Totalidad!$A$3:$M$356,13,FALSE), "No encontrado")</f>
        <v>3245732506.4099998</v>
      </c>
      <c r="Q71" s="123">
        <f t="shared" si="2"/>
        <v>37920327566.240005</v>
      </c>
      <c r="R71" s="123">
        <f t="shared" si="3"/>
        <v>777672433.75999451</v>
      </c>
      <c r="S71" s="124">
        <f t="shared" si="4"/>
        <v>0.97990406652126738</v>
      </c>
      <c r="T71" s="124" t="e">
        <f t="shared" si="7"/>
        <v>#VALUE!</v>
      </c>
    </row>
    <row r="72" spans="1:20" x14ac:dyDescent="0.25">
      <c r="A72" s="121" t="s">
        <v>291</v>
      </c>
      <c r="B72" s="121" t="s">
        <v>287</v>
      </c>
      <c r="C72" s="128" t="s">
        <v>954</v>
      </c>
      <c r="D72" s="125">
        <v>3993000000</v>
      </c>
      <c r="E72" s="125">
        <f>+IFERROR(VLOOKUP(A72,Totalidad!$A$3:$M$356,2,FALSE), "No encontrado")</f>
        <v>284134351.05000001</v>
      </c>
      <c r="F72" s="125">
        <f>+IFERROR(VLOOKUP(A72,Totalidad!$A$3:$M$356,3,FALSE), "No encontrado")</f>
        <v>249405027.69999999</v>
      </c>
      <c r="G72" s="125">
        <f>+IFERROR(VLOOKUP(A72,Totalidad!$A$3:$M$356,4,FALSE), "No encontrado")</f>
        <v>288063093.74000001</v>
      </c>
      <c r="H72" s="125">
        <f>+IFERROR(VLOOKUP(A72,Totalidad!$A$3:$M$356,5,FALSE), "No encontrado")</f>
        <v>398389529.80000001</v>
      </c>
      <c r="I72" s="125">
        <f>+IFERROR(VLOOKUP(A72,Totalidad!$A$3:$M$356,6,FALSE), "No encontrado")</f>
        <v>277687601.30000001</v>
      </c>
      <c r="J72" s="125">
        <f>+IFERROR(VLOOKUP(A72,Totalidad!$A$3:$M$356,7,FALSE), "No encontrado")</f>
        <v>304405243.44</v>
      </c>
      <c r="K72" s="125">
        <f>+IFERROR(VLOOKUP(A72,Totalidad!$A$3:$M$356,8,FALSE), "No encontrado")</f>
        <v>257816322.69</v>
      </c>
      <c r="L72" s="125">
        <f>+IFERROR(VLOOKUP(A72,Totalidad!$A$3:$M$356,9,FALSE), "No encontrado")</f>
        <v>291523418.79000002</v>
      </c>
      <c r="M72" s="125">
        <f>+IFERROR(VLOOKUP(A72,Totalidad!$A$3:$M$356,10,FALSE), "No encontrado")</f>
        <v>212896493.99000001</v>
      </c>
      <c r="N72" s="125">
        <f>+IFERROR(VLOOKUP(A72,Totalidad!$A$3:$M$356,11,FALSE), "No encontrado")</f>
        <v>287480381.05000001</v>
      </c>
      <c r="O72" s="125">
        <f>+IFERROR(VLOOKUP(A72,Totalidad!$A$3:$M$356,12,FALSE), "No encontrado")</f>
        <v>248753763.08000001</v>
      </c>
      <c r="P72" s="125">
        <f>+IFERROR(VLOOKUP(A72,Totalidad!$A$3:$M$356,13,FALSE), "No encontrado")</f>
        <v>225613448.12</v>
      </c>
      <c r="Q72" s="123">
        <f t="shared" si="2"/>
        <v>3326168674.75</v>
      </c>
      <c r="R72" s="123">
        <f t="shared" si="3"/>
        <v>666831325.25</v>
      </c>
      <c r="S72" s="124">
        <f t="shared" si="4"/>
        <v>0.8329999185449537</v>
      </c>
      <c r="T72" s="124" t="e">
        <f t="shared" si="7"/>
        <v>#VALUE!</v>
      </c>
    </row>
    <row r="73" spans="1:20" x14ac:dyDescent="0.25">
      <c r="A73" s="121" t="s">
        <v>734</v>
      </c>
      <c r="B73" s="121" t="s">
        <v>733</v>
      </c>
      <c r="C73" s="122">
        <f>+C74</f>
        <v>3000000000</v>
      </c>
      <c r="D73" s="122">
        <f>+D74</f>
        <v>2405000000</v>
      </c>
      <c r="E73" s="122">
        <f t="shared" ref="E73:P73" si="30">+E74</f>
        <v>265165421.25999999</v>
      </c>
      <c r="F73" s="122">
        <f t="shared" si="30"/>
        <v>-56446535.57</v>
      </c>
      <c r="G73" s="122">
        <f t="shared" si="30"/>
        <v>201664203.53999999</v>
      </c>
      <c r="H73" s="122">
        <f t="shared" si="30"/>
        <v>550656916.61000001</v>
      </c>
      <c r="I73" s="122">
        <f t="shared" si="30"/>
        <v>218386958.94999999</v>
      </c>
      <c r="J73" s="122">
        <f t="shared" si="30"/>
        <v>275931896.19999999</v>
      </c>
      <c r="K73" s="122">
        <f t="shared" si="30"/>
        <v>241744866.56</v>
      </c>
      <c r="L73" s="122">
        <f t="shared" si="30"/>
        <v>243877573.74000001</v>
      </c>
      <c r="M73" s="122">
        <f t="shared" si="30"/>
        <v>303935281.32999998</v>
      </c>
      <c r="N73" s="122">
        <f t="shared" si="30"/>
        <v>259087310.47</v>
      </c>
      <c r="O73" s="122">
        <f t="shared" si="30"/>
        <v>263516932.63</v>
      </c>
      <c r="P73" s="122">
        <f t="shared" si="30"/>
        <v>252847701.15000001</v>
      </c>
      <c r="Q73" s="123">
        <f t="shared" si="2"/>
        <v>3020368526.8699999</v>
      </c>
      <c r="R73" s="123">
        <f t="shared" si="3"/>
        <v>-615368526.86999989</v>
      </c>
      <c r="S73" s="124">
        <f t="shared" si="4"/>
        <v>1.2558704893430352</v>
      </c>
      <c r="T73" s="124">
        <f t="shared" si="7"/>
        <v>1.0067895089566665</v>
      </c>
    </row>
    <row r="74" spans="1:20" x14ac:dyDescent="0.25">
      <c r="A74" s="121" t="s">
        <v>289</v>
      </c>
      <c r="B74" s="121" t="s">
        <v>287</v>
      </c>
      <c r="C74" s="125">
        <v>3000000000</v>
      </c>
      <c r="D74" s="125">
        <v>2405000000</v>
      </c>
      <c r="E74" s="125">
        <f>+IFERROR(VLOOKUP(A74,Totalidad!$A$3:$M$356,2,FALSE), "No encontrado")</f>
        <v>265165421.25999999</v>
      </c>
      <c r="F74" s="125">
        <f>+IFERROR(VLOOKUP(A74,Totalidad!$A$3:$M$356,3,FALSE), "No encontrado")</f>
        <v>-56446535.57</v>
      </c>
      <c r="G74" s="125">
        <f>+IFERROR(VLOOKUP(A74,Totalidad!$A$3:$M$356,4,FALSE), "No encontrado")</f>
        <v>201664203.53999999</v>
      </c>
      <c r="H74" s="125">
        <f>+IFERROR(VLOOKUP(A74,Totalidad!$A$3:$M$356,5,FALSE), "No encontrado")</f>
        <v>550656916.61000001</v>
      </c>
      <c r="I74" s="125">
        <f>+IFERROR(VLOOKUP(A74,Totalidad!$A$3:$M$356,6,FALSE), "No encontrado")</f>
        <v>218386958.94999999</v>
      </c>
      <c r="J74" s="125">
        <f>+IFERROR(VLOOKUP(A74,Totalidad!$A$3:$M$356,7,FALSE), "No encontrado")</f>
        <v>275931896.19999999</v>
      </c>
      <c r="K74" s="125">
        <f>+IFERROR(VLOOKUP(A74,Totalidad!$A$3:$M$356,8,FALSE), "No encontrado")</f>
        <v>241744866.56</v>
      </c>
      <c r="L74" s="125">
        <f>+IFERROR(VLOOKUP(A74,Totalidad!$A$3:$M$356,9,FALSE), "No encontrado")</f>
        <v>243877573.74000001</v>
      </c>
      <c r="M74" s="125">
        <f>+IFERROR(VLOOKUP(A74,Totalidad!$A$3:$M$356,10,FALSE), "No encontrado")</f>
        <v>303935281.32999998</v>
      </c>
      <c r="N74" s="125">
        <f>+IFERROR(VLOOKUP(A74,Totalidad!$A$3:$M$356,11,FALSE), "No encontrado")</f>
        <v>259087310.47</v>
      </c>
      <c r="O74" s="125">
        <f>+IFERROR(VLOOKUP(A74,Totalidad!$A$3:$M$356,12,FALSE), "No encontrado")</f>
        <v>263516932.63</v>
      </c>
      <c r="P74" s="125">
        <f>+IFERROR(VLOOKUP(A74,Totalidad!$A$3:$M$356,13,FALSE), "No encontrado")</f>
        <v>252847701.15000001</v>
      </c>
      <c r="Q74" s="123">
        <f t="shared" si="2"/>
        <v>3020368526.8699999</v>
      </c>
      <c r="R74" s="123">
        <f t="shared" si="3"/>
        <v>-615368526.86999989</v>
      </c>
      <c r="S74" s="124">
        <f t="shared" si="4"/>
        <v>1.2558704893430352</v>
      </c>
      <c r="T74" s="124">
        <f t="shared" si="7"/>
        <v>1.0067895089566665</v>
      </c>
    </row>
    <row r="75" spans="1:20" x14ac:dyDescent="0.25">
      <c r="A75" s="121" t="s">
        <v>732</v>
      </c>
      <c r="B75" s="121" t="s">
        <v>731</v>
      </c>
      <c r="C75" s="122">
        <f>+C76</f>
        <v>235000000</v>
      </c>
      <c r="D75" s="122">
        <f>+D76</f>
        <v>330000000</v>
      </c>
      <c r="E75" s="122">
        <f t="shared" ref="E75:P75" si="31">+E76</f>
        <v>18116019.41</v>
      </c>
      <c r="F75" s="122">
        <f t="shared" si="31"/>
        <v>0</v>
      </c>
      <c r="G75" s="122">
        <f t="shared" si="31"/>
        <v>39523637.960000001</v>
      </c>
      <c r="H75" s="122">
        <f t="shared" si="31"/>
        <v>22583365.690000001</v>
      </c>
      <c r="I75" s="122">
        <f t="shared" si="31"/>
        <v>21220680.359999999</v>
      </c>
      <c r="J75" s="122">
        <f t="shared" si="31"/>
        <v>21217819.550000001</v>
      </c>
      <c r="K75" s="122">
        <f t="shared" si="31"/>
        <v>18905322.170000002</v>
      </c>
      <c r="L75" s="122">
        <f t="shared" si="31"/>
        <v>19829238.050000001</v>
      </c>
      <c r="M75" s="122">
        <f t="shared" si="31"/>
        <v>0</v>
      </c>
      <c r="N75" s="122">
        <f t="shared" si="31"/>
        <v>36246756.539999999</v>
      </c>
      <c r="O75" s="122">
        <f t="shared" si="31"/>
        <v>18590118.27</v>
      </c>
      <c r="P75" s="122">
        <f t="shared" si="31"/>
        <v>0</v>
      </c>
      <c r="Q75" s="123">
        <f t="shared" si="2"/>
        <v>216232958</v>
      </c>
      <c r="R75" s="123">
        <f t="shared" si="3"/>
        <v>113767042</v>
      </c>
      <c r="S75" s="124">
        <f t="shared" si="4"/>
        <v>0.65525138787878789</v>
      </c>
      <c r="T75" s="124">
        <f t="shared" si="7"/>
        <v>0.92014024680851059</v>
      </c>
    </row>
    <row r="76" spans="1:20" x14ac:dyDescent="0.25">
      <c r="A76" s="121" t="s">
        <v>286</v>
      </c>
      <c r="B76" s="121" t="s">
        <v>285</v>
      </c>
      <c r="C76" s="125">
        <v>235000000</v>
      </c>
      <c r="D76" s="125">
        <v>330000000</v>
      </c>
      <c r="E76" s="125">
        <f>+IFERROR(VLOOKUP(A76,Totalidad!$A$3:$M$356,2,FALSE), "No encontrado")</f>
        <v>18116019.41</v>
      </c>
      <c r="F76" s="125">
        <f>+IFERROR(VLOOKUP(A76,Totalidad!$A$3:$M$356,3,FALSE), "No encontrado")</f>
        <v>0</v>
      </c>
      <c r="G76" s="125">
        <f>+IFERROR(VLOOKUP(A76,Totalidad!$A$3:$M$356,4,FALSE), "No encontrado")</f>
        <v>39523637.960000001</v>
      </c>
      <c r="H76" s="125">
        <f>+IFERROR(VLOOKUP(A76,Totalidad!$A$3:$M$356,5,FALSE), "No encontrado")</f>
        <v>22583365.690000001</v>
      </c>
      <c r="I76" s="125">
        <f>+IFERROR(VLOOKUP(A76,Totalidad!$A$3:$M$356,6,FALSE), "No encontrado")</f>
        <v>21220680.359999999</v>
      </c>
      <c r="J76" s="125">
        <f>+IFERROR(VLOOKUP(A76,Totalidad!$A$3:$M$356,7,FALSE), "No encontrado")</f>
        <v>21217819.550000001</v>
      </c>
      <c r="K76" s="125">
        <f>+IFERROR(VLOOKUP(A76,Totalidad!$A$3:$M$356,8,FALSE), "No encontrado")</f>
        <v>18905322.170000002</v>
      </c>
      <c r="L76" s="125">
        <f>+IFERROR(VLOOKUP(A76,Totalidad!$A$3:$M$356,9,FALSE), "No encontrado")</f>
        <v>19829238.050000001</v>
      </c>
      <c r="M76" s="125">
        <f>+IFERROR(VLOOKUP(A76,Totalidad!$A$3:$M$356,10,FALSE), "No encontrado")</f>
        <v>0</v>
      </c>
      <c r="N76" s="125">
        <f>+IFERROR(VLOOKUP(A76,Totalidad!$A$3:$M$356,11,FALSE), "No encontrado")</f>
        <v>36246756.539999999</v>
      </c>
      <c r="O76" s="125">
        <f>+IFERROR(VLOOKUP(A76,Totalidad!$A$3:$M$356,12,FALSE), "No encontrado")</f>
        <v>18590118.27</v>
      </c>
      <c r="P76" s="125">
        <f>+IFERROR(VLOOKUP(A76,Totalidad!$A$3:$M$356,13,FALSE), "No encontrado")</f>
        <v>0</v>
      </c>
      <c r="Q76" s="123">
        <f t="shared" si="2"/>
        <v>216232958</v>
      </c>
      <c r="R76" s="123">
        <f t="shared" si="3"/>
        <v>113767042</v>
      </c>
      <c r="S76" s="124">
        <f t="shared" si="4"/>
        <v>0.65525138787878789</v>
      </c>
      <c r="T76" s="124">
        <f t="shared" si="7"/>
        <v>0.92014024680851059</v>
      </c>
    </row>
    <row r="77" spans="1:20" x14ac:dyDescent="0.25">
      <c r="A77" s="121" t="s">
        <v>730</v>
      </c>
      <c r="B77" s="121" t="s">
        <v>729</v>
      </c>
      <c r="C77" s="122">
        <f>+C78+C79</f>
        <v>27000000000</v>
      </c>
      <c r="D77" s="122">
        <f>+D78+D79</f>
        <v>31800000000</v>
      </c>
      <c r="E77" s="122">
        <f t="shared" ref="E77:P77" si="32">+E78+E79</f>
        <v>5546011004.5900002</v>
      </c>
      <c r="F77" s="122">
        <f t="shared" si="32"/>
        <v>1081750177.3399999</v>
      </c>
      <c r="G77" s="122">
        <f t="shared" si="32"/>
        <v>1472907351.9000001</v>
      </c>
      <c r="H77" s="122">
        <f t="shared" si="32"/>
        <v>1524666263.03</v>
      </c>
      <c r="I77" s="122">
        <f t="shared" si="32"/>
        <v>1628032400</v>
      </c>
      <c r="J77" s="122">
        <f t="shared" si="32"/>
        <v>1847389509.6500001</v>
      </c>
      <c r="K77" s="122">
        <f t="shared" si="32"/>
        <v>1962770270.3699999</v>
      </c>
      <c r="L77" s="122">
        <f t="shared" si="32"/>
        <v>1896680614.9200001</v>
      </c>
      <c r="M77" s="122">
        <f t="shared" si="32"/>
        <v>2744774883.5500002</v>
      </c>
      <c r="N77" s="122">
        <f t="shared" si="32"/>
        <v>2591704241.6199999</v>
      </c>
      <c r="O77" s="122">
        <f t="shared" si="32"/>
        <v>2703938952.5</v>
      </c>
      <c r="P77" s="122">
        <f t="shared" si="32"/>
        <v>2183997163.7800002</v>
      </c>
      <c r="Q77" s="123">
        <f t="shared" si="2"/>
        <v>27184622833.25</v>
      </c>
      <c r="R77" s="123">
        <f t="shared" si="3"/>
        <v>4615377166.75</v>
      </c>
      <c r="S77" s="124">
        <f t="shared" si="4"/>
        <v>0.85486235324685533</v>
      </c>
      <c r="T77" s="124">
        <f t="shared" si="7"/>
        <v>1.0068378827129629</v>
      </c>
    </row>
    <row r="78" spans="1:20" x14ac:dyDescent="0.25">
      <c r="A78" s="121" t="s">
        <v>283</v>
      </c>
      <c r="B78" s="121" t="s">
        <v>282</v>
      </c>
      <c r="C78" s="125">
        <v>0</v>
      </c>
      <c r="D78" s="125">
        <v>0</v>
      </c>
      <c r="E78" s="125">
        <f>+IFERROR(VLOOKUP(A78,Totalidad!$A$3:$M$356,2,FALSE), "No encontrado")</f>
        <v>0</v>
      </c>
      <c r="F78" s="125">
        <f>+IFERROR(VLOOKUP(A78,Totalidad!$A$3:$M$356,3,FALSE), "No encontrado")</f>
        <v>0</v>
      </c>
      <c r="G78" s="125">
        <f>+IFERROR(VLOOKUP(A78,Totalidad!$A$3:$M$356,4,FALSE), "No encontrado")</f>
        <v>0</v>
      </c>
      <c r="H78" s="125">
        <f>+IFERROR(VLOOKUP(A78,Totalidad!$A$3:$M$356,5,FALSE), "No encontrado")</f>
        <v>0</v>
      </c>
      <c r="I78" s="125">
        <f>+IFERROR(VLOOKUP(A78,Totalidad!$A$3:$M$356,6,FALSE), "No encontrado")</f>
        <v>6687</v>
      </c>
      <c r="J78" s="125">
        <f>+IFERROR(VLOOKUP(A78,Totalidad!$A$3:$M$356,7,FALSE), "No encontrado")</f>
        <v>0</v>
      </c>
      <c r="K78" s="125">
        <f>+IFERROR(VLOOKUP(A78,Totalidad!$A$3:$M$356,8,FALSE), "No encontrado")</f>
        <v>0</v>
      </c>
      <c r="L78" s="125">
        <f>+IFERROR(VLOOKUP(A78,Totalidad!$A$3:$M$356,9,FALSE), "No encontrado")</f>
        <v>0</v>
      </c>
      <c r="M78" s="125">
        <f>+IFERROR(VLOOKUP(A78,Totalidad!$A$3:$M$356,10,FALSE), "No encontrado")</f>
        <v>0</v>
      </c>
      <c r="N78" s="125">
        <f>+IFERROR(VLOOKUP(A78,Totalidad!$A$3:$M$356,11,FALSE), "No encontrado")</f>
        <v>0</v>
      </c>
      <c r="O78" s="125">
        <f>+IFERROR(VLOOKUP(A78,Totalidad!$A$3:$M$356,12,FALSE), "No encontrado")</f>
        <v>0</v>
      </c>
      <c r="P78" s="125">
        <f>+IFERROR(VLOOKUP(A78,Totalidad!$A$3:$M$356,13,FALSE), "No encontrado")</f>
        <v>-6687</v>
      </c>
      <c r="Q78" s="123">
        <f t="shared" si="2"/>
        <v>0</v>
      </c>
      <c r="R78" s="123">
        <f t="shared" si="3"/>
        <v>0</v>
      </c>
      <c r="S78" s="124" t="e">
        <f t="shared" si="4"/>
        <v>#DIV/0!</v>
      </c>
      <c r="T78" s="124" t="e">
        <f t="shared" si="7"/>
        <v>#DIV/0!</v>
      </c>
    </row>
    <row r="79" spans="1:20" x14ac:dyDescent="0.25">
      <c r="A79" s="121" t="s">
        <v>280</v>
      </c>
      <c r="B79" s="121" t="s">
        <v>279</v>
      </c>
      <c r="C79" s="125">
        <v>27000000000</v>
      </c>
      <c r="D79" s="125">
        <v>31800000000</v>
      </c>
      <c r="E79" s="125">
        <f>+IFERROR(VLOOKUP(A79,Totalidad!$A$3:$M$356,2,FALSE), "No encontrado")</f>
        <v>5546011004.5900002</v>
      </c>
      <c r="F79" s="125">
        <f>+IFERROR(VLOOKUP(A79,Totalidad!$A$3:$M$356,3,FALSE), "No encontrado")</f>
        <v>1081750177.3399999</v>
      </c>
      <c r="G79" s="125">
        <f>+IFERROR(VLOOKUP(A79,Totalidad!$A$3:$M$356,4,FALSE), "No encontrado")</f>
        <v>1472907351.9000001</v>
      </c>
      <c r="H79" s="125">
        <f>+IFERROR(VLOOKUP(A79,Totalidad!$A$3:$M$356,5,FALSE), "No encontrado")</f>
        <v>1524666263.03</v>
      </c>
      <c r="I79" s="125">
        <f>+IFERROR(VLOOKUP(A79,Totalidad!$A$3:$M$356,6,FALSE), "No encontrado")</f>
        <v>1628025713</v>
      </c>
      <c r="J79" s="125">
        <f>+IFERROR(VLOOKUP(A79,Totalidad!$A$3:$M$356,7,FALSE), "No encontrado")</f>
        <v>1847389509.6500001</v>
      </c>
      <c r="K79" s="125">
        <f>+IFERROR(VLOOKUP(A79,Totalidad!$A$3:$M$356,8,FALSE), "No encontrado")</f>
        <v>1962770270.3699999</v>
      </c>
      <c r="L79" s="125">
        <f>+IFERROR(VLOOKUP(A79,Totalidad!$A$3:$M$356,9,FALSE), "No encontrado")</f>
        <v>1896680614.9200001</v>
      </c>
      <c r="M79" s="125">
        <f>+IFERROR(VLOOKUP(A79,Totalidad!$A$3:$M$356,10,FALSE), "No encontrado")</f>
        <v>2744774883.5500002</v>
      </c>
      <c r="N79" s="125">
        <f>+IFERROR(VLOOKUP(A79,Totalidad!$A$3:$M$356,11,FALSE), "No encontrado")</f>
        <v>2591704241.6199999</v>
      </c>
      <c r="O79" s="125">
        <f>+IFERROR(VLOOKUP(A79,Totalidad!$A$3:$M$356,12,FALSE), "No encontrado")</f>
        <v>2703938952.5</v>
      </c>
      <c r="P79" s="125">
        <f>+IFERROR(VLOOKUP(A79,Totalidad!$A$3:$M$356,13,FALSE), "No encontrado")</f>
        <v>2184003850.7800002</v>
      </c>
      <c r="Q79" s="123">
        <f t="shared" si="2"/>
        <v>27184622833.25</v>
      </c>
      <c r="R79" s="123">
        <f t="shared" si="3"/>
        <v>4615377166.75</v>
      </c>
      <c r="S79" s="124">
        <f t="shared" si="4"/>
        <v>0.85486235324685533</v>
      </c>
      <c r="T79" s="124">
        <f t="shared" si="7"/>
        <v>1.0068378827129629</v>
      </c>
    </row>
    <row r="80" spans="1:20" x14ac:dyDescent="0.25">
      <c r="A80" s="121" t="s">
        <v>728</v>
      </c>
      <c r="B80" s="121" t="s">
        <v>727</v>
      </c>
      <c r="C80" s="122">
        <f>+C81</f>
        <v>1450000000</v>
      </c>
      <c r="D80" s="122">
        <f>+D81</f>
        <v>871000000</v>
      </c>
      <c r="E80" s="122">
        <f t="shared" ref="E80:P80" si="33">+E81</f>
        <v>121450899.40000001</v>
      </c>
      <c r="F80" s="122">
        <f t="shared" si="33"/>
        <v>135272542.38999999</v>
      </c>
      <c r="G80" s="122">
        <f t="shared" si="33"/>
        <v>103835643.17</v>
      </c>
      <c r="H80" s="122">
        <f t="shared" si="33"/>
        <v>132046469.58</v>
      </c>
      <c r="I80" s="122">
        <f t="shared" si="33"/>
        <v>91608467.370000005</v>
      </c>
      <c r="J80" s="122">
        <f t="shared" si="33"/>
        <v>122377473.5</v>
      </c>
      <c r="K80" s="122">
        <f t="shared" si="33"/>
        <v>123258617.45</v>
      </c>
      <c r="L80" s="122">
        <f t="shared" si="33"/>
        <v>145317644</v>
      </c>
      <c r="M80" s="122">
        <f t="shared" si="33"/>
        <v>74928518</v>
      </c>
      <c r="N80" s="122">
        <f t="shared" si="33"/>
        <v>61311076</v>
      </c>
      <c r="O80" s="122">
        <f t="shared" si="33"/>
        <v>46988692</v>
      </c>
      <c r="P80" s="122">
        <f t="shared" si="33"/>
        <v>82980342.349999994</v>
      </c>
      <c r="Q80" s="123">
        <f t="shared" si="2"/>
        <v>1241376385.21</v>
      </c>
      <c r="R80" s="123">
        <f t="shared" si="3"/>
        <v>-370376385.21000004</v>
      </c>
      <c r="S80" s="124">
        <f t="shared" si="4"/>
        <v>1.4252312114925374</v>
      </c>
      <c r="T80" s="124">
        <f t="shared" si="7"/>
        <v>0.85612164497241383</v>
      </c>
    </row>
    <row r="81" spans="1:20" x14ac:dyDescent="0.25">
      <c r="A81" s="121" t="s">
        <v>726</v>
      </c>
      <c r="B81" s="121" t="s">
        <v>725</v>
      </c>
      <c r="C81" s="122">
        <v>1450000000</v>
      </c>
      <c r="D81" s="122">
        <f>+D82+D83</f>
        <v>871000000</v>
      </c>
      <c r="E81" s="122">
        <f t="shared" ref="E81:P81" si="34">+E82+E83</f>
        <v>121450899.40000001</v>
      </c>
      <c r="F81" s="122">
        <f t="shared" si="34"/>
        <v>135272542.38999999</v>
      </c>
      <c r="G81" s="122">
        <f t="shared" si="34"/>
        <v>103835643.17</v>
      </c>
      <c r="H81" s="122">
        <f t="shared" si="34"/>
        <v>132046469.58</v>
      </c>
      <c r="I81" s="122">
        <f t="shared" si="34"/>
        <v>91608467.370000005</v>
      </c>
      <c r="J81" s="122">
        <f t="shared" si="34"/>
        <v>122377473.5</v>
      </c>
      <c r="K81" s="122">
        <f t="shared" si="34"/>
        <v>123258617.45</v>
      </c>
      <c r="L81" s="122">
        <f t="shared" si="34"/>
        <v>145317644</v>
      </c>
      <c r="M81" s="122">
        <f t="shared" si="34"/>
        <v>74928518</v>
      </c>
      <c r="N81" s="122">
        <f t="shared" si="34"/>
        <v>61311076</v>
      </c>
      <c r="O81" s="122">
        <f t="shared" si="34"/>
        <v>46988692</v>
      </c>
      <c r="P81" s="122">
        <f t="shared" si="34"/>
        <v>82980342.349999994</v>
      </c>
      <c r="Q81" s="123">
        <f t="shared" si="2"/>
        <v>1241376385.21</v>
      </c>
      <c r="R81" s="123">
        <f t="shared" si="3"/>
        <v>-370376385.21000004</v>
      </c>
      <c r="S81" s="124">
        <f t="shared" si="4"/>
        <v>1.4252312114925374</v>
      </c>
      <c r="T81" s="124">
        <f t="shared" ref="T81:T145" si="35">+Q81/C81</f>
        <v>0.85612164497241383</v>
      </c>
    </row>
    <row r="82" spans="1:20" x14ac:dyDescent="0.25">
      <c r="A82" s="121" t="s">
        <v>276</v>
      </c>
      <c r="B82" s="121" t="s">
        <v>1130</v>
      </c>
      <c r="C82" s="128" t="s">
        <v>954</v>
      </c>
      <c r="D82" s="125">
        <v>814000000</v>
      </c>
      <c r="E82" s="125">
        <f>+IFERROR(VLOOKUP(A82,Totalidad!$A$3:$M$356,2,FALSE), "No encontrado")</f>
        <v>121450899.40000001</v>
      </c>
      <c r="F82" s="125">
        <f>+IFERROR(VLOOKUP(A82,Totalidad!$A$3:$M$356,3,FALSE), "No encontrado")</f>
        <v>135272542.38999999</v>
      </c>
      <c r="G82" s="125">
        <f>+IFERROR(VLOOKUP(A82,Totalidad!$A$3:$M$356,4,FALSE), "No encontrado")</f>
        <v>85410393.170000002</v>
      </c>
      <c r="H82" s="125">
        <f>+IFERROR(VLOOKUP(A82,Totalidad!$A$3:$M$356,5,FALSE), "No encontrado")</f>
        <v>132046469.58</v>
      </c>
      <c r="I82" s="125">
        <f>+IFERROR(VLOOKUP(A82,Totalidad!$A$3:$M$356,6,FALSE), "No encontrado")</f>
        <v>91608467.370000005</v>
      </c>
      <c r="J82" s="125">
        <f>+IFERROR(VLOOKUP(A82,Totalidad!$A$3:$M$356,7,FALSE), "No encontrado")</f>
        <v>109660773.5</v>
      </c>
      <c r="K82" s="125">
        <f>+IFERROR(VLOOKUP(A82,Totalidad!$A$3:$M$356,8,FALSE), "No encontrado")</f>
        <v>123258617.45</v>
      </c>
      <c r="L82" s="125">
        <f>+IFERROR(VLOOKUP(A82,Totalidad!$A$3:$M$356,9,FALSE), "No encontrado")</f>
        <v>145317644</v>
      </c>
      <c r="M82" s="125">
        <f>+IFERROR(VLOOKUP(A82,Totalidad!$A$3:$M$356,10,FALSE), "No encontrado")</f>
        <v>62211818</v>
      </c>
      <c r="N82" s="125">
        <f>+IFERROR(VLOOKUP(A82,Totalidad!$A$3:$M$356,11,FALSE), "No encontrado")</f>
        <v>61311076</v>
      </c>
      <c r="O82" s="125">
        <f>+IFERROR(VLOOKUP(A82,Totalidad!$A$3:$M$356,12,FALSE), "No encontrado")</f>
        <v>46988692</v>
      </c>
      <c r="P82" s="125">
        <f>+IFERROR(VLOOKUP(A82,Totalidad!$A$3:$M$356,13,FALSE), "No encontrado")</f>
        <v>70263642.349999994</v>
      </c>
      <c r="Q82" s="123">
        <f t="shared" ref="Q82:Q146" si="36">+SUM(E82:P82)</f>
        <v>1184801035.21</v>
      </c>
      <c r="R82" s="123">
        <f t="shared" ref="R82:R146" si="37">+D82-Q82</f>
        <v>-370801035.21000004</v>
      </c>
      <c r="S82" s="124">
        <f t="shared" ref="S82:S146" si="38">+Q82/D82</f>
        <v>1.4555295272850124</v>
      </c>
      <c r="T82" s="124" t="e">
        <f t="shared" si="35"/>
        <v>#VALUE!</v>
      </c>
    </row>
    <row r="83" spans="1:20" x14ac:dyDescent="0.25">
      <c r="A83" s="121" t="s">
        <v>274</v>
      </c>
      <c r="B83" s="121" t="s">
        <v>273</v>
      </c>
      <c r="C83" s="128" t="s">
        <v>954</v>
      </c>
      <c r="D83" s="125">
        <v>57000000</v>
      </c>
      <c r="E83" s="125">
        <f>+IFERROR(VLOOKUP(A83,Totalidad!$A$3:$M$356,2,FALSE), "No encontrado")</f>
        <v>0</v>
      </c>
      <c r="F83" s="125">
        <f>+IFERROR(VLOOKUP(A83,Totalidad!$A$3:$M$356,3,FALSE), "No encontrado")</f>
        <v>0</v>
      </c>
      <c r="G83" s="125">
        <f>+IFERROR(VLOOKUP(A83,Totalidad!$A$3:$M$356,4,FALSE), "No encontrado")</f>
        <v>18425250</v>
      </c>
      <c r="H83" s="125">
        <f>+IFERROR(VLOOKUP(A83,Totalidad!$A$3:$M$356,5,FALSE), "No encontrado")</f>
        <v>0</v>
      </c>
      <c r="I83" s="125">
        <f>+IFERROR(VLOOKUP(A83,Totalidad!$A$3:$M$356,6,FALSE), "No encontrado")</f>
        <v>0</v>
      </c>
      <c r="J83" s="125">
        <f>+IFERROR(VLOOKUP(A83,Totalidad!$A$3:$M$356,7,FALSE), "No encontrado")</f>
        <v>12716700</v>
      </c>
      <c r="K83" s="125">
        <f>+IFERROR(VLOOKUP(A83,Totalidad!$A$3:$M$356,8,FALSE), "No encontrado")</f>
        <v>0</v>
      </c>
      <c r="L83" s="125">
        <f>+IFERROR(VLOOKUP(A83,Totalidad!$A$3:$M$356,9,FALSE), "No encontrado")</f>
        <v>0</v>
      </c>
      <c r="M83" s="125">
        <f>+IFERROR(VLOOKUP(A83,Totalidad!$A$3:$M$356,10,FALSE), "No encontrado")</f>
        <v>12716700</v>
      </c>
      <c r="N83" s="125">
        <f>+IFERROR(VLOOKUP(A83,Totalidad!$A$3:$M$356,11,FALSE), "No encontrado")</f>
        <v>0</v>
      </c>
      <c r="O83" s="125">
        <f>+IFERROR(VLOOKUP(A83,Totalidad!$A$3:$M$356,12,FALSE), "No encontrado")</f>
        <v>0</v>
      </c>
      <c r="P83" s="125">
        <f>+IFERROR(VLOOKUP(A83,Totalidad!$A$3:$M$356,13,FALSE), "No encontrado")</f>
        <v>12716700</v>
      </c>
      <c r="Q83" s="123">
        <f t="shared" si="36"/>
        <v>56575350</v>
      </c>
      <c r="R83" s="123">
        <f t="shared" si="37"/>
        <v>424650</v>
      </c>
      <c r="S83" s="124">
        <f t="shared" si="38"/>
        <v>0.99255000000000004</v>
      </c>
      <c r="T83" s="124" t="e">
        <f t="shared" si="35"/>
        <v>#VALUE!</v>
      </c>
    </row>
    <row r="84" spans="1:20" x14ac:dyDescent="0.25">
      <c r="A84" s="121" t="s">
        <v>724</v>
      </c>
      <c r="B84" s="121" t="s">
        <v>723</v>
      </c>
      <c r="C84" s="122">
        <f>+C85+C89+C93</f>
        <v>255633000000</v>
      </c>
      <c r="D84" s="122">
        <f>+D85+D89+D93</f>
        <v>264666000000</v>
      </c>
      <c r="E84" s="122">
        <f t="shared" ref="E84:P84" si="39">+E85+E89+E93</f>
        <v>21852745592.829998</v>
      </c>
      <c r="F84" s="122">
        <f t="shared" si="39"/>
        <v>21763746423.349998</v>
      </c>
      <c r="G84" s="122">
        <f t="shared" si="39"/>
        <v>21444341227.880001</v>
      </c>
      <c r="H84" s="122">
        <f t="shared" si="39"/>
        <v>20186933311.080002</v>
      </c>
      <c r="I84" s="122">
        <f t="shared" si="39"/>
        <v>20008550336.959999</v>
      </c>
      <c r="J84" s="122">
        <f t="shared" si="39"/>
        <v>19012570195.580002</v>
      </c>
      <c r="K84" s="122">
        <f t="shared" si="39"/>
        <v>21267750279.309998</v>
      </c>
      <c r="L84" s="122">
        <f t="shared" si="39"/>
        <v>19302002026.459999</v>
      </c>
      <c r="M84" s="122">
        <f t="shared" si="39"/>
        <v>18183299850.389999</v>
      </c>
      <c r="N84" s="122">
        <f t="shared" si="39"/>
        <v>21269623543.059998</v>
      </c>
      <c r="O84" s="122">
        <f t="shared" si="39"/>
        <v>21372226018.010002</v>
      </c>
      <c r="P84" s="122">
        <f t="shared" si="39"/>
        <v>20299770653.300003</v>
      </c>
      <c r="Q84" s="123">
        <f t="shared" si="36"/>
        <v>245963559458.20996</v>
      </c>
      <c r="R84" s="123">
        <f t="shared" si="37"/>
        <v>18702440541.790039</v>
      </c>
      <c r="S84" s="124">
        <f t="shared" si="38"/>
        <v>0.92933568897482099</v>
      </c>
      <c r="T84" s="124">
        <f t="shared" si="35"/>
        <v>0.96217452151408445</v>
      </c>
    </row>
    <row r="85" spans="1:20" x14ac:dyDescent="0.25">
      <c r="A85" s="121" t="s">
        <v>722</v>
      </c>
      <c r="B85" s="121" t="s">
        <v>721</v>
      </c>
      <c r="C85" s="122">
        <f>+C86+C88</f>
        <v>172500000000</v>
      </c>
      <c r="D85" s="122">
        <f>+D86+D88</f>
        <v>182000000000</v>
      </c>
      <c r="E85" s="122">
        <f t="shared" ref="E85:P85" si="40">+E86+E88</f>
        <v>13636964109.529999</v>
      </c>
      <c r="F85" s="122">
        <f t="shared" si="40"/>
        <v>14041613689.220001</v>
      </c>
      <c r="G85" s="122">
        <f t="shared" si="40"/>
        <v>13124708758.27</v>
      </c>
      <c r="H85" s="122">
        <f t="shared" si="40"/>
        <v>12200440566.66</v>
      </c>
      <c r="I85" s="122">
        <f t="shared" si="40"/>
        <v>13995374917.310001</v>
      </c>
      <c r="J85" s="122">
        <f t="shared" si="40"/>
        <v>12980323839.49</v>
      </c>
      <c r="K85" s="122">
        <f t="shared" si="40"/>
        <v>14225959529.32</v>
      </c>
      <c r="L85" s="122">
        <f t="shared" si="40"/>
        <v>13012429176.58</v>
      </c>
      <c r="M85" s="122">
        <f t="shared" si="40"/>
        <v>12822926993.98</v>
      </c>
      <c r="N85" s="122">
        <f t="shared" si="40"/>
        <v>15539392515.549999</v>
      </c>
      <c r="O85" s="122">
        <f t="shared" si="40"/>
        <v>15402977132.68</v>
      </c>
      <c r="P85" s="122">
        <f t="shared" si="40"/>
        <v>13240903146.060001</v>
      </c>
      <c r="Q85" s="123">
        <f t="shared" si="36"/>
        <v>164224014374.65002</v>
      </c>
      <c r="R85" s="123">
        <f t="shared" si="37"/>
        <v>17775985625.349976</v>
      </c>
      <c r="S85" s="124">
        <f t="shared" si="38"/>
        <v>0.90232974931126386</v>
      </c>
      <c r="T85" s="124">
        <f t="shared" si="35"/>
        <v>0.95202327173710155</v>
      </c>
    </row>
    <row r="86" spans="1:20" x14ac:dyDescent="0.25">
      <c r="A86" s="121" t="s">
        <v>268</v>
      </c>
      <c r="B86" s="121" t="s">
        <v>267</v>
      </c>
      <c r="C86" s="125">
        <v>147500000000</v>
      </c>
      <c r="D86" s="125">
        <v>155000000000</v>
      </c>
      <c r="E86" s="125">
        <f>+IFERROR(VLOOKUP(A86,Totalidad!$A$3:$M$356,2,FALSE), "No encontrado")</f>
        <v>11541367757.889999</v>
      </c>
      <c r="F86" s="125">
        <f>+IFERROR(VLOOKUP(A86,Totalidad!$A$3:$M$356,3,FALSE), "No encontrado")</f>
        <v>12177652950.27</v>
      </c>
      <c r="G86" s="125">
        <f>+IFERROR(VLOOKUP(A86,Totalidad!$A$3:$M$356,4,FALSE), "No encontrado")</f>
        <v>11048528016.190001</v>
      </c>
      <c r="H86" s="125">
        <f>+IFERROR(VLOOKUP(A86,Totalidad!$A$3:$M$356,5,FALSE), "No encontrado")</f>
        <v>10291000284.4</v>
      </c>
      <c r="I86" s="125">
        <f>+IFERROR(VLOOKUP(A86,Totalidad!$A$3:$M$356,6,FALSE), "No encontrado")</f>
        <v>11909555248.110001</v>
      </c>
      <c r="J86" s="125">
        <f>+IFERROR(VLOOKUP(A86,Totalidad!$A$3:$M$356,7,FALSE), "No encontrado")</f>
        <v>11102550801.639999</v>
      </c>
      <c r="K86" s="125">
        <f>+IFERROR(VLOOKUP(A86,Totalidad!$A$3:$M$356,8,FALSE), "No encontrado")</f>
        <v>12255835888.879999</v>
      </c>
      <c r="L86" s="125">
        <f>+IFERROR(VLOOKUP(A86,Totalidad!$A$3:$M$356,9,FALSE), "No encontrado")</f>
        <v>11274808094.440001</v>
      </c>
      <c r="M86" s="125">
        <f>+IFERROR(VLOOKUP(A86,Totalidad!$A$3:$M$356,10,FALSE), "No encontrado")</f>
        <v>11018664976.84</v>
      </c>
      <c r="N86" s="125">
        <f>+IFERROR(VLOOKUP(A86,Totalidad!$A$3:$M$356,11,FALSE), "No encontrado")</f>
        <v>13412526361.07</v>
      </c>
      <c r="O86" s="125">
        <f>+IFERROR(VLOOKUP(A86,Totalidad!$A$3:$M$356,12,FALSE), "No encontrado")</f>
        <v>13376816873.450001</v>
      </c>
      <c r="P86" s="125">
        <f>+IFERROR(VLOOKUP(A86,Totalidad!$A$3:$M$356,13,FALSE), "No encontrado")</f>
        <v>11509568658.860001</v>
      </c>
      <c r="Q86" s="123">
        <f t="shared" si="36"/>
        <v>140918875912.04001</v>
      </c>
      <c r="R86" s="123">
        <f t="shared" si="37"/>
        <v>14081124087.959991</v>
      </c>
      <c r="S86" s="124">
        <f t="shared" si="38"/>
        <v>0.90915403814219364</v>
      </c>
      <c r="T86" s="124">
        <f t="shared" si="35"/>
        <v>0.95538220957315256</v>
      </c>
    </row>
    <row r="87" spans="1:20" x14ac:dyDescent="0.25">
      <c r="A87" s="121" t="s">
        <v>720</v>
      </c>
      <c r="B87" s="121" t="s">
        <v>719</v>
      </c>
      <c r="C87" s="122">
        <f>+C88</f>
        <v>25000000000</v>
      </c>
      <c r="D87" s="122">
        <f>+D88</f>
        <v>27000000000</v>
      </c>
      <c r="E87" s="122">
        <f t="shared" ref="E87:P87" si="41">+E88</f>
        <v>2095596351.6400001</v>
      </c>
      <c r="F87" s="122">
        <f t="shared" si="41"/>
        <v>1863960738.95</v>
      </c>
      <c r="G87" s="122">
        <f t="shared" si="41"/>
        <v>2076180742.0799999</v>
      </c>
      <c r="H87" s="122">
        <f t="shared" si="41"/>
        <v>1909440282.26</v>
      </c>
      <c r="I87" s="122">
        <f t="shared" si="41"/>
        <v>2085819669.2</v>
      </c>
      <c r="J87" s="122">
        <f t="shared" si="41"/>
        <v>1877773037.8499999</v>
      </c>
      <c r="K87" s="122">
        <f t="shared" si="41"/>
        <v>1970123640.4400001</v>
      </c>
      <c r="L87" s="122">
        <f t="shared" si="41"/>
        <v>1737621082.1400001</v>
      </c>
      <c r="M87" s="122">
        <f t="shared" si="41"/>
        <v>1804262017.1400001</v>
      </c>
      <c r="N87" s="122">
        <f t="shared" si="41"/>
        <v>2126866154.48</v>
      </c>
      <c r="O87" s="122">
        <f t="shared" si="41"/>
        <v>2026160259.23</v>
      </c>
      <c r="P87" s="122">
        <f t="shared" si="41"/>
        <v>1731334487.2</v>
      </c>
      <c r="Q87" s="123">
        <f t="shared" si="36"/>
        <v>23305138462.610001</v>
      </c>
      <c r="R87" s="123">
        <f t="shared" si="37"/>
        <v>3694861537.3899994</v>
      </c>
      <c r="S87" s="124">
        <f t="shared" si="38"/>
        <v>0.86315327639296302</v>
      </c>
      <c r="T87" s="124">
        <f t="shared" si="35"/>
        <v>0.93220553850440002</v>
      </c>
    </row>
    <row r="88" spans="1:20" x14ac:dyDescent="0.25">
      <c r="A88" s="121" t="s">
        <v>264</v>
      </c>
      <c r="B88" s="121" t="s">
        <v>263</v>
      </c>
      <c r="C88" s="125">
        <v>25000000000</v>
      </c>
      <c r="D88" s="125">
        <v>27000000000</v>
      </c>
      <c r="E88" s="125">
        <f>+IFERROR(VLOOKUP(A88,Totalidad!$A$3:$M$356,2,FALSE), "No encontrado")</f>
        <v>2095596351.6400001</v>
      </c>
      <c r="F88" s="125">
        <f>+IFERROR(VLOOKUP(A88,Totalidad!$A$3:$M$356,3,FALSE), "No encontrado")</f>
        <v>1863960738.95</v>
      </c>
      <c r="G88" s="125">
        <f>+IFERROR(VLOOKUP(A88,Totalidad!$A$3:$M$356,4,FALSE), "No encontrado")</f>
        <v>2076180742.0799999</v>
      </c>
      <c r="H88" s="125">
        <f>+IFERROR(VLOOKUP(A88,Totalidad!$A$3:$M$356,5,FALSE), "No encontrado")</f>
        <v>1909440282.26</v>
      </c>
      <c r="I88" s="125">
        <f>+IFERROR(VLOOKUP(A88,Totalidad!$A$3:$M$356,6,FALSE), "No encontrado")</f>
        <v>2085819669.2</v>
      </c>
      <c r="J88" s="125">
        <f>+IFERROR(VLOOKUP(A88,Totalidad!$A$3:$M$356,7,FALSE), "No encontrado")</f>
        <v>1877773037.8499999</v>
      </c>
      <c r="K88" s="125">
        <f>+IFERROR(VLOOKUP(A88,Totalidad!$A$3:$M$356,8,FALSE), "No encontrado")</f>
        <v>1970123640.4400001</v>
      </c>
      <c r="L88" s="125">
        <f>+IFERROR(VLOOKUP(A88,Totalidad!$A$3:$M$356,9,FALSE), "No encontrado")</f>
        <v>1737621082.1400001</v>
      </c>
      <c r="M88" s="125">
        <f>+IFERROR(VLOOKUP(A88,Totalidad!$A$3:$M$356,10,FALSE), "No encontrado")</f>
        <v>1804262017.1400001</v>
      </c>
      <c r="N88" s="125">
        <f>+IFERROR(VLOOKUP(A88,Totalidad!$A$3:$M$356,11,FALSE), "No encontrado")</f>
        <v>2126866154.48</v>
      </c>
      <c r="O88" s="125">
        <f>+IFERROR(VLOOKUP(A88,Totalidad!$A$3:$M$356,12,FALSE), "No encontrado")</f>
        <v>2026160259.23</v>
      </c>
      <c r="P88" s="125">
        <f>+IFERROR(VLOOKUP(A88,Totalidad!$A$3:$M$356,13,FALSE), "No encontrado")</f>
        <v>1731334487.2</v>
      </c>
      <c r="Q88" s="123">
        <f t="shared" si="36"/>
        <v>23305138462.610001</v>
      </c>
      <c r="R88" s="123">
        <f t="shared" si="37"/>
        <v>3694861537.3899994</v>
      </c>
      <c r="S88" s="124">
        <f t="shared" si="38"/>
        <v>0.86315327639296302</v>
      </c>
      <c r="T88" s="124">
        <f t="shared" si="35"/>
        <v>0.93220553850440002</v>
      </c>
    </row>
    <row r="89" spans="1:20" x14ac:dyDescent="0.25">
      <c r="A89" s="121" t="s">
        <v>718</v>
      </c>
      <c r="B89" s="121" t="s">
        <v>717</v>
      </c>
      <c r="C89" s="122">
        <f>+C90+C91+C92</f>
        <v>5333000000</v>
      </c>
      <c r="D89" s="122">
        <f>+D90+D91+D92</f>
        <v>5630000000</v>
      </c>
      <c r="E89" s="122">
        <f t="shared" ref="E89:P89" si="42">+E90+E91+E92</f>
        <v>461414319.14999998</v>
      </c>
      <c r="F89" s="122">
        <f t="shared" si="42"/>
        <v>366964776.46000004</v>
      </c>
      <c r="G89" s="122">
        <f t="shared" si="42"/>
        <v>375517823.40999997</v>
      </c>
      <c r="H89" s="122">
        <f t="shared" si="42"/>
        <v>402157487.33000004</v>
      </c>
      <c r="I89" s="122">
        <f t="shared" si="42"/>
        <v>470454703.17000002</v>
      </c>
      <c r="J89" s="122">
        <f t="shared" si="42"/>
        <v>553445777.92000008</v>
      </c>
      <c r="K89" s="122">
        <f t="shared" si="42"/>
        <v>538381260.88</v>
      </c>
      <c r="L89" s="122">
        <f t="shared" si="42"/>
        <v>398719867.55000001</v>
      </c>
      <c r="M89" s="122">
        <f t="shared" si="42"/>
        <v>477631409.20999998</v>
      </c>
      <c r="N89" s="122">
        <f t="shared" si="42"/>
        <v>535347119.16000003</v>
      </c>
      <c r="O89" s="122">
        <f t="shared" si="42"/>
        <v>454162849.25</v>
      </c>
      <c r="P89" s="122">
        <f t="shared" si="42"/>
        <v>377688577.50999999</v>
      </c>
      <c r="Q89" s="123">
        <f t="shared" si="36"/>
        <v>5411885971.000001</v>
      </c>
      <c r="R89" s="123">
        <f t="shared" si="37"/>
        <v>218114028.99999905</v>
      </c>
      <c r="S89" s="124">
        <f t="shared" si="38"/>
        <v>0.96125860941385455</v>
      </c>
      <c r="T89" s="124">
        <f t="shared" si="35"/>
        <v>1.0147920440652543</v>
      </c>
    </row>
    <row r="90" spans="1:20" x14ac:dyDescent="0.25">
      <c r="A90" s="121" t="s">
        <v>260</v>
      </c>
      <c r="B90" s="121" t="s">
        <v>259</v>
      </c>
      <c r="C90" s="125">
        <v>3393000000</v>
      </c>
      <c r="D90" s="125">
        <v>3639000000</v>
      </c>
      <c r="E90" s="125">
        <f>+IFERROR(VLOOKUP(A90,Totalidad!$A$3:$M$356,2,FALSE), "No encontrado")</f>
        <v>296139701.39999998</v>
      </c>
      <c r="F90" s="125">
        <f>+IFERROR(VLOOKUP(A90,Totalidad!$A$3:$M$356,3,FALSE), "No encontrado")</f>
        <v>212413168.46000001</v>
      </c>
      <c r="G90" s="125">
        <f>+IFERROR(VLOOKUP(A90,Totalidad!$A$3:$M$356,4,FALSE), "No encontrado")</f>
        <v>210699459.66</v>
      </c>
      <c r="H90" s="125">
        <f>+IFERROR(VLOOKUP(A90,Totalidad!$A$3:$M$356,5,FALSE), "No encontrado")</f>
        <v>250333959.58000001</v>
      </c>
      <c r="I90" s="125">
        <f>+IFERROR(VLOOKUP(A90,Totalidad!$A$3:$M$356,6,FALSE), "No encontrado")</f>
        <v>302535013.92000002</v>
      </c>
      <c r="J90" s="125">
        <f>+IFERROR(VLOOKUP(A90,Totalidad!$A$3:$M$356,7,FALSE), "No encontrado")</f>
        <v>391351762.92000002</v>
      </c>
      <c r="K90" s="125">
        <f>+IFERROR(VLOOKUP(A90,Totalidad!$A$3:$M$356,8,FALSE), "No encontrado")</f>
        <v>365947310.38</v>
      </c>
      <c r="L90" s="125">
        <f>+IFERROR(VLOOKUP(A90,Totalidad!$A$3:$M$356,9,FALSE), "No encontrado")</f>
        <v>243402277.05000001</v>
      </c>
      <c r="M90" s="125">
        <f>+IFERROR(VLOOKUP(A90,Totalidad!$A$3:$M$356,10,FALSE), "No encontrado")</f>
        <v>329271447.45999998</v>
      </c>
      <c r="N90" s="125">
        <f>+IFERROR(VLOOKUP(A90,Totalidad!$A$3:$M$356,11,FALSE), "No encontrado")</f>
        <v>363170426.41000003</v>
      </c>
      <c r="O90" s="125">
        <f>+IFERROR(VLOOKUP(A90,Totalidad!$A$3:$M$356,12,FALSE), "No encontrado")</f>
        <v>291902843.5</v>
      </c>
      <c r="P90" s="125">
        <f>+IFERROR(VLOOKUP(A90,Totalidad!$A$3:$M$356,13,FALSE), "No encontrado")</f>
        <v>244721549.50999999</v>
      </c>
      <c r="Q90" s="123">
        <f t="shared" si="36"/>
        <v>3501888920.25</v>
      </c>
      <c r="R90" s="123">
        <f t="shared" si="37"/>
        <v>137111079.75</v>
      </c>
      <c r="S90" s="124">
        <f t="shared" si="38"/>
        <v>0.96232176978565542</v>
      </c>
      <c r="T90" s="124">
        <f t="shared" si="35"/>
        <v>1.0320922252431477</v>
      </c>
    </row>
    <row r="91" spans="1:20" x14ac:dyDescent="0.25">
      <c r="A91" s="121" t="s">
        <v>258</v>
      </c>
      <c r="B91" s="121" t="s">
        <v>257</v>
      </c>
      <c r="C91" s="125">
        <v>170000000</v>
      </c>
      <c r="D91" s="125">
        <v>186000000</v>
      </c>
      <c r="E91" s="125">
        <f>+IFERROR(VLOOKUP(A91,Totalidad!$A$3:$M$356,2,FALSE), "No encontrado")</f>
        <v>15163450.5</v>
      </c>
      <c r="F91" s="125">
        <f>+IFERROR(VLOOKUP(A91,Totalidad!$A$3:$M$356,3,FALSE), "No encontrado")</f>
        <v>10773345</v>
      </c>
      <c r="G91" s="125">
        <f>+IFERROR(VLOOKUP(A91,Totalidad!$A$3:$M$356,4,FALSE), "No encontrado")</f>
        <v>10959307.5</v>
      </c>
      <c r="H91" s="125">
        <f>+IFERROR(VLOOKUP(A91,Totalidad!$A$3:$M$356,5,FALSE), "No encontrado")</f>
        <v>12950775</v>
      </c>
      <c r="I91" s="125">
        <f>+IFERROR(VLOOKUP(A91,Totalidad!$A$3:$M$356,6,FALSE), "No encontrado")</f>
        <v>15659259</v>
      </c>
      <c r="J91" s="125">
        <f>+IFERROR(VLOOKUP(A91,Totalidad!$A$3:$M$356,7,FALSE), "No encontrado")</f>
        <v>20344021.5</v>
      </c>
      <c r="K91" s="125">
        <f>+IFERROR(VLOOKUP(A91,Totalidad!$A$3:$M$356,8,FALSE), "No encontrado")</f>
        <v>19324875</v>
      </c>
      <c r="L91" s="125">
        <f>+IFERROR(VLOOKUP(A91,Totalidad!$A$3:$M$356,9,FALSE), "No encontrado")</f>
        <v>13168549.5</v>
      </c>
      <c r="M91" s="125">
        <f>+IFERROR(VLOOKUP(A91,Totalidad!$A$3:$M$356,10,FALSE), "No encontrado")</f>
        <v>17686642.5</v>
      </c>
      <c r="N91" s="125">
        <f>+IFERROR(VLOOKUP(A91,Totalidad!$A$3:$M$356,11,FALSE), "No encontrado")</f>
        <v>19448389.5</v>
      </c>
      <c r="O91" s="125">
        <f>+IFERROR(VLOOKUP(A91,Totalidad!$A$3:$M$356,12,FALSE), "No encontrado")</f>
        <v>15517690.5</v>
      </c>
      <c r="P91" s="125">
        <f>+IFERROR(VLOOKUP(A91,Totalidad!$A$3:$M$356,13,FALSE), "No encontrado")</f>
        <v>13162116</v>
      </c>
      <c r="Q91" s="123">
        <f t="shared" si="36"/>
        <v>184158421.5</v>
      </c>
      <c r="R91" s="123">
        <f t="shared" si="37"/>
        <v>1841578.5</v>
      </c>
      <c r="S91" s="124">
        <f t="shared" si="38"/>
        <v>0.99009904032258067</v>
      </c>
      <c r="T91" s="124">
        <f t="shared" si="35"/>
        <v>1.0832848323529412</v>
      </c>
    </row>
    <row r="92" spans="1:20" x14ac:dyDescent="0.25">
      <c r="A92" s="121" t="s">
        <v>256</v>
      </c>
      <c r="B92" s="121" t="s">
        <v>255</v>
      </c>
      <c r="C92" s="125">
        <v>1770000000</v>
      </c>
      <c r="D92" s="125">
        <v>1805000000</v>
      </c>
      <c r="E92" s="125">
        <f>+IFERROR(VLOOKUP(A92,Totalidad!$A$3:$M$356,2,FALSE), "No encontrado")</f>
        <v>150111167.25</v>
      </c>
      <c r="F92" s="125">
        <f>+IFERROR(VLOOKUP(A92,Totalidad!$A$3:$M$356,3,FALSE), "No encontrado")</f>
        <v>143778263</v>
      </c>
      <c r="G92" s="125">
        <f>+IFERROR(VLOOKUP(A92,Totalidad!$A$3:$M$356,4,FALSE), "No encontrado")</f>
        <v>153859056.25</v>
      </c>
      <c r="H92" s="125">
        <f>+IFERROR(VLOOKUP(A92,Totalidad!$A$3:$M$356,5,FALSE), "No encontrado")</f>
        <v>138872752.75</v>
      </c>
      <c r="I92" s="125">
        <f>+IFERROR(VLOOKUP(A92,Totalidad!$A$3:$M$356,6,FALSE), "No encontrado")</f>
        <v>152260430.25</v>
      </c>
      <c r="J92" s="125">
        <f>+IFERROR(VLOOKUP(A92,Totalidad!$A$3:$M$356,7,FALSE), "No encontrado")</f>
        <v>141749993.5</v>
      </c>
      <c r="K92" s="125">
        <f>+IFERROR(VLOOKUP(A92,Totalidad!$A$3:$M$356,8,FALSE), "No encontrado")</f>
        <v>153109075.5</v>
      </c>
      <c r="L92" s="125">
        <f>+IFERROR(VLOOKUP(A92,Totalidad!$A$3:$M$356,9,FALSE), "No encontrado")</f>
        <v>142149041</v>
      </c>
      <c r="M92" s="125">
        <f>+IFERROR(VLOOKUP(A92,Totalidad!$A$3:$M$356,10,FALSE), "No encontrado")</f>
        <v>130673319.25</v>
      </c>
      <c r="N92" s="125">
        <f>+IFERROR(VLOOKUP(A92,Totalidad!$A$3:$M$356,11,FALSE), "No encontrado")</f>
        <v>152728303.25</v>
      </c>
      <c r="O92" s="125">
        <f>+IFERROR(VLOOKUP(A92,Totalidad!$A$3:$M$356,12,FALSE), "No encontrado")</f>
        <v>146742315.25</v>
      </c>
      <c r="P92" s="125">
        <f>+IFERROR(VLOOKUP(A92,Totalidad!$A$3:$M$356,13,FALSE), "No encontrado")</f>
        <v>119804912</v>
      </c>
      <c r="Q92" s="123">
        <f t="shared" si="36"/>
        <v>1725838629.25</v>
      </c>
      <c r="R92" s="123">
        <f t="shared" si="37"/>
        <v>79161370.75</v>
      </c>
      <c r="S92" s="124">
        <f t="shared" si="38"/>
        <v>0.95614328490304712</v>
      </c>
      <c r="T92" s="124">
        <f t="shared" si="35"/>
        <v>0.97505007302259883</v>
      </c>
    </row>
    <row r="93" spans="1:20" x14ac:dyDescent="0.25">
      <c r="A93" s="121" t="s">
        <v>716</v>
      </c>
      <c r="B93" s="121" t="s">
        <v>715</v>
      </c>
      <c r="C93" s="122">
        <f>+C94+C97+C99</f>
        <v>77800000000</v>
      </c>
      <c r="D93" s="122">
        <f>+D94+D97+D99</f>
        <v>77036000000</v>
      </c>
      <c r="E93" s="122">
        <f t="shared" ref="E93:P93" si="43">+E94+E97+E99</f>
        <v>7754367164.1499996</v>
      </c>
      <c r="F93" s="122">
        <f t="shared" si="43"/>
        <v>7355167957.6700001</v>
      </c>
      <c r="G93" s="122">
        <f t="shared" si="43"/>
        <v>7944114646.2000008</v>
      </c>
      <c r="H93" s="122">
        <f t="shared" si="43"/>
        <v>7584335257.0900002</v>
      </c>
      <c r="I93" s="122">
        <f t="shared" si="43"/>
        <v>5542720716.4799995</v>
      </c>
      <c r="J93" s="122">
        <f t="shared" si="43"/>
        <v>5478800578.1700001</v>
      </c>
      <c r="K93" s="122">
        <f t="shared" si="43"/>
        <v>6503409489.1100006</v>
      </c>
      <c r="L93" s="122">
        <f t="shared" si="43"/>
        <v>5890852982.3299999</v>
      </c>
      <c r="M93" s="122">
        <f t="shared" si="43"/>
        <v>4882741447.1999998</v>
      </c>
      <c r="N93" s="122">
        <f t="shared" si="43"/>
        <v>5194883908.3500004</v>
      </c>
      <c r="O93" s="122">
        <f t="shared" si="43"/>
        <v>5515086036.0799999</v>
      </c>
      <c r="P93" s="122">
        <f t="shared" si="43"/>
        <v>6681178929.7299995</v>
      </c>
      <c r="Q93" s="123">
        <f t="shared" si="36"/>
        <v>76327659112.559982</v>
      </c>
      <c r="R93" s="123">
        <f t="shared" si="37"/>
        <v>708340887.4400177</v>
      </c>
      <c r="S93" s="124">
        <f t="shared" si="38"/>
        <v>0.99080506662547363</v>
      </c>
      <c r="T93" s="124">
        <f t="shared" si="35"/>
        <v>0.98107530993007686</v>
      </c>
    </row>
    <row r="94" spans="1:20" x14ac:dyDescent="0.25">
      <c r="A94" s="121" t="s">
        <v>714</v>
      </c>
      <c r="B94" s="121" t="s">
        <v>713</v>
      </c>
      <c r="C94" s="122">
        <f>+C95+C96</f>
        <v>54700000000</v>
      </c>
      <c r="D94" s="122">
        <f>+D95+D96</f>
        <v>54211000000</v>
      </c>
      <c r="E94" s="122">
        <f t="shared" ref="E94:P94" si="44">+E95+E96</f>
        <v>6561212128.1300001</v>
      </c>
      <c r="F94" s="122">
        <f t="shared" si="44"/>
        <v>4955538405.2200003</v>
      </c>
      <c r="G94" s="122">
        <f t="shared" si="44"/>
        <v>5304313034.8700008</v>
      </c>
      <c r="H94" s="122">
        <f t="shared" si="44"/>
        <v>5555711370.8599997</v>
      </c>
      <c r="I94" s="122">
        <f t="shared" si="44"/>
        <v>3847589735.0799999</v>
      </c>
      <c r="J94" s="122">
        <f t="shared" si="44"/>
        <v>3612463692.4899998</v>
      </c>
      <c r="K94" s="122">
        <f t="shared" si="44"/>
        <v>4778266685.3000002</v>
      </c>
      <c r="L94" s="122">
        <f t="shared" si="44"/>
        <v>3993681211.98</v>
      </c>
      <c r="M94" s="122">
        <f t="shared" si="44"/>
        <v>3109913686.4500003</v>
      </c>
      <c r="N94" s="122">
        <f t="shared" si="44"/>
        <v>3401603791.4100003</v>
      </c>
      <c r="O94" s="122">
        <f t="shared" si="44"/>
        <v>3530440311.8000002</v>
      </c>
      <c r="P94" s="122">
        <f t="shared" si="44"/>
        <v>4664271141.3000002</v>
      </c>
      <c r="Q94" s="123">
        <f t="shared" si="36"/>
        <v>53315005194.890015</v>
      </c>
      <c r="R94" s="123">
        <f t="shared" si="37"/>
        <v>895994805.10998535</v>
      </c>
      <c r="S94" s="124">
        <f t="shared" si="38"/>
        <v>0.98347208490693794</v>
      </c>
      <c r="T94" s="124">
        <f t="shared" si="35"/>
        <v>0.97468016809670954</v>
      </c>
    </row>
    <row r="95" spans="1:20" x14ac:dyDescent="0.25">
      <c r="A95" s="121" t="s">
        <v>253</v>
      </c>
      <c r="B95" s="121" t="s">
        <v>252</v>
      </c>
      <c r="C95" s="125">
        <v>52400000000</v>
      </c>
      <c r="D95" s="125">
        <v>51900000000</v>
      </c>
      <c r="E95" s="125">
        <f>+IFERROR(VLOOKUP(A95,Totalidad!$A$3:$M$356,2,FALSE), "No encontrado")</f>
        <v>6235877903.7799997</v>
      </c>
      <c r="F95" s="125">
        <f>+IFERROR(VLOOKUP(A95,Totalidad!$A$3:$M$356,3,FALSE), "No encontrado")</f>
        <v>4795496047.1700001</v>
      </c>
      <c r="G95" s="125">
        <f>+IFERROR(VLOOKUP(A95,Totalidad!$A$3:$M$356,4,FALSE), "No encontrado")</f>
        <v>5145986122.7700005</v>
      </c>
      <c r="H95" s="125">
        <f>+IFERROR(VLOOKUP(A95,Totalidad!$A$3:$M$356,5,FALSE), "No encontrado")</f>
        <v>5304902289.71</v>
      </c>
      <c r="I95" s="125">
        <f>+IFERROR(VLOOKUP(A95,Totalidad!$A$3:$M$356,6,FALSE), "No encontrado")</f>
        <v>3700238168.98</v>
      </c>
      <c r="J95" s="125">
        <f>+IFERROR(VLOOKUP(A95,Totalidad!$A$3:$M$356,7,FALSE), "No encontrado")</f>
        <v>3487097550.79</v>
      </c>
      <c r="K95" s="125">
        <f>+IFERROR(VLOOKUP(A95,Totalidad!$A$3:$M$356,8,FALSE), "No encontrado")</f>
        <v>4579648295.6000004</v>
      </c>
      <c r="L95" s="125">
        <f>+IFERROR(VLOOKUP(A95,Totalidad!$A$3:$M$356,9,FALSE), "No encontrado")</f>
        <v>3849328380.0799999</v>
      </c>
      <c r="M95" s="125">
        <f>+IFERROR(VLOOKUP(A95,Totalidad!$A$3:$M$356,10,FALSE), "No encontrado")</f>
        <v>2970411674.4000001</v>
      </c>
      <c r="N95" s="125">
        <f>+IFERROR(VLOOKUP(A95,Totalidad!$A$3:$M$356,11,FALSE), "No encontrado")</f>
        <v>3252157880.2600002</v>
      </c>
      <c r="O95" s="125">
        <f>+IFERROR(VLOOKUP(A95,Totalidad!$A$3:$M$356,12,FALSE), "No encontrado")</f>
        <v>3379309919.5599999</v>
      </c>
      <c r="P95" s="125">
        <f>+IFERROR(VLOOKUP(A95,Totalidad!$A$3:$M$356,13,FALSE), "No encontrado")</f>
        <v>4307892098.9499998</v>
      </c>
      <c r="Q95" s="123">
        <f t="shared" si="36"/>
        <v>51008346332.050003</v>
      </c>
      <c r="R95" s="123">
        <f t="shared" si="37"/>
        <v>891653667.94999695</v>
      </c>
      <c r="S95" s="124">
        <f t="shared" si="38"/>
        <v>0.98281977518400776</v>
      </c>
      <c r="T95" s="124">
        <f t="shared" si="35"/>
        <v>0.97344172389408401</v>
      </c>
    </row>
    <row r="96" spans="1:20" x14ac:dyDescent="0.25">
      <c r="A96" s="121" t="s">
        <v>251</v>
      </c>
      <c r="B96" s="121" t="s">
        <v>250</v>
      </c>
      <c r="C96" s="125">
        <v>2300000000</v>
      </c>
      <c r="D96" s="125">
        <v>2311000000</v>
      </c>
      <c r="E96" s="125">
        <f>+IFERROR(VLOOKUP(A96,Totalidad!$A$3:$M$356,2,FALSE), "No encontrado")</f>
        <v>325334224.35000002</v>
      </c>
      <c r="F96" s="125">
        <f>+IFERROR(VLOOKUP(A96,Totalidad!$A$3:$M$356,3,FALSE), "No encontrado")</f>
        <v>160042358.05000001</v>
      </c>
      <c r="G96" s="125">
        <f>+IFERROR(VLOOKUP(A96,Totalidad!$A$3:$M$356,4,FALSE), "No encontrado")</f>
        <v>158326912.09999999</v>
      </c>
      <c r="H96" s="125">
        <f>+IFERROR(VLOOKUP(A96,Totalidad!$A$3:$M$356,5,FALSE), "No encontrado")</f>
        <v>250809081.15000001</v>
      </c>
      <c r="I96" s="125">
        <f>+IFERROR(VLOOKUP(A96,Totalidad!$A$3:$M$356,6,FALSE), "No encontrado")</f>
        <v>147351566.09999999</v>
      </c>
      <c r="J96" s="125">
        <f>+IFERROR(VLOOKUP(A96,Totalidad!$A$3:$M$356,7,FALSE), "No encontrado")</f>
        <v>125366141.7</v>
      </c>
      <c r="K96" s="125">
        <f>+IFERROR(VLOOKUP(A96,Totalidad!$A$3:$M$356,8,FALSE), "No encontrado")</f>
        <v>198618389.69999999</v>
      </c>
      <c r="L96" s="125">
        <f>+IFERROR(VLOOKUP(A96,Totalidad!$A$3:$M$356,9,FALSE), "No encontrado")</f>
        <v>144352831.90000001</v>
      </c>
      <c r="M96" s="125">
        <f>+IFERROR(VLOOKUP(A96,Totalidad!$A$3:$M$356,10,FALSE), "No encontrado")</f>
        <v>139502012.05000001</v>
      </c>
      <c r="N96" s="125">
        <f>+IFERROR(VLOOKUP(A96,Totalidad!$A$3:$M$356,11,FALSE), "No encontrado")</f>
        <v>149445911.15000001</v>
      </c>
      <c r="O96" s="125">
        <f>+IFERROR(VLOOKUP(A96,Totalidad!$A$3:$M$356,12,FALSE), "No encontrado")</f>
        <v>151130392.24000001</v>
      </c>
      <c r="P96" s="125">
        <f>+IFERROR(VLOOKUP(A96,Totalidad!$A$3:$M$356,13,FALSE), "No encontrado")</f>
        <v>356379042.35000002</v>
      </c>
      <c r="Q96" s="123">
        <f t="shared" si="36"/>
        <v>2306658862.8400002</v>
      </c>
      <c r="R96" s="123">
        <f t="shared" si="37"/>
        <v>4341137.1599998474</v>
      </c>
      <c r="S96" s="124">
        <f t="shared" si="38"/>
        <v>0.99812153303331896</v>
      </c>
      <c r="T96" s="124">
        <f t="shared" si="35"/>
        <v>1.0028951577565217</v>
      </c>
    </row>
    <row r="97" spans="1:20" x14ac:dyDescent="0.25">
      <c r="A97" s="121" t="s">
        <v>712</v>
      </c>
      <c r="B97" s="121" t="s">
        <v>247</v>
      </c>
      <c r="C97" s="122">
        <f>+C98</f>
        <v>4000000000</v>
      </c>
      <c r="D97" s="122">
        <f>+D98</f>
        <v>3375000000</v>
      </c>
      <c r="E97" s="122">
        <f t="shared" ref="E97:P97" si="45">+E98</f>
        <v>64258236.399999999</v>
      </c>
      <c r="F97" s="122">
        <f t="shared" si="45"/>
        <v>361786376.97000003</v>
      </c>
      <c r="G97" s="122">
        <f t="shared" si="45"/>
        <v>971740245.65999997</v>
      </c>
      <c r="H97" s="122">
        <f t="shared" si="45"/>
        <v>316739398.82999998</v>
      </c>
      <c r="I97" s="122">
        <f t="shared" si="45"/>
        <v>279790375.63999999</v>
      </c>
      <c r="J97" s="122">
        <f t="shared" si="45"/>
        <v>282941459.58999997</v>
      </c>
      <c r="K97" s="122">
        <f t="shared" si="45"/>
        <v>264128646.87</v>
      </c>
      <c r="L97" s="122">
        <f t="shared" si="45"/>
        <v>252536347.90000001</v>
      </c>
      <c r="M97" s="122">
        <f t="shared" si="45"/>
        <v>277813219.00999999</v>
      </c>
      <c r="N97" s="122">
        <f t="shared" si="45"/>
        <v>236622629.21000001</v>
      </c>
      <c r="O97" s="122">
        <f t="shared" si="45"/>
        <v>230810145.44999999</v>
      </c>
      <c r="P97" s="122">
        <f t="shared" si="45"/>
        <v>239986329.24000001</v>
      </c>
      <c r="Q97" s="123">
        <f t="shared" si="36"/>
        <v>3779153410.7699995</v>
      </c>
      <c r="R97" s="123">
        <f t="shared" si="37"/>
        <v>-404153410.7699995</v>
      </c>
      <c r="S97" s="124">
        <f t="shared" si="38"/>
        <v>1.1197491587466666</v>
      </c>
      <c r="T97" s="124">
        <f t="shared" si="35"/>
        <v>0.94478835269249983</v>
      </c>
    </row>
    <row r="98" spans="1:20" x14ac:dyDescent="0.25">
      <c r="A98" s="121" t="s">
        <v>249</v>
      </c>
      <c r="B98" s="121" t="s">
        <v>248</v>
      </c>
      <c r="C98" s="125">
        <v>4000000000</v>
      </c>
      <c r="D98" s="125">
        <v>3375000000</v>
      </c>
      <c r="E98" s="125">
        <f>+IFERROR(VLOOKUP(A98,Totalidad!$A$3:$M$356,2,FALSE), "No encontrado")</f>
        <v>64258236.399999999</v>
      </c>
      <c r="F98" s="125">
        <f>+IFERROR(VLOOKUP(A98,Totalidad!$A$3:$M$356,3,FALSE), "No encontrado")</f>
        <v>361786376.97000003</v>
      </c>
      <c r="G98" s="125">
        <f>+IFERROR(VLOOKUP(A98,Totalidad!$A$3:$M$356,4,FALSE), "No encontrado")</f>
        <v>971740245.65999997</v>
      </c>
      <c r="H98" s="125">
        <f>+IFERROR(VLOOKUP(A98,Totalidad!$A$3:$M$356,5,FALSE), "No encontrado")</f>
        <v>316739398.82999998</v>
      </c>
      <c r="I98" s="125">
        <f>+IFERROR(VLOOKUP(A98,Totalidad!$A$3:$M$356,6,FALSE), "No encontrado")</f>
        <v>279790375.63999999</v>
      </c>
      <c r="J98" s="125">
        <f>+IFERROR(VLOOKUP(A98,Totalidad!$A$3:$M$356,7,FALSE), "No encontrado")</f>
        <v>282941459.58999997</v>
      </c>
      <c r="K98" s="125">
        <f>+IFERROR(VLOOKUP(A98,Totalidad!$A$3:$M$356,8,FALSE), "No encontrado")</f>
        <v>264128646.87</v>
      </c>
      <c r="L98" s="125">
        <f>+IFERROR(VLOOKUP(A98,Totalidad!$A$3:$M$356,9,FALSE), "No encontrado")</f>
        <v>252536347.90000001</v>
      </c>
      <c r="M98" s="125">
        <f>+IFERROR(VLOOKUP(A98,Totalidad!$A$3:$M$356,10,FALSE), "No encontrado")</f>
        <v>277813219.00999999</v>
      </c>
      <c r="N98" s="125">
        <f>+IFERROR(VLOOKUP(A98,Totalidad!$A$3:$M$356,11,FALSE), "No encontrado")</f>
        <v>236622629.21000001</v>
      </c>
      <c r="O98" s="125">
        <f>+IFERROR(VLOOKUP(A98,Totalidad!$A$3:$M$356,12,FALSE), "No encontrado")</f>
        <v>230810145.44999999</v>
      </c>
      <c r="P98" s="125">
        <f>+IFERROR(VLOOKUP(A98,Totalidad!$A$3:$M$356,13,FALSE), "No encontrado")</f>
        <v>239986329.24000001</v>
      </c>
      <c r="Q98" s="123">
        <f t="shared" si="36"/>
        <v>3779153410.7699995</v>
      </c>
      <c r="R98" s="123">
        <f t="shared" si="37"/>
        <v>-404153410.7699995</v>
      </c>
      <c r="S98" s="124">
        <f t="shared" si="38"/>
        <v>1.1197491587466666</v>
      </c>
      <c r="T98" s="124">
        <f t="shared" si="35"/>
        <v>0.94478835269249983</v>
      </c>
    </row>
    <row r="99" spans="1:20" x14ac:dyDescent="0.25">
      <c r="A99" s="121" t="s">
        <v>711</v>
      </c>
      <c r="B99" s="121" t="s">
        <v>710</v>
      </c>
      <c r="C99" s="122">
        <f>+C100+C104</f>
        <v>19100000000</v>
      </c>
      <c r="D99" s="122">
        <f>+D100+D104</f>
        <v>19450000000</v>
      </c>
      <c r="E99" s="122">
        <f t="shared" ref="E99:P99" si="46">+E100+E104</f>
        <v>1128896799.6199999</v>
      </c>
      <c r="F99" s="122">
        <f t="shared" si="46"/>
        <v>2037843175.48</v>
      </c>
      <c r="G99" s="122">
        <f t="shared" si="46"/>
        <v>1668061365.6700001</v>
      </c>
      <c r="H99" s="122">
        <f t="shared" si="46"/>
        <v>1711884487.4000001</v>
      </c>
      <c r="I99" s="122">
        <f t="shared" si="46"/>
        <v>1415340605.76</v>
      </c>
      <c r="J99" s="122">
        <f t="shared" si="46"/>
        <v>1583395426.0899999</v>
      </c>
      <c r="K99" s="122">
        <f t="shared" si="46"/>
        <v>1461014156.9400003</v>
      </c>
      <c r="L99" s="122">
        <f t="shared" si="46"/>
        <v>1644635422.4499998</v>
      </c>
      <c r="M99" s="122">
        <f t="shared" si="46"/>
        <v>1495014541.74</v>
      </c>
      <c r="N99" s="122">
        <f t="shared" si="46"/>
        <v>1556657487.73</v>
      </c>
      <c r="O99" s="122">
        <f t="shared" si="46"/>
        <v>1753835578.8299999</v>
      </c>
      <c r="P99" s="122">
        <f t="shared" si="46"/>
        <v>1776921459.1900001</v>
      </c>
      <c r="Q99" s="123">
        <f t="shared" si="36"/>
        <v>19233500506.899998</v>
      </c>
      <c r="R99" s="123">
        <f t="shared" si="37"/>
        <v>216499493.10000229</v>
      </c>
      <c r="S99" s="124">
        <f t="shared" si="38"/>
        <v>0.98886892066323895</v>
      </c>
      <c r="T99" s="124">
        <f t="shared" si="35"/>
        <v>1.0069895553350785</v>
      </c>
    </row>
    <row r="100" spans="1:20" x14ac:dyDescent="0.25">
      <c r="A100" s="121" t="s">
        <v>709</v>
      </c>
      <c r="B100" s="121" t="s">
        <v>708</v>
      </c>
      <c r="C100" s="122">
        <v>17650000000</v>
      </c>
      <c r="D100" s="122">
        <f>+D101+D102+D103</f>
        <v>18000000000</v>
      </c>
      <c r="E100" s="122">
        <f t="shared" ref="E100:P100" si="47">+E101+E102+E103</f>
        <v>1005861187.1799999</v>
      </c>
      <c r="F100" s="122">
        <f t="shared" si="47"/>
        <v>1934102151.8499999</v>
      </c>
      <c r="G100" s="122">
        <f t="shared" si="47"/>
        <v>1568593068.28</v>
      </c>
      <c r="H100" s="122">
        <f t="shared" si="47"/>
        <v>1632731997.8600001</v>
      </c>
      <c r="I100" s="122">
        <f t="shared" si="47"/>
        <v>1327879745.21</v>
      </c>
      <c r="J100" s="122">
        <f t="shared" si="47"/>
        <v>1471394437.04</v>
      </c>
      <c r="K100" s="122">
        <f t="shared" si="47"/>
        <v>1339961194.5500002</v>
      </c>
      <c r="L100" s="122">
        <f t="shared" si="47"/>
        <v>1528447897.3899999</v>
      </c>
      <c r="M100" s="122">
        <f t="shared" si="47"/>
        <v>1395154465.6900001</v>
      </c>
      <c r="N100" s="122">
        <f t="shared" si="47"/>
        <v>1464722335.9000001</v>
      </c>
      <c r="O100" s="122">
        <f t="shared" si="47"/>
        <v>1656162759.9099998</v>
      </c>
      <c r="P100" s="122">
        <f t="shared" si="47"/>
        <v>1670918012.7</v>
      </c>
      <c r="Q100" s="123">
        <f t="shared" si="36"/>
        <v>17995929253.560001</v>
      </c>
      <c r="R100" s="123">
        <f t="shared" si="37"/>
        <v>4070746.4399986267</v>
      </c>
      <c r="S100" s="124">
        <f t="shared" si="38"/>
        <v>0.99977384742000008</v>
      </c>
      <c r="T100" s="124">
        <f t="shared" si="35"/>
        <v>1.019599391136544</v>
      </c>
    </row>
    <row r="101" spans="1:20" x14ac:dyDescent="0.25">
      <c r="A101" s="121" t="s">
        <v>246</v>
      </c>
      <c r="B101" s="121" t="s">
        <v>245</v>
      </c>
      <c r="C101" s="128" t="s">
        <v>954</v>
      </c>
      <c r="D101" s="125">
        <v>1119000000</v>
      </c>
      <c r="E101" s="125">
        <f>+IFERROR(VLOOKUP(A101,Totalidad!$A$3:$M$356,2,FALSE), "No encontrado")</f>
        <v>67945143.950000003</v>
      </c>
      <c r="F101" s="125">
        <f>+IFERROR(VLOOKUP(A101,Totalidad!$A$3:$M$356,3,FALSE), "No encontrado")</f>
        <v>99384285.480000004</v>
      </c>
      <c r="G101" s="125">
        <f>+IFERROR(VLOOKUP(A101,Totalidad!$A$3:$M$356,4,FALSE), "No encontrado")</f>
        <v>90044546.969999999</v>
      </c>
      <c r="H101" s="125">
        <f>+IFERROR(VLOOKUP(A101,Totalidad!$A$3:$M$356,5,FALSE), "No encontrado")</f>
        <v>96601575.239999995</v>
      </c>
      <c r="I101" s="125">
        <f>+IFERROR(VLOOKUP(A101,Totalidad!$A$3:$M$356,6,FALSE), "No encontrado")</f>
        <v>80135318.079999998</v>
      </c>
      <c r="J101" s="125">
        <f>+IFERROR(VLOOKUP(A101,Totalidad!$A$3:$M$356,7,FALSE), "No encontrado")</f>
        <v>96039965.159999996</v>
      </c>
      <c r="K101" s="125">
        <f>+IFERROR(VLOOKUP(A101,Totalidad!$A$3:$M$356,8,FALSE), "No encontrado")</f>
        <v>80598478.5</v>
      </c>
      <c r="L101" s="125">
        <f>+IFERROR(VLOOKUP(A101,Totalidad!$A$3:$M$356,9,FALSE), "No encontrado")</f>
        <v>98455529.390000001</v>
      </c>
      <c r="M101" s="125">
        <f>+IFERROR(VLOOKUP(A101,Totalidad!$A$3:$M$356,10,FALSE), "No encontrado")</f>
        <v>88051502.840000004</v>
      </c>
      <c r="N101" s="125">
        <f>+IFERROR(VLOOKUP(A101,Totalidad!$A$3:$M$356,11,FALSE), "No encontrado")</f>
        <v>102759846.45</v>
      </c>
      <c r="O101" s="125">
        <f>+IFERROR(VLOOKUP(A101,Totalidad!$A$3:$M$356,12,FALSE), "No encontrado")</f>
        <v>112100439.13</v>
      </c>
      <c r="P101" s="125">
        <f>+IFERROR(VLOOKUP(A101,Totalidad!$A$3:$M$356,13,FALSE), "No encontrado")</f>
        <v>97644051.480000004</v>
      </c>
      <c r="Q101" s="123">
        <f t="shared" si="36"/>
        <v>1109760682.6700001</v>
      </c>
      <c r="R101" s="123">
        <f t="shared" si="37"/>
        <v>9239317.3299999237</v>
      </c>
      <c r="S101" s="124">
        <f t="shared" si="38"/>
        <v>0.99174323741733694</v>
      </c>
      <c r="T101" s="124" t="e">
        <f t="shared" si="35"/>
        <v>#VALUE!</v>
      </c>
    </row>
    <row r="102" spans="1:20" x14ac:dyDescent="0.25">
      <c r="A102" s="121" t="s">
        <v>244</v>
      </c>
      <c r="B102" s="121" t="s">
        <v>243</v>
      </c>
      <c r="C102" s="128" t="s">
        <v>954</v>
      </c>
      <c r="D102" s="125">
        <v>5934000000</v>
      </c>
      <c r="E102" s="125">
        <f>+IFERROR(VLOOKUP(A102,Totalidad!$A$3:$M$356,2,FALSE), "No encontrado")</f>
        <v>445928673.39999998</v>
      </c>
      <c r="F102" s="125">
        <f>+IFERROR(VLOOKUP(A102,Totalidad!$A$3:$M$356,3,FALSE), "No encontrado")</f>
        <v>632520894.92999995</v>
      </c>
      <c r="G102" s="125">
        <f>+IFERROR(VLOOKUP(A102,Totalidad!$A$3:$M$356,4,FALSE), "No encontrado")</f>
        <v>565842108.75</v>
      </c>
      <c r="H102" s="125">
        <f>+IFERROR(VLOOKUP(A102,Totalidad!$A$3:$M$356,5,FALSE), "No encontrado")</f>
        <v>592549572.51999998</v>
      </c>
      <c r="I102" s="125">
        <f>+IFERROR(VLOOKUP(A102,Totalidad!$A$3:$M$356,6,FALSE), "No encontrado")</f>
        <v>480690169.55000001</v>
      </c>
      <c r="J102" s="125">
        <f>+IFERROR(VLOOKUP(A102,Totalidad!$A$3:$M$356,7,FALSE), "No encontrado")</f>
        <v>528105130.24000001</v>
      </c>
      <c r="K102" s="125">
        <f>+IFERROR(VLOOKUP(A102,Totalidad!$A$3:$M$356,8,FALSE), "No encontrado")</f>
        <v>482447583.86000001</v>
      </c>
      <c r="L102" s="125">
        <f>+IFERROR(VLOOKUP(A102,Totalidad!$A$3:$M$356,9,FALSE), "No encontrado")</f>
        <v>546226156.20000005</v>
      </c>
      <c r="M102" s="125">
        <f>+IFERROR(VLOOKUP(A102,Totalidad!$A$3:$M$356,10,FALSE), "No encontrado")</f>
        <v>499043065.08999997</v>
      </c>
      <c r="N102" s="125">
        <f>+IFERROR(VLOOKUP(A102,Totalidad!$A$3:$M$356,11,FALSE), "No encontrado")</f>
        <v>527691984.14999998</v>
      </c>
      <c r="O102" s="125">
        <f>+IFERROR(VLOOKUP(A102,Totalidad!$A$3:$M$356,12,FALSE), "No encontrado")</f>
        <v>610814362.41999996</v>
      </c>
      <c r="P102" s="125">
        <f>+IFERROR(VLOOKUP(A102,Totalidad!$A$3:$M$356,13,FALSE), "No encontrado")</f>
        <v>600244266.25</v>
      </c>
      <c r="Q102" s="123">
        <f t="shared" si="36"/>
        <v>6512103967.3600006</v>
      </c>
      <c r="R102" s="123">
        <f t="shared" si="37"/>
        <v>-578103967.36000061</v>
      </c>
      <c r="S102" s="124">
        <f t="shared" si="38"/>
        <v>1.0974223065992585</v>
      </c>
      <c r="T102" s="124" t="e">
        <f t="shared" si="35"/>
        <v>#VALUE!</v>
      </c>
    </row>
    <row r="103" spans="1:20" x14ac:dyDescent="0.25">
      <c r="A103" s="121" t="s">
        <v>242</v>
      </c>
      <c r="B103" s="121" t="s">
        <v>241</v>
      </c>
      <c r="C103" s="128" t="s">
        <v>954</v>
      </c>
      <c r="D103" s="125">
        <v>10947000000</v>
      </c>
      <c r="E103" s="125">
        <f>+IFERROR(VLOOKUP(A103,Totalidad!$A$3:$M$356,2,FALSE), "No encontrado")</f>
        <v>491987369.82999998</v>
      </c>
      <c r="F103" s="125">
        <f>+IFERROR(VLOOKUP(A103,Totalidad!$A$3:$M$356,3,FALSE), "No encontrado")</f>
        <v>1202196971.4400001</v>
      </c>
      <c r="G103" s="125">
        <f>+IFERROR(VLOOKUP(A103,Totalidad!$A$3:$M$356,4,FALSE), "No encontrado")</f>
        <v>912706412.55999994</v>
      </c>
      <c r="H103" s="125">
        <f>+IFERROR(VLOOKUP(A103,Totalidad!$A$3:$M$356,5,FALSE), "No encontrado")</f>
        <v>943580850.10000002</v>
      </c>
      <c r="I103" s="125">
        <f>+IFERROR(VLOOKUP(A103,Totalidad!$A$3:$M$356,6,FALSE), "No encontrado")</f>
        <v>767054257.58000004</v>
      </c>
      <c r="J103" s="125">
        <f>+IFERROR(VLOOKUP(A103,Totalidad!$A$3:$M$356,7,FALSE), "No encontrado")</f>
        <v>847249341.63999999</v>
      </c>
      <c r="K103" s="125">
        <f>+IFERROR(VLOOKUP(A103,Totalidad!$A$3:$M$356,8,FALSE), "No encontrado")</f>
        <v>776915132.19000006</v>
      </c>
      <c r="L103" s="125">
        <f>+IFERROR(VLOOKUP(A103,Totalidad!$A$3:$M$356,9,FALSE), "No encontrado")</f>
        <v>883766211.79999995</v>
      </c>
      <c r="M103" s="125">
        <f>+IFERROR(VLOOKUP(A103,Totalidad!$A$3:$M$356,10,FALSE), "No encontrado")</f>
        <v>808059897.75999999</v>
      </c>
      <c r="N103" s="125">
        <f>+IFERROR(VLOOKUP(A103,Totalidad!$A$3:$M$356,11,FALSE), "No encontrado")</f>
        <v>834270505.29999995</v>
      </c>
      <c r="O103" s="125">
        <f>+IFERROR(VLOOKUP(A103,Totalidad!$A$3:$M$356,12,FALSE), "No encontrado")</f>
        <v>933247958.36000001</v>
      </c>
      <c r="P103" s="125">
        <f>+IFERROR(VLOOKUP(A103,Totalidad!$A$3:$M$356,13,FALSE), "No encontrado")</f>
        <v>973029694.97000003</v>
      </c>
      <c r="Q103" s="123">
        <f t="shared" si="36"/>
        <v>10374064603.530001</v>
      </c>
      <c r="R103" s="123">
        <f t="shared" si="37"/>
        <v>572935396.46999931</v>
      </c>
      <c r="S103" s="124">
        <f t="shared" si="38"/>
        <v>0.94766279378185814</v>
      </c>
      <c r="T103" s="124" t="e">
        <f t="shared" si="35"/>
        <v>#VALUE!</v>
      </c>
    </row>
    <row r="104" spans="1:20" x14ac:dyDescent="0.25">
      <c r="A104" s="121" t="s">
        <v>240</v>
      </c>
      <c r="B104" s="121" t="s">
        <v>239</v>
      </c>
      <c r="C104" s="125">
        <v>1450000000</v>
      </c>
      <c r="D104" s="125">
        <v>1450000000</v>
      </c>
      <c r="E104" s="125">
        <f>+IFERROR(VLOOKUP(A104,Totalidad!$A$3:$M$356,2,FALSE), "No encontrado")</f>
        <v>123035612.44</v>
      </c>
      <c r="F104" s="125">
        <f>+IFERROR(VLOOKUP(A104,Totalidad!$A$3:$M$356,3,FALSE), "No encontrado")</f>
        <v>103741023.63</v>
      </c>
      <c r="G104" s="125">
        <f>+IFERROR(VLOOKUP(A104,Totalidad!$A$3:$M$356,4,FALSE), "No encontrado")</f>
        <v>99468297.390000001</v>
      </c>
      <c r="H104" s="125">
        <f>+IFERROR(VLOOKUP(A104,Totalidad!$A$3:$M$356,5,FALSE), "No encontrado")</f>
        <v>79152489.540000007</v>
      </c>
      <c r="I104" s="125">
        <f>+IFERROR(VLOOKUP(A104,Totalidad!$A$3:$M$356,6,FALSE), "No encontrado")</f>
        <v>87460860.549999997</v>
      </c>
      <c r="J104" s="125">
        <f>+IFERROR(VLOOKUP(A104,Totalidad!$A$3:$M$356,7,FALSE), "No encontrado")</f>
        <v>112000989.05</v>
      </c>
      <c r="K104" s="125">
        <f>+IFERROR(VLOOKUP(A104,Totalidad!$A$3:$M$356,8,FALSE), "No encontrado")</f>
        <v>121052962.39</v>
      </c>
      <c r="L104" s="125">
        <f>+IFERROR(VLOOKUP(A104,Totalidad!$A$3:$M$356,9,FALSE), "No encontrado")</f>
        <v>116187525.06</v>
      </c>
      <c r="M104" s="125">
        <f>+IFERROR(VLOOKUP(A104,Totalidad!$A$3:$M$356,10,FALSE), "No encontrado")</f>
        <v>99860076.049999997</v>
      </c>
      <c r="N104" s="125">
        <f>+IFERROR(VLOOKUP(A104,Totalidad!$A$3:$M$356,11,FALSE), "No encontrado")</f>
        <v>91935151.829999998</v>
      </c>
      <c r="O104" s="125">
        <f>+IFERROR(VLOOKUP(A104,Totalidad!$A$3:$M$356,12,FALSE), "No encontrado")</f>
        <v>97672818.920000002</v>
      </c>
      <c r="P104" s="125">
        <f>+IFERROR(VLOOKUP(A104,Totalidad!$A$3:$M$356,13,FALSE), "No encontrado")</f>
        <v>106003446.48999999</v>
      </c>
      <c r="Q104" s="123">
        <f t="shared" si="36"/>
        <v>1237571253.3399999</v>
      </c>
      <c r="R104" s="123">
        <f t="shared" si="37"/>
        <v>212428746.66000009</v>
      </c>
      <c r="S104" s="124">
        <f t="shared" si="38"/>
        <v>0.85349741609655172</v>
      </c>
      <c r="T104" s="124">
        <f t="shared" si="35"/>
        <v>0.85349741609655172</v>
      </c>
    </row>
    <row r="105" spans="1:20" x14ac:dyDescent="0.25">
      <c r="A105" s="121" t="s">
        <v>707</v>
      </c>
      <c r="B105" s="121" t="s">
        <v>706</v>
      </c>
      <c r="C105" s="122">
        <v>5119000000</v>
      </c>
      <c r="D105" s="122">
        <f>+D106+D108</f>
        <v>6001000000</v>
      </c>
      <c r="E105" s="122">
        <f t="shared" ref="E105:P105" si="48">+E106+E108</f>
        <v>304953306.88999999</v>
      </c>
      <c r="F105" s="122">
        <f t="shared" si="48"/>
        <v>301373198.84000003</v>
      </c>
      <c r="G105" s="122">
        <f t="shared" si="48"/>
        <v>314437763.75999999</v>
      </c>
      <c r="H105" s="122">
        <f t="shared" si="48"/>
        <v>371120702.77999997</v>
      </c>
      <c r="I105" s="122">
        <f t="shared" si="48"/>
        <v>603675579.19999993</v>
      </c>
      <c r="J105" s="122">
        <f t="shared" si="48"/>
        <v>577969882.87</v>
      </c>
      <c r="K105" s="122">
        <f t="shared" si="48"/>
        <v>465920805.13</v>
      </c>
      <c r="L105" s="122">
        <f t="shared" si="48"/>
        <v>371417161</v>
      </c>
      <c r="M105" s="122">
        <f t="shared" si="48"/>
        <v>493974874.47000003</v>
      </c>
      <c r="N105" s="122">
        <f t="shared" si="48"/>
        <v>647647925.42999995</v>
      </c>
      <c r="O105" s="122">
        <f t="shared" si="48"/>
        <v>834239745.52999997</v>
      </c>
      <c r="P105" s="122">
        <f t="shared" si="48"/>
        <v>736758165.18999994</v>
      </c>
      <c r="Q105" s="123">
        <f t="shared" si="36"/>
        <v>6023489111.0899992</v>
      </c>
      <c r="R105" s="123">
        <f t="shared" si="37"/>
        <v>-22489111.089999199</v>
      </c>
      <c r="S105" s="124">
        <f t="shared" si="38"/>
        <v>1.0037475605882351</v>
      </c>
      <c r="T105" s="124">
        <f t="shared" si="35"/>
        <v>1.1766925397714396</v>
      </c>
    </row>
    <row r="106" spans="1:20" x14ac:dyDescent="0.25">
      <c r="A106" s="121" t="s">
        <v>705</v>
      </c>
      <c r="B106" s="121" t="s">
        <v>704</v>
      </c>
      <c r="C106" s="161" t="s">
        <v>954</v>
      </c>
      <c r="D106" s="122">
        <f>+D107</f>
        <v>6000000000</v>
      </c>
      <c r="E106" s="122">
        <f t="shared" ref="E106:P106" si="49">+E107</f>
        <v>304922159.13999999</v>
      </c>
      <c r="F106" s="122">
        <f t="shared" si="49"/>
        <v>301319638.54000002</v>
      </c>
      <c r="G106" s="122">
        <f t="shared" si="49"/>
        <v>314400264.75999999</v>
      </c>
      <c r="H106" s="122">
        <f t="shared" si="49"/>
        <v>371058454.52999997</v>
      </c>
      <c r="I106" s="122">
        <f t="shared" si="49"/>
        <v>603535727.66999996</v>
      </c>
      <c r="J106" s="122">
        <f t="shared" si="49"/>
        <v>577178196.02999997</v>
      </c>
      <c r="K106" s="122">
        <f t="shared" si="49"/>
        <v>465243900.36000001</v>
      </c>
      <c r="L106" s="122">
        <f t="shared" si="49"/>
        <v>370289996.06999999</v>
      </c>
      <c r="M106" s="122">
        <f t="shared" si="49"/>
        <v>491233316.60000002</v>
      </c>
      <c r="N106" s="122">
        <f t="shared" si="49"/>
        <v>642454390.27999997</v>
      </c>
      <c r="O106" s="122">
        <f t="shared" si="49"/>
        <v>828098610.29999995</v>
      </c>
      <c r="P106" s="122">
        <f t="shared" si="49"/>
        <v>734683170.63</v>
      </c>
      <c r="Q106" s="123">
        <f t="shared" si="36"/>
        <v>6004417824.9100008</v>
      </c>
      <c r="R106" s="123">
        <f t="shared" si="37"/>
        <v>-4417824.9100008011</v>
      </c>
      <c r="S106" s="124">
        <f t="shared" si="38"/>
        <v>1.0007363041516668</v>
      </c>
      <c r="T106" s="124" t="e">
        <f t="shared" si="35"/>
        <v>#VALUE!</v>
      </c>
    </row>
    <row r="107" spans="1:20" x14ac:dyDescent="0.25">
      <c r="A107" s="121" t="s">
        <v>236</v>
      </c>
      <c r="B107" s="121" t="s">
        <v>235</v>
      </c>
      <c r="C107" s="128" t="s">
        <v>954</v>
      </c>
      <c r="D107" s="125">
        <v>6000000000</v>
      </c>
      <c r="E107" s="125">
        <f>+IFERROR(VLOOKUP(A107,Totalidad!$A$3:$M$356,2,FALSE), "No encontrado")</f>
        <v>304922159.13999999</v>
      </c>
      <c r="F107" s="125">
        <f>+IFERROR(VLOOKUP(A107,Totalidad!$A$3:$M$356,3,FALSE), "No encontrado")</f>
        <v>301319638.54000002</v>
      </c>
      <c r="G107" s="125">
        <f>+IFERROR(VLOOKUP(A107,Totalidad!$A$3:$M$356,4,FALSE), "No encontrado")</f>
        <v>314400264.75999999</v>
      </c>
      <c r="H107" s="125">
        <f>+IFERROR(VLOOKUP(A107,Totalidad!$A$3:$M$356,5,FALSE), "No encontrado")</f>
        <v>371058454.52999997</v>
      </c>
      <c r="I107" s="125">
        <f>+IFERROR(VLOOKUP(A107,Totalidad!$A$3:$M$356,6,FALSE), "No encontrado")</f>
        <v>603535727.66999996</v>
      </c>
      <c r="J107" s="125">
        <f>+IFERROR(VLOOKUP(A107,Totalidad!$A$3:$M$356,7,FALSE), "No encontrado")</f>
        <v>577178196.02999997</v>
      </c>
      <c r="K107" s="125">
        <f>+IFERROR(VLOOKUP(A107,Totalidad!$A$3:$M$356,8,FALSE), "No encontrado")</f>
        <v>465243900.36000001</v>
      </c>
      <c r="L107" s="125">
        <f>+IFERROR(VLOOKUP(A107,Totalidad!$A$3:$M$356,9,FALSE), "No encontrado")</f>
        <v>370289996.06999999</v>
      </c>
      <c r="M107" s="125">
        <f>+IFERROR(VLOOKUP(A107,Totalidad!$A$3:$M$356,10,FALSE), "No encontrado")</f>
        <v>491233316.60000002</v>
      </c>
      <c r="N107" s="125">
        <f>+IFERROR(VLOOKUP(A107,Totalidad!$A$3:$M$356,11,FALSE), "No encontrado")</f>
        <v>642454390.27999997</v>
      </c>
      <c r="O107" s="125">
        <f>+IFERROR(VLOOKUP(A107,Totalidad!$A$3:$M$356,12,FALSE), "No encontrado")</f>
        <v>828098610.29999995</v>
      </c>
      <c r="P107" s="125">
        <f>+IFERROR(VLOOKUP(A107,Totalidad!$A$3:$M$356,13,FALSE), "No encontrado")</f>
        <v>734683170.63</v>
      </c>
      <c r="Q107" s="123">
        <f t="shared" si="36"/>
        <v>6004417824.9100008</v>
      </c>
      <c r="R107" s="123">
        <f t="shared" si="37"/>
        <v>-4417824.9100008011</v>
      </c>
      <c r="S107" s="124">
        <f t="shared" si="38"/>
        <v>1.0007363041516668</v>
      </c>
      <c r="T107" s="124" t="e">
        <f t="shared" si="35"/>
        <v>#VALUE!</v>
      </c>
    </row>
    <row r="108" spans="1:20" x14ac:dyDescent="0.25">
      <c r="A108" s="121" t="s">
        <v>703</v>
      </c>
      <c r="B108" s="121" t="s">
        <v>702</v>
      </c>
      <c r="C108" s="161" t="s">
        <v>954</v>
      </c>
      <c r="D108" s="122">
        <f>+D109</f>
        <v>1000000</v>
      </c>
      <c r="E108" s="122">
        <f t="shared" ref="E108:P108" si="50">+E109</f>
        <v>31147.75</v>
      </c>
      <c r="F108" s="122">
        <f t="shared" si="50"/>
        <v>53560.3</v>
      </c>
      <c r="G108" s="122">
        <f t="shared" si="50"/>
        <v>37499</v>
      </c>
      <c r="H108" s="122">
        <f t="shared" si="50"/>
        <v>62248.25</v>
      </c>
      <c r="I108" s="122">
        <f t="shared" si="50"/>
        <v>139851.53</v>
      </c>
      <c r="J108" s="122">
        <f t="shared" si="50"/>
        <v>791686.84</v>
      </c>
      <c r="K108" s="122">
        <f t="shared" si="50"/>
        <v>676904.77</v>
      </c>
      <c r="L108" s="122">
        <f t="shared" si="50"/>
        <v>1127164.93</v>
      </c>
      <c r="M108" s="122">
        <f t="shared" si="50"/>
        <v>2741557.87</v>
      </c>
      <c r="N108" s="122">
        <f t="shared" si="50"/>
        <v>5193535.1500000004</v>
      </c>
      <c r="O108" s="122">
        <f t="shared" si="50"/>
        <v>6141135.2300000004</v>
      </c>
      <c r="P108" s="122">
        <f t="shared" si="50"/>
        <v>2074994.56</v>
      </c>
      <c r="Q108" s="123">
        <f t="shared" si="36"/>
        <v>19071286.18</v>
      </c>
      <c r="R108" s="123">
        <f t="shared" si="37"/>
        <v>-18071286.18</v>
      </c>
      <c r="S108" s="124">
        <f t="shared" si="38"/>
        <v>19.071286180000001</v>
      </c>
      <c r="T108" s="124" t="e">
        <f t="shared" si="35"/>
        <v>#VALUE!</v>
      </c>
    </row>
    <row r="109" spans="1:20" x14ac:dyDescent="0.25">
      <c r="A109" s="121" t="s">
        <v>234</v>
      </c>
      <c r="B109" s="121" t="s">
        <v>233</v>
      </c>
      <c r="C109" s="128" t="s">
        <v>954</v>
      </c>
      <c r="D109" s="125">
        <v>1000000</v>
      </c>
      <c r="E109" s="125">
        <f>+IFERROR(VLOOKUP(A109,Totalidad!$A$3:$M$356,2,FALSE), "No encontrado")</f>
        <v>31147.75</v>
      </c>
      <c r="F109" s="125">
        <f>+IFERROR(VLOOKUP(A109,Totalidad!$A$3:$M$356,3,FALSE), "No encontrado")</f>
        <v>53560.3</v>
      </c>
      <c r="G109" s="125">
        <f>+IFERROR(VLOOKUP(A109,Totalidad!$A$3:$M$356,4,FALSE), "No encontrado")</f>
        <v>37499</v>
      </c>
      <c r="H109" s="125">
        <f>+IFERROR(VLOOKUP(A109,Totalidad!$A$3:$M$356,5,FALSE), "No encontrado")</f>
        <v>62248.25</v>
      </c>
      <c r="I109" s="125">
        <f>+IFERROR(VLOOKUP(A109,Totalidad!$A$3:$M$356,6,FALSE), "No encontrado")</f>
        <v>139851.53</v>
      </c>
      <c r="J109" s="125">
        <f>+IFERROR(VLOOKUP(A109,Totalidad!$A$3:$M$356,7,FALSE), "No encontrado")</f>
        <v>791686.84</v>
      </c>
      <c r="K109" s="125">
        <f>+IFERROR(VLOOKUP(A109,Totalidad!$A$3:$M$356,8,FALSE), "No encontrado")</f>
        <v>676904.77</v>
      </c>
      <c r="L109" s="125">
        <f>+IFERROR(VLOOKUP(A109,Totalidad!$A$3:$M$356,9,FALSE), "No encontrado")</f>
        <v>1127164.93</v>
      </c>
      <c r="M109" s="125">
        <f>+IFERROR(VLOOKUP(A109,Totalidad!$A$3:$M$356,10,FALSE), "No encontrado")</f>
        <v>2741557.87</v>
      </c>
      <c r="N109" s="125">
        <f>+IFERROR(VLOOKUP(A109,Totalidad!$A$3:$M$356,11,FALSE), "No encontrado")</f>
        <v>5193535.1500000004</v>
      </c>
      <c r="O109" s="125">
        <f>+IFERROR(VLOOKUP(A109,Totalidad!$A$3:$M$356,12,FALSE), "No encontrado")</f>
        <v>6141135.2300000004</v>
      </c>
      <c r="P109" s="125">
        <f>+IFERROR(VLOOKUP(A109,Totalidad!$A$3:$M$356,13,FALSE), "No encontrado")</f>
        <v>2074994.56</v>
      </c>
      <c r="Q109" s="123">
        <f t="shared" si="36"/>
        <v>19071286.18</v>
      </c>
      <c r="R109" s="123">
        <f t="shared" si="37"/>
        <v>-18071286.18</v>
      </c>
      <c r="S109" s="124">
        <f t="shared" si="38"/>
        <v>19.071286180000001</v>
      </c>
      <c r="T109" s="124" t="e">
        <f t="shared" si="35"/>
        <v>#VALUE!</v>
      </c>
    </row>
    <row r="110" spans="1:20" x14ac:dyDescent="0.25">
      <c r="A110" s="129" t="s">
        <v>701</v>
      </c>
      <c r="B110" s="129" t="s">
        <v>700</v>
      </c>
      <c r="C110" s="130">
        <v>75600000000</v>
      </c>
      <c r="D110" s="130">
        <f>+D111</f>
        <v>74000000000</v>
      </c>
      <c r="E110" s="130">
        <f t="shared" ref="E110:P111" si="51">+E111</f>
        <v>7184570691.1700001</v>
      </c>
      <c r="F110" s="130">
        <f t="shared" si="51"/>
        <v>5749662864.5900002</v>
      </c>
      <c r="G110" s="130">
        <f t="shared" si="51"/>
        <v>6268556818.9599991</v>
      </c>
      <c r="H110" s="130">
        <f t="shared" si="51"/>
        <v>6099290937.5499992</v>
      </c>
      <c r="I110" s="130">
        <f t="shared" si="51"/>
        <v>6432237078.2300005</v>
      </c>
      <c r="J110" s="130">
        <f t="shared" si="51"/>
        <v>6214891792.9699993</v>
      </c>
      <c r="K110" s="130">
        <f t="shared" si="51"/>
        <v>6593380702.4599991</v>
      </c>
      <c r="L110" s="130">
        <f t="shared" si="51"/>
        <v>6204960727.7299995</v>
      </c>
      <c r="M110" s="130">
        <f t="shared" si="51"/>
        <v>6468173319.9099998</v>
      </c>
      <c r="N110" s="130">
        <f t="shared" si="51"/>
        <v>7028573639.8400002</v>
      </c>
      <c r="O110" s="130">
        <f t="shared" si="51"/>
        <v>6251122975.5</v>
      </c>
      <c r="P110" s="130">
        <f t="shared" si="51"/>
        <v>6976945228.2800007</v>
      </c>
      <c r="Q110" s="62">
        <f t="shared" si="36"/>
        <v>77472366777.190002</v>
      </c>
      <c r="R110" s="62">
        <f t="shared" si="37"/>
        <v>-3472366777.1900024</v>
      </c>
      <c r="S110" s="131">
        <f t="shared" si="38"/>
        <v>1.0469238753674324</v>
      </c>
      <c r="T110" s="131">
        <f t="shared" si="35"/>
        <v>1.0247667563120371</v>
      </c>
    </row>
    <row r="111" spans="1:20" x14ac:dyDescent="0.25">
      <c r="A111" s="129" t="s">
        <v>699</v>
      </c>
      <c r="B111" s="129" t="s">
        <v>698</v>
      </c>
      <c r="C111" s="162" t="s">
        <v>954</v>
      </c>
      <c r="D111" s="130">
        <f>+D112</f>
        <v>74000000000</v>
      </c>
      <c r="E111" s="130">
        <f t="shared" si="51"/>
        <v>7184570691.1700001</v>
      </c>
      <c r="F111" s="130">
        <f t="shared" si="51"/>
        <v>5749662864.5900002</v>
      </c>
      <c r="G111" s="130">
        <f t="shared" si="51"/>
        <v>6268556818.9599991</v>
      </c>
      <c r="H111" s="130">
        <f t="shared" si="51"/>
        <v>6099290937.5499992</v>
      </c>
      <c r="I111" s="130">
        <f t="shared" si="51"/>
        <v>6432237078.2300005</v>
      </c>
      <c r="J111" s="130">
        <f t="shared" si="51"/>
        <v>6214891792.9699993</v>
      </c>
      <c r="K111" s="130">
        <f t="shared" si="51"/>
        <v>6593380702.4599991</v>
      </c>
      <c r="L111" s="130">
        <f t="shared" si="51"/>
        <v>6204960727.7299995</v>
      </c>
      <c r="M111" s="130">
        <f t="shared" si="51"/>
        <v>6468173319.9099998</v>
      </c>
      <c r="N111" s="130">
        <f t="shared" si="51"/>
        <v>7028573639.8400002</v>
      </c>
      <c r="O111" s="130">
        <f t="shared" si="51"/>
        <v>6251122975.5</v>
      </c>
      <c r="P111" s="130">
        <f t="shared" si="51"/>
        <v>6976945228.2800007</v>
      </c>
      <c r="Q111" s="62">
        <f t="shared" si="36"/>
        <v>77472366777.190002</v>
      </c>
      <c r="R111" s="62">
        <f t="shared" si="37"/>
        <v>-3472366777.1900024</v>
      </c>
      <c r="S111" s="131">
        <f t="shared" si="38"/>
        <v>1.0469238753674324</v>
      </c>
      <c r="T111" s="131" t="e">
        <f t="shared" si="35"/>
        <v>#VALUE!</v>
      </c>
    </row>
    <row r="112" spans="1:20" x14ac:dyDescent="0.25">
      <c r="A112" s="129" t="s">
        <v>697</v>
      </c>
      <c r="B112" s="129" t="s">
        <v>696</v>
      </c>
      <c r="C112" s="162" t="s">
        <v>954</v>
      </c>
      <c r="D112" s="130">
        <f>+D113+D116+D118</f>
        <v>74000000000</v>
      </c>
      <c r="E112" s="130">
        <f t="shared" ref="E112:P112" si="52">+E113+E116+E118</f>
        <v>7184570691.1700001</v>
      </c>
      <c r="F112" s="130">
        <f t="shared" si="52"/>
        <v>5749662864.5900002</v>
      </c>
      <c r="G112" s="130">
        <f t="shared" si="52"/>
        <v>6268556818.9599991</v>
      </c>
      <c r="H112" s="130">
        <f t="shared" si="52"/>
        <v>6099290937.5499992</v>
      </c>
      <c r="I112" s="130">
        <f t="shared" si="52"/>
        <v>6432237078.2300005</v>
      </c>
      <c r="J112" s="130">
        <f t="shared" si="52"/>
        <v>6214891792.9699993</v>
      </c>
      <c r="K112" s="130">
        <f t="shared" si="52"/>
        <v>6593380702.4599991</v>
      </c>
      <c r="L112" s="130">
        <f t="shared" si="52"/>
        <v>6204960727.7299995</v>
      </c>
      <c r="M112" s="130">
        <f t="shared" si="52"/>
        <v>6468173319.9099998</v>
      </c>
      <c r="N112" s="130">
        <f t="shared" si="52"/>
        <v>7028573639.8400002</v>
      </c>
      <c r="O112" s="130">
        <f t="shared" si="52"/>
        <v>6251122975.5</v>
      </c>
      <c r="P112" s="130">
        <f t="shared" si="52"/>
        <v>6976945228.2800007</v>
      </c>
      <c r="Q112" s="62">
        <f t="shared" si="36"/>
        <v>77472366777.190002</v>
      </c>
      <c r="R112" s="62">
        <f t="shared" si="37"/>
        <v>-3472366777.1900024</v>
      </c>
      <c r="S112" s="131">
        <f t="shared" si="38"/>
        <v>1.0469238753674324</v>
      </c>
      <c r="T112" s="131" t="e">
        <f t="shared" si="35"/>
        <v>#VALUE!</v>
      </c>
    </row>
    <row r="113" spans="1:20" x14ac:dyDescent="0.25">
      <c r="A113" s="129" t="s">
        <v>695</v>
      </c>
      <c r="B113" s="129" t="s">
        <v>694</v>
      </c>
      <c r="C113" s="162" t="s">
        <v>954</v>
      </c>
      <c r="D113" s="130">
        <f>+D114+D115</f>
        <v>26445000000</v>
      </c>
      <c r="E113" s="130">
        <f t="shared" ref="E113:P113" si="53">+E114+E115</f>
        <v>2846522428.5100002</v>
      </c>
      <c r="F113" s="130">
        <f t="shared" si="53"/>
        <v>1430626691.26</v>
      </c>
      <c r="G113" s="130">
        <f t="shared" si="53"/>
        <v>1953660300.6900001</v>
      </c>
      <c r="H113" s="130">
        <f t="shared" si="53"/>
        <v>1625589173.3800001</v>
      </c>
      <c r="I113" s="130">
        <f t="shared" si="53"/>
        <v>2155146617.5100002</v>
      </c>
      <c r="J113" s="130">
        <f t="shared" si="53"/>
        <v>1962759125.4099998</v>
      </c>
      <c r="K113" s="130">
        <f t="shared" si="53"/>
        <v>2320857123.6300001</v>
      </c>
      <c r="L113" s="130">
        <f t="shared" si="53"/>
        <v>1833251345.1900001</v>
      </c>
      <c r="M113" s="130">
        <f t="shared" si="53"/>
        <v>2063366424.49</v>
      </c>
      <c r="N113" s="130">
        <f t="shared" si="53"/>
        <v>2685760071.54</v>
      </c>
      <c r="O113" s="130">
        <f t="shared" si="53"/>
        <v>1974340362.1799998</v>
      </c>
      <c r="P113" s="130">
        <f t="shared" si="53"/>
        <v>2679858562.0300002</v>
      </c>
      <c r="Q113" s="62">
        <f t="shared" si="36"/>
        <v>25531738225.820004</v>
      </c>
      <c r="R113" s="62">
        <f t="shared" si="37"/>
        <v>913261774.17999649</v>
      </c>
      <c r="S113" s="131">
        <f t="shared" si="38"/>
        <v>0.96546561640461348</v>
      </c>
      <c r="T113" s="131" t="e">
        <f t="shared" si="35"/>
        <v>#VALUE!</v>
      </c>
    </row>
    <row r="114" spans="1:20" x14ac:dyDescent="0.25">
      <c r="A114" s="129" t="s">
        <v>230</v>
      </c>
      <c r="B114" s="129" t="s">
        <v>229</v>
      </c>
      <c r="C114" s="163" t="s">
        <v>954</v>
      </c>
      <c r="D114" s="132">
        <v>20688000000</v>
      </c>
      <c r="E114" s="132">
        <f>+IFERROR(VLOOKUP(A114,Totalidad!$A$3:$M$356,2,FALSE), "No encontrado")</f>
        <v>2300867230.6500001</v>
      </c>
      <c r="F114" s="132">
        <f>+IFERROR(VLOOKUP(A114,Totalidad!$A$3:$M$356,3,FALSE), "No encontrado")</f>
        <v>965535198.22000003</v>
      </c>
      <c r="G114" s="132">
        <f>+IFERROR(VLOOKUP(A114,Totalidad!$A$3:$M$356,4,FALSE), "No encontrado")</f>
        <v>1447062214.8199999</v>
      </c>
      <c r="H114" s="132">
        <f>+IFERROR(VLOOKUP(A114,Totalidad!$A$3:$M$356,5,FALSE), "No encontrado")</f>
        <v>981102429.85000002</v>
      </c>
      <c r="I114" s="132">
        <f>+IFERROR(VLOOKUP(A114,Totalidad!$A$3:$M$356,6,FALSE), "No encontrado")</f>
        <v>1674458423.29</v>
      </c>
      <c r="J114" s="132">
        <f>+IFERROR(VLOOKUP(A114,Totalidad!$A$3:$M$356,7,FALSE), "No encontrado")</f>
        <v>1579957343.3299999</v>
      </c>
      <c r="K114" s="132">
        <f>+IFERROR(VLOOKUP(A114,Totalidad!$A$3:$M$356,8,FALSE), "No encontrado")</f>
        <v>1576548707.5599999</v>
      </c>
      <c r="L114" s="132">
        <f>+IFERROR(VLOOKUP(A114,Totalidad!$A$3:$M$356,9,FALSE), "No encontrado")</f>
        <v>1008482404.23</v>
      </c>
      <c r="M114" s="132">
        <f>+IFERROR(VLOOKUP(A114,Totalidad!$A$3:$M$356,10,FALSE), "No encontrado")</f>
        <v>1298600641.79</v>
      </c>
      <c r="N114" s="132">
        <f>+IFERROR(VLOOKUP(A114,Totalidad!$A$3:$M$356,11,FALSE), "No encontrado")</f>
        <v>1783142586.0799999</v>
      </c>
      <c r="O114" s="132">
        <f>+IFERROR(VLOOKUP(A114,Totalidad!$A$3:$M$356,12,FALSE), "No encontrado")</f>
        <v>1356128335.26</v>
      </c>
      <c r="P114" s="132">
        <f>+IFERROR(VLOOKUP(A114,Totalidad!$A$3:$M$356,13,FALSE), "No encontrado")</f>
        <v>1636239477.1300001</v>
      </c>
      <c r="Q114" s="62">
        <f t="shared" si="36"/>
        <v>17608124992.209999</v>
      </c>
      <c r="R114" s="62">
        <f t="shared" si="37"/>
        <v>3079875007.7900009</v>
      </c>
      <c r="S114" s="131">
        <f t="shared" si="38"/>
        <v>0.85112746482066892</v>
      </c>
      <c r="T114" s="131" t="e">
        <f t="shared" si="35"/>
        <v>#VALUE!</v>
      </c>
    </row>
    <row r="115" spans="1:20" x14ac:dyDescent="0.25">
      <c r="A115" s="129" t="s">
        <v>377</v>
      </c>
      <c r="B115" s="129" t="s">
        <v>410</v>
      </c>
      <c r="C115" s="163" t="s">
        <v>954</v>
      </c>
      <c r="D115" s="132">
        <v>5757000000</v>
      </c>
      <c r="E115" s="132">
        <f>+IFERROR(VLOOKUP(A115,Totalidad!$A$3:$M$356,2,FALSE), "No encontrado")</f>
        <v>545655197.86000001</v>
      </c>
      <c r="F115" s="132">
        <f>+IFERROR(VLOOKUP(A115,Totalidad!$A$3:$M$356,3,FALSE), "No encontrado")</f>
        <v>465091493.04000002</v>
      </c>
      <c r="G115" s="132">
        <f>+IFERROR(VLOOKUP(A115,Totalidad!$A$3:$M$356,4,FALSE), "No encontrado")</f>
        <v>506598085.87</v>
      </c>
      <c r="H115" s="132">
        <f>+IFERROR(VLOOKUP(A115,Totalidad!$A$3:$M$356,5,FALSE), "No encontrado")</f>
        <v>644486743.52999997</v>
      </c>
      <c r="I115" s="132">
        <f>+IFERROR(VLOOKUP(A115,Totalidad!$A$3:$M$356,6,FALSE), "No encontrado")</f>
        <v>480688194.22000003</v>
      </c>
      <c r="J115" s="132">
        <f>+IFERROR(VLOOKUP(A115,Totalidad!$A$3:$M$356,7,FALSE), "No encontrado")</f>
        <v>382801782.07999998</v>
      </c>
      <c r="K115" s="132">
        <f>+IFERROR(VLOOKUP(A115,Totalidad!$A$3:$M$356,8,FALSE), "No encontrado")</f>
        <v>744308416.07000005</v>
      </c>
      <c r="L115" s="132">
        <f>+IFERROR(VLOOKUP(A115,Totalidad!$A$3:$M$356,9,FALSE), "No encontrado")</f>
        <v>824768940.96000004</v>
      </c>
      <c r="M115" s="132">
        <f>+IFERROR(VLOOKUP(A115,Totalidad!$A$3:$M$356,10,FALSE), "No encontrado")</f>
        <v>764765782.70000005</v>
      </c>
      <c r="N115" s="132">
        <f>+IFERROR(VLOOKUP(A115,Totalidad!$A$3:$M$356,11,FALSE), "No encontrado")</f>
        <v>902617485.46000004</v>
      </c>
      <c r="O115" s="132">
        <f>+IFERROR(VLOOKUP(A115,Totalidad!$A$3:$M$356,12,FALSE), "No encontrado")</f>
        <v>618212026.91999996</v>
      </c>
      <c r="P115" s="132">
        <f>+IFERROR(VLOOKUP(A115,Totalidad!$A$3:$M$356,13,FALSE), "No encontrado")</f>
        <v>1043619084.9</v>
      </c>
      <c r="Q115" s="62">
        <f t="shared" si="36"/>
        <v>7923613233.6100006</v>
      </c>
      <c r="R115" s="62">
        <f t="shared" si="37"/>
        <v>-2166613233.6100006</v>
      </c>
      <c r="S115" s="131">
        <f t="shared" si="38"/>
        <v>1.3763441434097621</v>
      </c>
      <c r="T115" s="131" t="e">
        <f t="shared" si="35"/>
        <v>#VALUE!</v>
      </c>
    </row>
    <row r="116" spans="1:20" x14ac:dyDescent="0.25">
      <c r="A116" s="129" t="s">
        <v>693</v>
      </c>
      <c r="B116" s="129" t="s">
        <v>692</v>
      </c>
      <c r="C116" s="162" t="s">
        <v>954</v>
      </c>
      <c r="D116" s="130">
        <f>+D117</f>
        <v>30033000000</v>
      </c>
      <c r="E116" s="130">
        <f t="shared" ref="E116:P116" si="54">+E117</f>
        <v>2612639644.27</v>
      </c>
      <c r="F116" s="130">
        <f t="shared" si="54"/>
        <v>2634717473.5700002</v>
      </c>
      <c r="G116" s="130">
        <f t="shared" si="54"/>
        <v>2722259530.3699999</v>
      </c>
      <c r="H116" s="130">
        <f t="shared" si="54"/>
        <v>2821801984.77</v>
      </c>
      <c r="I116" s="130">
        <f t="shared" si="54"/>
        <v>2717551001.4299998</v>
      </c>
      <c r="J116" s="130">
        <f t="shared" si="54"/>
        <v>2714493383.9699998</v>
      </c>
      <c r="K116" s="130">
        <f t="shared" si="54"/>
        <v>2733097356.0999999</v>
      </c>
      <c r="L116" s="130">
        <f t="shared" si="54"/>
        <v>2760062796.3499999</v>
      </c>
      <c r="M116" s="130">
        <f t="shared" si="54"/>
        <v>2770289930.3600001</v>
      </c>
      <c r="N116" s="130">
        <f t="shared" si="54"/>
        <v>2834459095.2399998</v>
      </c>
      <c r="O116" s="130">
        <f t="shared" si="54"/>
        <v>2787818936.6700001</v>
      </c>
      <c r="P116" s="130">
        <f t="shared" si="54"/>
        <v>2812863517.4899998</v>
      </c>
      <c r="Q116" s="62">
        <f t="shared" si="36"/>
        <v>32922054650.589996</v>
      </c>
      <c r="R116" s="62">
        <f t="shared" si="37"/>
        <v>-2889054650.5899963</v>
      </c>
      <c r="S116" s="131">
        <f t="shared" si="38"/>
        <v>1.0961960060796456</v>
      </c>
      <c r="T116" s="131" t="e">
        <f t="shared" si="35"/>
        <v>#VALUE!</v>
      </c>
    </row>
    <row r="117" spans="1:20" x14ac:dyDescent="0.25">
      <c r="A117" s="129" t="s">
        <v>228</v>
      </c>
      <c r="B117" s="129" t="s">
        <v>227</v>
      </c>
      <c r="C117" s="163" t="s">
        <v>954</v>
      </c>
      <c r="D117" s="132">
        <v>30033000000</v>
      </c>
      <c r="E117" s="132">
        <f>+IFERROR(VLOOKUP(A117,Totalidad!$A$3:$M$356,2,FALSE), "No encontrado")</f>
        <v>2612639644.27</v>
      </c>
      <c r="F117" s="132">
        <f>+IFERROR(VLOOKUP(A117,Totalidad!$A$3:$M$356,3,FALSE), "No encontrado")</f>
        <v>2634717473.5700002</v>
      </c>
      <c r="G117" s="132">
        <f>+IFERROR(VLOOKUP(A117,Totalidad!$A$3:$M$356,4,FALSE), "No encontrado")</f>
        <v>2722259530.3699999</v>
      </c>
      <c r="H117" s="132">
        <f>+IFERROR(VLOOKUP(A117,Totalidad!$A$3:$M$356,5,FALSE), "No encontrado")</f>
        <v>2821801984.77</v>
      </c>
      <c r="I117" s="132">
        <f>+IFERROR(VLOOKUP(A117,Totalidad!$A$3:$M$356,6,FALSE), "No encontrado")</f>
        <v>2717551001.4299998</v>
      </c>
      <c r="J117" s="132">
        <f>+IFERROR(VLOOKUP(A117,Totalidad!$A$3:$M$356,7,FALSE), "No encontrado")</f>
        <v>2714493383.9699998</v>
      </c>
      <c r="K117" s="132">
        <f>+IFERROR(VLOOKUP(A117,Totalidad!$A$3:$M$356,8,FALSE), "No encontrado")</f>
        <v>2733097356.0999999</v>
      </c>
      <c r="L117" s="132">
        <f>+IFERROR(VLOOKUP(A117,Totalidad!$A$3:$M$356,9,FALSE), "No encontrado")</f>
        <v>2760062796.3499999</v>
      </c>
      <c r="M117" s="132">
        <f>+IFERROR(VLOOKUP(A117,Totalidad!$A$3:$M$356,10,FALSE), "No encontrado")</f>
        <v>2770289930.3600001</v>
      </c>
      <c r="N117" s="132">
        <f>+IFERROR(VLOOKUP(A117,Totalidad!$A$3:$M$356,11,FALSE), "No encontrado")</f>
        <v>2834459095.2399998</v>
      </c>
      <c r="O117" s="132">
        <f>+IFERROR(VLOOKUP(A117,Totalidad!$A$3:$M$356,12,FALSE), "No encontrado")</f>
        <v>2787818936.6700001</v>
      </c>
      <c r="P117" s="132">
        <f>+IFERROR(VLOOKUP(A117,Totalidad!$A$3:$M$356,13,FALSE), "No encontrado")</f>
        <v>2812863517.4899998</v>
      </c>
      <c r="Q117" s="62">
        <f t="shared" si="36"/>
        <v>32922054650.589996</v>
      </c>
      <c r="R117" s="62">
        <f t="shared" si="37"/>
        <v>-2889054650.5899963</v>
      </c>
      <c r="S117" s="131">
        <f t="shared" si="38"/>
        <v>1.0961960060796456</v>
      </c>
      <c r="T117" s="131" t="e">
        <f t="shared" si="35"/>
        <v>#VALUE!</v>
      </c>
    </row>
    <row r="118" spans="1:20" x14ac:dyDescent="0.25">
      <c r="A118" s="129" t="s">
        <v>691</v>
      </c>
      <c r="B118" s="129" t="s">
        <v>690</v>
      </c>
      <c r="C118" s="162" t="s">
        <v>954</v>
      </c>
      <c r="D118" s="130">
        <f>+D119+D120</f>
        <v>17522000000</v>
      </c>
      <c r="E118" s="130">
        <f t="shared" ref="E118:P118" si="55">+E119+E120</f>
        <v>1725408618.3899999</v>
      </c>
      <c r="F118" s="130">
        <f t="shared" si="55"/>
        <v>1684318699.76</v>
      </c>
      <c r="G118" s="130">
        <f t="shared" si="55"/>
        <v>1592636987.8999999</v>
      </c>
      <c r="H118" s="130">
        <f t="shared" si="55"/>
        <v>1651899779.4000001</v>
      </c>
      <c r="I118" s="130">
        <f t="shared" si="55"/>
        <v>1559539459.29</v>
      </c>
      <c r="J118" s="130">
        <f t="shared" si="55"/>
        <v>1537639283.5899999</v>
      </c>
      <c r="K118" s="130">
        <f t="shared" si="55"/>
        <v>1539426222.73</v>
      </c>
      <c r="L118" s="130">
        <f t="shared" si="55"/>
        <v>1611646586.1900001</v>
      </c>
      <c r="M118" s="130">
        <f t="shared" si="55"/>
        <v>1634516965.0599999</v>
      </c>
      <c r="N118" s="130">
        <f t="shared" si="55"/>
        <v>1508354473.0599999</v>
      </c>
      <c r="O118" s="130">
        <f t="shared" si="55"/>
        <v>1488963676.6500001</v>
      </c>
      <c r="P118" s="130">
        <f t="shared" si="55"/>
        <v>1484223148.76</v>
      </c>
      <c r="Q118" s="62">
        <f t="shared" si="36"/>
        <v>19018573900.779995</v>
      </c>
      <c r="R118" s="62">
        <f t="shared" si="37"/>
        <v>-1496573900.779995</v>
      </c>
      <c r="S118" s="131">
        <f t="shared" si="38"/>
        <v>1.0854111346181941</v>
      </c>
      <c r="T118" s="131" t="e">
        <f t="shared" si="35"/>
        <v>#VALUE!</v>
      </c>
    </row>
    <row r="119" spans="1:20" x14ac:dyDescent="0.25">
      <c r="A119" s="129" t="s">
        <v>226</v>
      </c>
      <c r="B119" s="129" t="s">
        <v>225</v>
      </c>
      <c r="C119" s="163" t="s">
        <v>954</v>
      </c>
      <c r="D119" s="132">
        <v>13050000000</v>
      </c>
      <c r="E119" s="132">
        <f>+IFERROR(VLOOKUP(A119,Totalidad!$A$3:$M$356,2,FALSE), "No encontrado")</f>
        <v>1452446455.29</v>
      </c>
      <c r="F119" s="132">
        <f>+IFERROR(VLOOKUP(A119,Totalidad!$A$3:$M$356,3,FALSE), "No encontrado")</f>
        <v>1413380876.0599999</v>
      </c>
      <c r="G119" s="132">
        <f>+IFERROR(VLOOKUP(A119,Totalidad!$A$3:$M$356,4,FALSE), "No encontrado")</f>
        <v>1322012953.1099999</v>
      </c>
      <c r="H119" s="132">
        <f>+IFERROR(VLOOKUP(A119,Totalidad!$A$3:$M$356,5,FALSE), "No encontrado")</f>
        <v>1390150050.24</v>
      </c>
      <c r="I119" s="132">
        <f>+IFERROR(VLOOKUP(A119,Totalidad!$A$3:$M$356,6,FALSE), "No encontrado")</f>
        <v>1295083354.99</v>
      </c>
      <c r="J119" s="132">
        <f>+IFERROR(VLOOKUP(A119,Totalidad!$A$3:$M$356,7,FALSE), "No encontrado")</f>
        <v>1278131494.1099999</v>
      </c>
      <c r="K119" s="132">
        <f>+IFERROR(VLOOKUP(A119,Totalidad!$A$3:$M$356,8,FALSE), "No encontrado")</f>
        <v>1326976585.53</v>
      </c>
      <c r="L119" s="132">
        <f>+IFERROR(VLOOKUP(A119,Totalidad!$A$3:$M$356,9,FALSE), "No encontrado")</f>
        <v>1400952837.8199999</v>
      </c>
      <c r="M119" s="132">
        <f>+IFERROR(VLOOKUP(A119,Totalidad!$A$3:$M$356,10,FALSE), "No encontrado")</f>
        <v>1426866912.99</v>
      </c>
      <c r="N119" s="132">
        <f>+IFERROR(VLOOKUP(A119,Totalidad!$A$3:$M$356,11,FALSE), "No encontrado")</f>
        <v>1298539820.8499999</v>
      </c>
      <c r="O119" s="132">
        <f>+IFERROR(VLOOKUP(A119,Totalidad!$A$3:$M$356,12,FALSE), "No encontrado")</f>
        <v>1284888914.45</v>
      </c>
      <c r="P119" s="132">
        <f>+IFERROR(VLOOKUP(A119,Totalidad!$A$3:$M$356,13,FALSE), "No encontrado")</f>
        <v>1281571238.5899999</v>
      </c>
      <c r="Q119" s="62">
        <f t="shared" si="36"/>
        <v>16171001494.030001</v>
      </c>
      <c r="R119" s="62">
        <f t="shared" si="37"/>
        <v>-3121001494.0300007</v>
      </c>
      <c r="S119" s="131">
        <f t="shared" si="38"/>
        <v>1.2391572026076629</v>
      </c>
      <c r="T119" s="131" t="e">
        <f t="shared" si="35"/>
        <v>#VALUE!</v>
      </c>
    </row>
    <row r="120" spans="1:20" x14ac:dyDescent="0.25">
      <c r="A120" s="129" t="s">
        <v>224</v>
      </c>
      <c r="B120" s="129" t="s">
        <v>223</v>
      </c>
      <c r="C120" s="163" t="s">
        <v>954</v>
      </c>
      <c r="D120" s="132">
        <v>4472000000</v>
      </c>
      <c r="E120" s="132">
        <f>+IFERROR(VLOOKUP(A120,Totalidad!$A$3:$M$356,2,FALSE), "No encontrado")</f>
        <v>272962163.10000002</v>
      </c>
      <c r="F120" s="132">
        <f>+IFERROR(VLOOKUP(A120,Totalidad!$A$3:$M$356,3,FALSE), "No encontrado")</f>
        <v>270937823.69999999</v>
      </c>
      <c r="G120" s="132">
        <f>+IFERROR(VLOOKUP(A120,Totalidad!$A$3:$M$356,4,FALSE), "No encontrado")</f>
        <v>270624034.79000002</v>
      </c>
      <c r="H120" s="132">
        <f>+IFERROR(VLOOKUP(A120,Totalidad!$A$3:$M$356,5,FALSE), "No encontrado")</f>
        <v>261749729.16</v>
      </c>
      <c r="I120" s="132">
        <f>+IFERROR(VLOOKUP(A120,Totalidad!$A$3:$M$356,6,FALSE), "No encontrado")</f>
        <v>264456104.30000001</v>
      </c>
      <c r="J120" s="132">
        <f>+IFERROR(VLOOKUP(A120,Totalidad!$A$3:$M$356,7,FALSE), "No encontrado")</f>
        <v>259507789.47999999</v>
      </c>
      <c r="K120" s="132">
        <f>+IFERROR(VLOOKUP(A120,Totalidad!$A$3:$M$356,8,FALSE), "No encontrado")</f>
        <v>212449637.19999999</v>
      </c>
      <c r="L120" s="132">
        <f>+IFERROR(VLOOKUP(A120,Totalidad!$A$3:$M$356,9,FALSE), "No encontrado")</f>
        <v>210693748.37</v>
      </c>
      <c r="M120" s="132">
        <f>+IFERROR(VLOOKUP(A120,Totalidad!$A$3:$M$356,10,FALSE), "No encontrado")</f>
        <v>207650052.06999999</v>
      </c>
      <c r="N120" s="132">
        <f>+IFERROR(VLOOKUP(A120,Totalidad!$A$3:$M$356,11,FALSE), "No encontrado")</f>
        <v>209814652.21000001</v>
      </c>
      <c r="O120" s="132">
        <f>+IFERROR(VLOOKUP(A120,Totalidad!$A$3:$M$356,12,FALSE), "No encontrado")</f>
        <v>204074762.19999999</v>
      </c>
      <c r="P120" s="132">
        <f>+IFERROR(VLOOKUP(A120,Totalidad!$A$3:$M$356,13,FALSE), "No encontrado")</f>
        <v>202651910.16999999</v>
      </c>
      <c r="Q120" s="62">
        <f t="shared" si="36"/>
        <v>2847572406.75</v>
      </c>
      <c r="R120" s="62">
        <f t="shared" si="37"/>
        <v>1624427593.25</v>
      </c>
      <c r="S120" s="131">
        <f t="shared" si="38"/>
        <v>0.63675590490831846</v>
      </c>
      <c r="T120" s="131" t="e">
        <f t="shared" si="35"/>
        <v>#VALUE!</v>
      </c>
    </row>
    <row r="121" spans="1:20" x14ac:dyDescent="0.25">
      <c r="A121" s="133" t="s">
        <v>689</v>
      </c>
      <c r="B121" s="133" t="s">
        <v>688</v>
      </c>
      <c r="C121" s="134">
        <f>+C122+C162+C168+C189+C187</f>
        <v>71426000000</v>
      </c>
      <c r="D121" s="134">
        <f>+D122+D162+D168+D189+D187</f>
        <v>61182004650</v>
      </c>
      <c r="E121" s="134">
        <f t="shared" ref="E121:P121" si="56">+E122+E162+E168+E189+E187</f>
        <v>8906230419.9599991</v>
      </c>
      <c r="F121" s="134">
        <f t="shared" si="56"/>
        <v>3650416612.4099998</v>
      </c>
      <c r="G121" s="134">
        <f t="shared" si="56"/>
        <v>26933769616.149998</v>
      </c>
      <c r="H121" s="134">
        <f t="shared" si="56"/>
        <v>1672353689.0899997</v>
      </c>
      <c r="I121" s="134">
        <f t="shared" si="56"/>
        <v>4236430988.4299998</v>
      </c>
      <c r="J121" s="134">
        <f t="shared" si="56"/>
        <v>5781890783.7200003</v>
      </c>
      <c r="K121" s="134">
        <f t="shared" si="56"/>
        <v>1695887792.6099999</v>
      </c>
      <c r="L121" s="134">
        <f t="shared" si="56"/>
        <v>4646381747.4099998</v>
      </c>
      <c r="M121" s="134">
        <f t="shared" si="56"/>
        <v>2306707489.3600001</v>
      </c>
      <c r="N121" s="134">
        <f t="shared" si="56"/>
        <v>3780129394.7500005</v>
      </c>
      <c r="O121" s="134">
        <f t="shared" si="56"/>
        <v>4862978940.21</v>
      </c>
      <c r="P121" s="134">
        <f t="shared" si="56"/>
        <v>6826411981.7900009</v>
      </c>
      <c r="Q121" s="135">
        <f t="shared" si="36"/>
        <v>75299589455.889999</v>
      </c>
      <c r="R121" s="135">
        <f t="shared" si="37"/>
        <v>-14117584805.889999</v>
      </c>
      <c r="S121" s="136">
        <f t="shared" si="38"/>
        <v>1.2307473396246424</v>
      </c>
      <c r="T121" s="136">
        <f t="shared" si="35"/>
        <v>1.0542322047418307</v>
      </c>
    </row>
    <row r="122" spans="1:20" x14ac:dyDescent="0.25">
      <c r="A122" s="133" t="s">
        <v>687</v>
      </c>
      <c r="B122" s="133" t="s">
        <v>686</v>
      </c>
      <c r="C122" s="134">
        <f>+C123+C143</f>
        <v>11662000000</v>
      </c>
      <c r="D122" s="134">
        <f>+D123+D143</f>
        <v>15265004650</v>
      </c>
      <c r="E122" s="134">
        <f t="shared" ref="E122:P122" si="57">+E123+E143</f>
        <v>506599514.44999993</v>
      </c>
      <c r="F122" s="134">
        <f t="shared" si="57"/>
        <v>315243690.99000001</v>
      </c>
      <c r="G122" s="134">
        <f t="shared" si="57"/>
        <v>1848285535.8900001</v>
      </c>
      <c r="H122" s="134">
        <f t="shared" si="57"/>
        <v>386858720.19</v>
      </c>
      <c r="I122" s="134">
        <f t="shared" si="57"/>
        <v>230311472.16999999</v>
      </c>
      <c r="J122" s="134">
        <f t="shared" si="57"/>
        <v>482467939.49000001</v>
      </c>
      <c r="K122" s="134">
        <f t="shared" si="57"/>
        <v>209031684.30000001</v>
      </c>
      <c r="L122" s="134">
        <f t="shared" si="57"/>
        <v>2629552904.2199998</v>
      </c>
      <c r="M122" s="134">
        <f t="shared" si="57"/>
        <v>168032077.89000002</v>
      </c>
      <c r="N122" s="134">
        <f t="shared" si="57"/>
        <v>236206588.13</v>
      </c>
      <c r="O122" s="134">
        <f t="shared" si="57"/>
        <v>2190826739.1000004</v>
      </c>
      <c r="P122" s="134">
        <f t="shared" si="57"/>
        <v>3797810856.23</v>
      </c>
      <c r="Q122" s="135">
        <f t="shared" si="36"/>
        <v>13001227723.050001</v>
      </c>
      <c r="R122" s="135">
        <f t="shared" si="37"/>
        <v>2263776926.9499989</v>
      </c>
      <c r="S122" s="136">
        <f t="shared" si="38"/>
        <v>0.85170152391994203</v>
      </c>
      <c r="T122" s="136">
        <f t="shared" si="35"/>
        <v>1.1148368824429773</v>
      </c>
    </row>
    <row r="123" spans="1:20" x14ac:dyDescent="0.25">
      <c r="A123" s="133" t="s">
        <v>685</v>
      </c>
      <c r="B123" s="133" t="s">
        <v>684</v>
      </c>
      <c r="C123" s="134">
        <f>+C124+C130+C133</f>
        <v>1690000000</v>
      </c>
      <c r="D123" s="134">
        <f>+D124+D130+D133</f>
        <v>1725020120</v>
      </c>
      <c r="E123" s="134">
        <f t="shared" ref="E123:P123" si="58">+E124+E130+E133</f>
        <v>197744607.66999999</v>
      </c>
      <c r="F123" s="134">
        <f t="shared" si="58"/>
        <v>123181274.3</v>
      </c>
      <c r="G123" s="134">
        <f t="shared" si="58"/>
        <v>161576764.30000001</v>
      </c>
      <c r="H123" s="134">
        <f t="shared" si="58"/>
        <v>181107208.88</v>
      </c>
      <c r="I123" s="134">
        <f t="shared" si="58"/>
        <v>129904004.97</v>
      </c>
      <c r="J123" s="134">
        <f t="shared" si="58"/>
        <v>129834198.91999999</v>
      </c>
      <c r="K123" s="134">
        <f t="shared" si="58"/>
        <v>114622486.09</v>
      </c>
      <c r="L123" s="134">
        <f t="shared" si="58"/>
        <v>222870867.33000001</v>
      </c>
      <c r="M123" s="134">
        <f t="shared" si="58"/>
        <v>133843473.57000001</v>
      </c>
      <c r="N123" s="134">
        <f t="shared" si="58"/>
        <v>137779887.84</v>
      </c>
      <c r="O123" s="134">
        <f t="shared" si="58"/>
        <v>190202866.48000002</v>
      </c>
      <c r="P123" s="134">
        <f t="shared" si="58"/>
        <v>160056277.67000002</v>
      </c>
      <c r="Q123" s="135">
        <f t="shared" si="36"/>
        <v>1882723918.02</v>
      </c>
      <c r="R123" s="135">
        <f t="shared" si="37"/>
        <v>-157703798.01999998</v>
      </c>
      <c r="S123" s="136">
        <f t="shared" si="38"/>
        <v>1.0914214252874916</v>
      </c>
      <c r="T123" s="136">
        <f t="shared" si="35"/>
        <v>1.1140378213136095</v>
      </c>
    </row>
    <row r="124" spans="1:20" x14ac:dyDescent="0.25">
      <c r="A124" s="133" t="s">
        <v>683</v>
      </c>
      <c r="B124" s="133" t="s">
        <v>682</v>
      </c>
      <c r="C124" s="134">
        <v>61000000</v>
      </c>
      <c r="D124" s="134">
        <f>+D125+D127</f>
        <v>64500000</v>
      </c>
      <c r="E124" s="134">
        <f t="shared" ref="E124:P124" si="59">+E125+E127</f>
        <v>5403009.8200000003</v>
      </c>
      <c r="F124" s="134">
        <f t="shared" si="59"/>
        <v>6517125.9399999995</v>
      </c>
      <c r="G124" s="134">
        <f t="shared" si="59"/>
        <v>5070329.1099999994</v>
      </c>
      <c r="H124" s="134">
        <f t="shared" si="59"/>
        <v>4091413.83</v>
      </c>
      <c r="I124" s="134">
        <f t="shared" si="59"/>
        <v>5115074.5199999996</v>
      </c>
      <c r="J124" s="134">
        <f t="shared" si="59"/>
        <v>4242657.46</v>
      </c>
      <c r="K124" s="134">
        <f t="shared" si="59"/>
        <v>6678444.6800000006</v>
      </c>
      <c r="L124" s="134">
        <f t="shared" si="59"/>
        <v>4379626.3699999992</v>
      </c>
      <c r="M124" s="134">
        <f t="shared" si="59"/>
        <v>4937362.92</v>
      </c>
      <c r="N124" s="134">
        <f t="shared" si="59"/>
        <v>5118383.82</v>
      </c>
      <c r="O124" s="134">
        <f t="shared" si="59"/>
        <v>4224718.63</v>
      </c>
      <c r="P124" s="134">
        <f t="shared" si="59"/>
        <v>6320822.3399999999</v>
      </c>
      <c r="Q124" s="135">
        <f t="shared" si="36"/>
        <v>62098969.439999998</v>
      </c>
      <c r="R124" s="135">
        <f t="shared" si="37"/>
        <v>2401030.5600000024</v>
      </c>
      <c r="S124" s="136">
        <f t="shared" si="38"/>
        <v>0.96277471999999997</v>
      </c>
      <c r="T124" s="136">
        <f t="shared" si="35"/>
        <v>1.0180158924590164</v>
      </c>
    </row>
    <row r="125" spans="1:20" x14ac:dyDescent="0.25">
      <c r="A125" s="133" t="s">
        <v>681</v>
      </c>
      <c r="B125" s="133" t="s">
        <v>220</v>
      </c>
      <c r="C125" s="164" t="s">
        <v>954</v>
      </c>
      <c r="D125" s="134">
        <f>+D126</f>
        <v>3000000</v>
      </c>
      <c r="E125" s="134">
        <f t="shared" ref="E125:P125" si="60">+E126</f>
        <v>162755.04999999999</v>
      </c>
      <c r="F125" s="134">
        <f t="shared" si="60"/>
        <v>198450.31</v>
      </c>
      <c r="G125" s="134">
        <f t="shared" si="60"/>
        <v>245363.85</v>
      </c>
      <c r="H125" s="134">
        <f t="shared" si="60"/>
        <v>219626.91</v>
      </c>
      <c r="I125" s="134">
        <f t="shared" si="60"/>
        <v>265729.5</v>
      </c>
      <c r="J125" s="134">
        <f t="shared" si="60"/>
        <v>211193.63</v>
      </c>
      <c r="K125" s="134">
        <f t="shared" si="60"/>
        <v>240249.63</v>
      </c>
      <c r="L125" s="134">
        <f t="shared" si="60"/>
        <v>230136.56</v>
      </c>
      <c r="M125" s="134">
        <f t="shared" si="60"/>
        <v>230169.78</v>
      </c>
      <c r="N125" s="134">
        <f t="shared" si="60"/>
        <v>236702.41</v>
      </c>
      <c r="O125" s="134">
        <f t="shared" si="60"/>
        <v>207562.2</v>
      </c>
      <c r="P125" s="134">
        <f t="shared" si="60"/>
        <v>240815.78</v>
      </c>
      <c r="Q125" s="135">
        <f t="shared" si="36"/>
        <v>2688755.61</v>
      </c>
      <c r="R125" s="135">
        <f t="shared" si="37"/>
        <v>311244.39000000013</v>
      </c>
      <c r="S125" s="136">
        <f t="shared" si="38"/>
        <v>0.89625186999999995</v>
      </c>
      <c r="T125" s="136" t="e">
        <f t="shared" si="35"/>
        <v>#VALUE!</v>
      </c>
    </row>
    <row r="126" spans="1:20" x14ac:dyDescent="0.25">
      <c r="A126" s="133" t="s">
        <v>222</v>
      </c>
      <c r="B126" s="133" t="s">
        <v>221</v>
      </c>
      <c r="C126" s="165" t="s">
        <v>954</v>
      </c>
      <c r="D126" s="137">
        <v>3000000</v>
      </c>
      <c r="E126" s="137">
        <f>+IFERROR(VLOOKUP(A126,Totalidad!$A$3:$M$356,2,FALSE), "No encontrado")</f>
        <v>162755.04999999999</v>
      </c>
      <c r="F126" s="137">
        <f>+IFERROR(VLOOKUP(A126,Totalidad!$A$3:$M$356,3,FALSE), "No encontrado")</f>
        <v>198450.31</v>
      </c>
      <c r="G126" s="137">
        <f>+IFERROR(VLOOKUP(A126,Totalidad!$A$3:$M$356,4,FALSE), "No encontrado")</f>
        <v>245363.85</v>
      </c>
      <c r="H126" s="137">
        <f>+IFERROR(VLOOKUP(A126,Totalidad!$A$3:$M$356,5,FALSE), "No encontrado")</f>
        <v>219626.91</v>
      </c>
      <c r="I126" s="137">
        <f>+IFERROR(VLOOKUP(A126,Totalidad!$A$3:$M$356,6,FALSE), "No encontrado")</f>
        <v>265729.5</v>
      </c>
      <c r="J126" s="137">
        <f>+IFERROR(VLOOKUP(A126,Totalidad!$A$3:$M$356,7,FALSE), "No encontrado")</f>
        <v>211193.63</v>
      </c>
      <c r="K126" s="137">
        <f>+IFERROR(VLOOKUP(A126,Totalidad!$A$3:$M$356,8,FALSE), "No encontrado")</f>
        <v>240249.63</v>
      </c>
      <c r="L126" s="137">
        <f>+IFERROR(VLOOKUP(A126,Totalidad!$A$3:$M$356,9,FALSE), "No encontrado")</f>
        <v>230136.56</v>
      </c>
      <c r="M126" s="137">
        <f>+IFERROR(VLOOKUP(A126,Totalidad!$A$3:$M$356,10,FALSE), "No encontrado")</f>
        <v>230169.78</v>
      </c>
      <c r="N126" s="137">
        <f>+IFERROR(VLOOKUP(A126,Totalidad!$A$3:$M$356,11,FALSE), "No encontrado")</f>
        <v>236702.41</v>
      </c>
      <c r="O126" s="137">
        <f>+IFERROR(VLOOKUP(A126,Totalidad!$A$3:$M$356,12,FALSE), "No encontrado")</f>
        <v>207562.2</v>
      </c>
      <c r="P126" s="137">
        <f>+IFERROR(VLOOKUP(A126,Totalidad!$A$3:$M$356,13,FALSE), "No encontrado")</f>
        <v>240815.78</v>
      </c>
      <c r="Q126" s="135">
        <f t="shared" si="36"/>
        <v>2688755.61</v>
      </c>
      <c r="R126" s="135">
        <f t="shared" si="37"/>
        <v>311244.39000000013</v>
      </c>
      <c r="S126" s="136">
        <f t="shared" si="38"/>
        <v>0.89625186999999995</v>
      </c>
      <c r="T126" s="136" t="e">
        <f t="shared" si="35"/>
        <v>#VALUE!</v>
      </c>
    </row>
    <row r="127" spans="1:20" x14ac:dyDescent="0.25">
      <c r="A127" s="133" t="s">
        <v>680</v>
      </c>
      <c r="B127" s="133" t="s">
        <v>679</v>
      </c>
      <c r="C127" s="164" t="s">
        <v>954</v>
      </c>
      <c r="D127" s="134">
        <f>+D128+D129</f>
        <v>61500000</v>
      </c>
      <c r="E127" s="134">
        <f t="shared" ref="E127:P127" si="61">+E128+E129</f>
        <v>5240254.7700000005</v>
      </c>
      <c r="F127" s="134">
        <f t="shared" si="61"/>
        <v>6318675.6299999999</v>
      </c>
      <c r="G127" s="134">
        <f t="shared" si="61"/>
        <v>4824965.26</v>
      </c>
      <c r="H127" s="134">
        <f t="shared" si="61"/>
        <v>3871786.92</v>
      </c>
      <c r="I127" s="134">
        <f t="shared" si="61"/>
        <v>4849345.0199999996</v>
      </c>
      <c r="J127" s="134">
        <f t="shared" si="61"/>
        <v>4031463.83</v>
      </c>
      <c r="K127" s="134">
        <f t="shared" si="61"/>
        <v>6438195.0500000007</v>
      </c>
      <c r="L127" s="134">
        <f t="shared" si="61"/>
        <v>4149489.8099999996</v>
      </c>
      <c r="M127" s="134">
        <f t="shared" si="61"/>
        <v>4707193.1399999997</v>
      </c>
      <c r="N127" s="134">
        <f t="shared" si="61"/>
        <v>4881681.41</v>
      </c>
      <c r="O127" s="134">
        <f t="shared" si="61"/>
        <v>4017156.4299999997</v>
      </c>
      <c r="P127" s="134">
        <f t="shared" si="61"/>
        <v>6080006.5599999996</v>
      </c>
      <c r="Q127" s="135">
        <f t="shared" si="36"/>
        <v>59410213.830000006</v>
      </c>
      <c r="R127" s="135">
        <f t="shared" si="37"/>
        <v>2089786.1699999943</v>
      </c>
      <c r="S127" s="136">
        <f t="shared" si="38"/>
        <v>0.96601973707317079</v>
      </c>
      <c r="T127" s="136" t="e">
        <f t="shared" si="35"/>
        <v>#VALUE!</v>
      </c>
    </row>
    <row r="128" spans="1:20" x14ac:dyDescent="0.25">
      <c r="A128" s="133" t="s">
        <v>219</v>
      </c>
      <c r="B128" s="133" t="s">
        <v>218</v>
      </c>
      <c r="C128" s="165" t="s">
        <v>954</v>
      </c>
      <c r="D128" s="137">
        <v>44000000</v>
      </c>
      <c r="E128" s="137">
        <f>+IFERROR(VLOOKUP(A128,Totalidad!$A$3:$M$356,2,FALSE), "No encontrado")</f>
        <v>3675188.18</v>
      </c>
      <c r="F128" s="137">
        <f>+IFERROR(VLOOKUP(A128,Totalidad!$A$3:$M$356,3,FALSE), "No encontrado")</f>
        <v>5304912.63</v>
      </c>
      <c r="G128" s="137">
        <f>+IFERROR(VLOOKUP(A128,Totalidad!$A$3:$M$356,4,FALSE), "No encontrado")</f>
        <v>3389429.86</v>
      </c>
      <c r="H128" s="137">
        <f>+IFERROR(VLOOKUP(A128,Totalidad!$A$3:$M$356,5,FALSE), "No encontrado")</f>
        <v>2876476.36</v>
      </c>
      <c r="I128" s="137">
        <f>+IFERROR(VLOOKUP(A128,Totalidad!$A$3:$M$356,6,FALSE), "No encontrado")</f>
        <v>3354449.01</v>
      </c>
      <c r="J128" s="137">
        <f>+IFERROR(VLOOKUP(A128,Totalidad!$A$3:$M$356,7,FALSE), "No encontrado")</f>
        <v>3095811.16</v>
      </c>
      <c r="K128" s="137">
        <f>+IFERROR(VLOOKUP(A128,Totalidad!$A$3:$M$356,8,FALSE), "No encontrado")</f>
        <v>5264735.32</v>
      </c>
      <c r="L128" s="137">
        <f>+IFERROR(VLOOKUP(A128,Totalidad!$A$3:$M$356,9,FALSE), "No encontrado")</f>
        <v>3175183.34</v>
      </c>
      <c r="M128" s="137">
        <f>+IFERROR(VLOOKUP(A128,Totalidad!$A$3:$M$356,10,FALSE), "No encontrado")</f>
        <v>3296630.8</v>
      </c>
      <c r="N128" s="137">
        <f>+IFERROR(VLOOKUP(A128,Totalidad!$A$3:$M$356,11,FALSE), "No encontrado")</f>
        <v>3709225.33</v>
      </c>
      <c r="O128" s="137">
        <f>+IFERROR(VLOOKUP(A128,Totalidad!$A$3:$M$356,12,FALSE), "No encontrado")</f>
        <v>4017156.42</v>
      </c>
      <c r="P128" s="137">
        <f>+IFERROR(VLOOKUP(A128,Totalidad!$A$3:$M$356,13,FALSE), "No encontrado")</f>
        <v>5014095.17</v>
      </c>
      <c r="Q128" s="135">
        <f t="shared" si="36"/>
        <v>46173293.580000006</v>
      </c>
      <c r="R128" s="135">
        <f t="shared" si="37"/>
        <v>-2173293.5800000057</v>
      </c>
      <c r="S128" s="136">
        <f t="shared" si="38"/>
        <v>1.0493930359090911</v>
      </c>
      <c r="T128" s="136" t="e">
        <f t="shared" si="35"/>
        <v>#VALUE!</v>
      </c>
    </row>
    <row r="129" spans="1:20" x14ac:dyDescent="0.25">
      <c r="A129" s="133" t="s">
        <v>217</v>
      </c>
      <c r="B129" s="133" t="s">
        <v>216</v>
      </c>
      <c r="C129" s="165" t="s">
        <v>954</v>
      </c>
      <c r="D129" s="137">
        <v>17500000</v>
      </c>
      <c r="E129" s="137">
        <f>+IFERROR(VLOOKUP(A129,Totalidad!$A$3:$M$356,2,FALSE), "No encontrado")</f>
        <v>1565066.59</v>
      </c>
      <c r="F129" s="137">
        <f>+IFERROR(VLOOKUP(A129,Totalidad!$A$3:$M$356,3,FALSE), "No encontrado")</f>
        <v>1013763</v>
      </c>
      <c r="G129" s="137">
        <f>+IFERROR(VLOOKUP(A129,Totalidad!$A$3:$M$356,4,FALSE), "No encontrado")</f>
        <v>1435535.4</v>
      </c>
      <c r="H129" s="137">
        <f>+IFERROR(VLOOKUP(A129,Totalidad!$A$3:$M$356,5,FALSE), "No encontrado")</f>
        <v>995310.56</v>
      </c>
      <c r="I129" s="137">
        <f>+IFERROR(VLOOKUP(A129,Totalidad!$A$3:$M$356,6,FALSE), "No encontrado")</f>
        <v>1494896.01</v>
      </c>
      <c r="J129" s="137">
        <f>+IFERROR(VLOOKUP(A129,Totalidad!$A$3:$M$356,7,FALSE), "No encontrado")</f>
        <v>935652.67</v>
      </c>
      <c r="K129" s="137">
        <f>+IFERROR(VLOOKUP(A129,Totalidad!$A$3:$M$356,8,FALSE), "No encontrado")</f>
        <v>1173459.73</v>
      </c>
      <c r="L129" s="137">
        <f>+IFERROR(VLOOKUP(A129,Totalidad!$A$3:$M$356,9,FALSE), "No encontrado")</f>
        <v>974306.47</v>
      </c>
      <c r="M129" s="137">
        <f>+IFERROR(VLOOKUP(A129,Totalidad!$A$3:$M$356,10,FALSE), "No encontrado")</f>
        <v>1410562.34</v>
      </c>
      <c r="N129" s="137">
        <f>+IFERROR(VLOOKUP(A129,Totalidad!$A$3:$M$356,11,FALSE), "No encontrado")</f>
        <v>1172456.08</v>
      </c>
      <c r="O129" s="137">
        <f>+IFERROR(VLOOKUP(A129,Totalidad!$A$3:$M$356,12,FALSE), "No encontrado")</f>
        <v>0.01</v>
      </c>
      <c r="P129" s="137">
        <f>+IFERROR(VLOOKUP(A129,Totalidad!$A$3:$M$356,13,FALSE), "No encontrado")</f>
        <v>1065911.3899999999</v>
      </c>
      <c r="Q129" s="135">
        <f t="shared" si="36"/>
        <v>13236920.25</v>
      </c>
      <c r="R129" s="135">
        <f t="shared" si="37"/>
        <v>4263079.75</v>
      </c>
      <c r="S129" s="136">
        <f t="shared" si="38"/>
        <v>0.75639544285714289</v>
      </c>
      <c r="T129" s="136" t="e">
        <f t="shared" si="35"/>
        <v>#VALUE!</v>
      </c>
    </row>
    <row r="130" spans="1:20" x14ac:dyDescent="0.25">
      <c r="A130" s="133" t="s">
        <v>678</v>
      </c>
      <c r="B130" s="133" t="s">
        <v>677</v>
      </c>
      <c r="C130" s="134">
        <v>22000000</v>
      </c>
      <c r="D130" s="134">
        <f>+D131</f>
        <v>15000000</v>
      </c>
      <c r="E130" s="134">
        <f t="shared" ref="E130:P131" si="62">+E131</f>
        <v>1593706</v>
      </c>
      <c r="F130" s="134">
        <f t="shared" si="62"/>
        <v>1719268.27</v>
      </c>
      <c r="G130" s="134">
        <f t="shared" si="62"/>
        <v>0</v>
      </c>
      <c r="H130" s="134">
        <f t="shared" si="62"/>
        <v>1873999.89</v>
      </c>
      <c r="I130" s="134">
        <f t="shared" si="62"/>
        <v>6893804.21</v>
      </c>
      <c r="J130" s="134">
        <f t="shared" si="62"/>
        <v>6479963.3300000001</v>
      </c>
      <c r="K130" s="134">
        <f t="shared" si="62"/>
        <v>261348.57</v>
      </c>
      <c r="L130" s="134">
        <f t="shared" si="62"/>
        <v>2333706</v>
      </c>
      <c r="M130" s="134">
        <f t="shared" si="62"/>
        <v>5013208.28</v>
      </c>
      <c r="N130" s="134">
        <f t="shared" si="62"/>
        <v>4582128</v>
      </c>
      <c r="O130" s="134">
        <f t="shared" si="62"/>
        <v>4769046.3899999997</v>
      </c>
      <c r="P130" s="134">
        <f t="shared" si="62"/>
        <v>6136046.9500000002</v>
      </c>
      <c r="Q130" s="135">
        <f t="shared" si="36"/>
        <v>41656225.890000008</v>
      </c>
      <c r="R130" s="135">
        <f t="shared" si="37"/>
        <v>-26656225.890000008</v>
      </c>
      <c r="S130" s="136">
        <f t="shared" si="38"/>
        <v>2.7770817260000005</v>
      </c>
      <c r="T130" s="136">
        <f t="shared" si="35"/>
        <v>1.8934648131818186</v>
      </c>
    </row>
    <row r="131" spans="1:20" x14ac:dyDescent="0.25">
      <c r="A131" s="133" t="s">
        <v>676</v>
      </c>
      <c r="B131" s="133" t="s">
        <v>675</v>
      </c>
      <c r="C131" s="164" t="s">
        <v>954</v>
      </c>
      <c r="D131" s="134">
        <f>+D132</f>
        <v>15000000</v>
      </c>
      <c r="E131" s="134">
        <f t="shared" si="62"/>
        <v>1593706</v>
      </c>
      <c r="F131" s="134">
        <f t="shared" si="62"/>
        <v>1719268.27</v>
      </c>
      <c r="G131" s="134">
        <f t="shared" si="62"/>
        <v>0</v>
      </c>
      <c r="H131" s="134">
        <f t="shared" si="62"/>
        <v>1873999.89</v>
      </c>
      <c r="I131" s="134">
        <f t="shared" si="62"/>
        <v>6893804.21</v>
      </c>
      <c r="J131" s="134">
        <f t="shared" si="62"/>
        <v>6479963.3300000001</v>
      </c>
      <c r="K131" s="134">
        <f t="shared" si="62"/>
        <v>261348.57</v>
      </c>
      <c r="L131" s="134">
        <f t="shared" si="62"/>
        <v>2333706</v>
      </c>
      <c r="M131" s="134">
        <f t="shared" si="62"/>
        <v>5013208.28</v>
      </c>
      <c r="N131" s="134">
        <f t="shared" si="62"/>
        <v>4582128</v>
      </c>
      <c r="O131" s="134">
        <f t="shared" si="62"/>
        <v>4769046.3899999997</v>
      </c>
      <c r="P131" s="134">
        <f t="shared" si="62"/>
        <v>6136046.9500000002</v>
      </c>
      <c r="Q131" s="135">
        <f t="shared" si="36"/>
        <v>41656225.890000008</v>
      </c>
      <c r="R131" s="135">
        <f t="shared" si="37"/>
        <v>-26656225.890000008</v>
      </c>
      <c r="S131" s="136">
        <f t="shared" si="38"/>
        <v>2.7770817260000005</v>
      </c>
      <c r="T131" s="136" t="e">
        <f t="shared" si="35"/>
        <v>#VALUE!</v>
      </c>
    </row>
    <row r="132" spans="1:20" x14ac:dyDescent="0.25">
      <c r="A132" s="133" t="s">
        <v>215</v>
      </c>
      <c r="B132" s="133" t="s">
        <v>214</v>
      </c>
      <c r="C132" s="165" t="s">
        <v>954</v>
      </c>
      <c r="D132" s="137">
        <v>15000000</v>
      </c>
      <c r="E132" s="137">
        <f>+IFERROR(VLOOKUP(A132,Totalidad!$A$3:$M$356,2,FALSE), "No encontrado")</f>
        <v>1593706</v>
      </c>
      <c r="F132" s="137">
        <f>+IFERROR(VLOOKUP(A132,Totalidad!$A$3:$M$356,3,FALSE), "No encontrado")</f>
        <v>1719268.27</v>
      </c>
      <c r="G132" s="137">
        <f>+IFERROR(VLOOKUP(A132,Totalidad!$A$3:$M$356,4,FALSE), "No encontrado")</f>
        <v>0</v>
      </c>
      <c r="H132" s="137">
        <f>+IFERROR(VLOOKUP(A132,Totalidad!$A$3:$M$356,5,FALSE), "No encontrado")</f>
        <v>1873999.89</v>
      </c>
      <c r="I132" s="137">
        <f>+IFERROR(VLOOKUP(A132,Totalidad!$A$3:$M$356,6,FALSE), "No encontrado")</f>
        <v>6893804.21</v>
      </c>
      <c r="J132" s="137">
        <f>+IFERROR(VLOOKUP(A132,Totalidad!$A$3:$M$356,7,FALSE), "No encontrado")</f>
        <v>6479963.3300000001</v>
      </c>
      <c r="K132" s="137">
        <f>+IFERROR(VLOOKUP(A132,Totalidad!$A$3:$M$356,8,FALSE), "No encontrado")</f>
        <v>261348.57</v>
      </c>
      <c r="L132" s="137">
        <f>+IFERROR(VLOOKUP(A132,Totalidad!$A$3:$M$356,9,FALSE), "No encontrado")</f>
        <v>2333706</v>
      </c>
      <c r="M132" s="137">
        <f>+IFERROR(VLOOKUP(A132,Totalidad!$A$3:$M$356,10,FALSE), "No encontrado")</f>
        <v>5013208.28</v>
      </c>
      <c r="N132" s="137">
        <f>+IFERROR(VLOOKUP(A132,Totalidad!$A$3:$M$356,11,FALSE), "No encontrado")</f>
        <v>4582128</v>
      </c>
      <c r="O132" s="137">
        <f>+IFERROR(VLOOKUP(A132,Totalidad!$A$3:$M$356,12,FALSE), "No encontrado")</f>
        <v>4769046.3899999997</v>
      </c>
      <c r="P132" s="137">
        <f>+IFERROR(VLOOKUP(A132,Totalidad!$A$3:$M$356,13,FALSE), "No encontrado")</f>
        <v>6136046.9500000002</v>
      </c>
      <c r="Q132" s="135">
        <f t="shared" si="36"/>
        <v>41656225.890000008</v>
      </c>
      <c r="R132" s="135">
        <f t="shared" si="37"/>
        <v>-26656225.890000008</v>
      </c>
      <c r="S132" s="136">
        <f t="shared" si="38"/>
        <v>2.7770817260000005</v>
      </c>
      <c r="T132" s="136" t="e">
        <f t="shared" si="35"/>
        <v>#VALUE!</v>
      </c>
    </row>
    <row r="133" spans="1:20" x14ac:dyDescent="0.25">
      <c r="A133" s="133" t="s">
        <v>671</v>
      </c>
      <c r="B133" s="133" t="s">
        <v>670</v>
      </c>
      <c r="C133" s="134">
        <v>1607000000</v>
      </c>
      <c r="D133" s="134">
        <f>+D134+D137+D139</f>
        <v>1645520120</v>
      </c>
      <c r="E133" s="134">
        <f t="shared" ref="E133:P133" si="63">+E134+E137+E139</f>
        <v>190747891.84999999</v>
      </c>
      <c r="F133" s="134">
        <f t="shared" si="63"/>
        <v>114944880.09</v>
      </c>
      <c r="G133" s="134">
        <f t="shared" si="63"/>
        <v>156506435.19</v>
      </c>
      <c r="H133" s="134">
        <f t="shared" si="63"/>
        <v>175141795.16</v>
      </c>
      <c r="I133" s="134">
        <f t="shared" si="63"/>
        <v>117895126.23999999</v>
      </c>
      <c r="J133" s="134">
        <f t="shared" si="63"/>
        <v>119111578.13</v>
      </c>
      <c r="K133" s="134">
        <f t="shared" si="63"/>
        <v>107682692.84</v>
      </c>
      <c r="L133" s="134">
        <f t="shared" si="63"/>
        <v>216157534.96000001</v>
      </c>
      <c r="M133" s="134">
        <f t="shared" si="63"/>
        <v>123892902.37</v>
      </c>
      <c r="N133" s="134">
        <f t="shared" si="63"/>
        <v>128079376.02</v>
      </c>
      <c r="O133" s="134">
        <f t="shared" si="63"/>
        <v>181209101.46000001</v>
      </c>
      <c r="P133" s="134">
        <f t="shared" si="63"/>
        <v>147599408.38000003</v>
      </c>
      <c r="Q133" s="135">
        <f t="shared" si="36"/>
        <v>1778968722.6900001</v>
      </c>
      <c r="R133" s="135">
        <f t="shared" si="37"/>
        <v>-133448602.69000006</v>
      </c>
      <c r="S133" s="136">
        <f t="shared" si="38"/>
        <v>1.0810981288335753</v>
      </c>
      <c r="T133" s="136">
        <f t="shared" si="35"/>
        <v>1.1070122729869323</v>
      </c>
    </row>
    <row r="134" spans="1:20" x14ac:dyDescent="0.25">
      <c r="A134" s="133" t="s">
        <v>669</v>
      </c>
      <c r="B134" s="133" t="s">
        <v>668</v>
      </c>
      <c r="C134" s="134" t="s">
        <v>954</v>
      </c>
      <c r="D134" s="134">
        <f>+D135+D136</f>
        <v>264000000</v>
      </c>
      <c r="E134" s="134">
        <f t="shared" ref="E134:P134" si="64">+E135+E136</f>
        <v>5214307.3499999996</v>
      </c>
      <c r="F134" s="134">
        <f t="shared" si="64"/>
        <v>4083753.89</v>
      </c>
      <c r="G134" s="134">
        <f t="shared" si="64"/>
        <v>55618105.520000003</v>
      </c>
      <c r="H134" s="134">
        <f t="shared" si="64"/>
        <v>6107620.96</v>
      </c>
      <c r="I134" s="134">
        <f t="shared" si="64"/>
        <v>8006449.4100000001</v>
      </c>
      <c r="J134" s="134">
        <f t="shared" si="64"/>
        <v>4922265.6900000004</v>
      </c>
      <c r="K134" s="134">
        <f t="shared" si="64"/>
        <v>4698411.9800000004</v>
      </c>
      <c r="L134" s="134">
        <f t="shared" si="64"/>
        <v>2444235.34</v>
      </c>
      <c r="M134" s="134">
        <f t="shared" si="64"/>
        <v>7381820.7999999998</v>
      </c>
      <c r="N134" s="134">
        <f t="shared" si="64"/>
        <v>3124071.93</v>
      </c>
      <c r="O134" s="134">
        <f t="shared" si="64"/>
        <v>26758752.530000001</v>
      </c>
      <c r="P134" s="134">
        <f t="shared" si="64"/>
        <v>4423854.55</v>
      </c>
      <c r="Q134" s="135">
        <f t="shared" si="36"/>
        <v>132783649.95</v>
      </c>
      <c r="R134" s="135">
        <f t="shared" si="37"/>
        <v>131216350.05</v>
      </c>
      <c r="S134" s="136">
        <f t="shared" si="38"/>
        <v>0.50296837102272729</v>
      </c>
      <c r="T134" s="136" t="e">
        <f t="shared" si="35"/>
        <v>#VALUE!</v>
      </c>
    </row>
    <row r="135" spans="1:20" x14ac:dyDescent="0.25">
      <c r="A135" s="133" t="s">
        <v>213</v>
      </c>
      <c r="B135" s="133" t="s">
        <v>212</v>
      </c>
      <c r="C135" s="137" t="s">
        <v>954</v>
      </c>
      <c r="D135" s="137">
        <v>88000000</v>
      </c>
      <c r="E135" s="137">
        <f>+IFERROR(VLOOKUP(A135,Totalidad!$A$3:$M$356,2,FALSE), "No encontrado")</f>
        <v>5214307.3499999996</v>
      </c>
      <c r="F135" s="137">
        <f>+IFERROR(VLOOKUP(A135,Totalidad!$A$3:$M$356,3,FALSE), "No encontrado")</f>
        <v>4083753.89</v>
      </c>
      <c r="G135" s="137">
        <f>+IFERROR(VLOOKUP(A135,Totalidad!$A$3:$M$356,4,FALSE), "No encontrado")</f>
        <v>7380897.1799999997</v>
      </c>
      <c r="H135" s="137">
        <f>+IFERROR(VLOOKUP(A135,Totalidad!$A$3:$M$356,5,FALSE), "No encontrado")</f>
        <v>6107620.96</v>
      </c>
      <c r="I135" s="137">
        <f>+IFERROR(VLOOKUP(A135,Totalidad!$A$3:$M$356,6,FALSE), "No encontrado")</f>
        <v>3326377.41</v>
      </c>
      <c r="J135" s="137">
        <f>+IFERROR(VLOOKUP(A135,Totalidad!$A$3:$M$356,7,FALSE), "No encontrado")</f>
        <v>4686703.96</v>
      </c>
      <c r="K135" s="137">
        <f>+IFERROR(VLOOKUP(A135,Totalidad!$A$3:$M$356,8,FALSE), "No encontrado")</f>
        <v>4698411.9800000004</v>
      </c>
      <c r="L135" s="137">
        <f>+IFERROR(VLOOKUP(A135,Totalidad!$A$3:$M$356,9,FALSE), "No encontrado")</f>
        <v>2525386.0699999998</v>
      </c>
      <c r="M135" s="137">
        <f>+IFERROR(VLOOKUP(A135,Totalidad!$A$3:$M$356,10,FALSE), "No encontrado")</f>
        <v>7381820.7999999998</v>
      </c>
      <c r="N135" s="137">
        <f>+IFERROR(VLOOKUP(A135,Totalidad!$A$3:$M$356,11,FALSE), "No encontrado")</f>
        <v>3124071.93</v>
      </c>
      <c r="O135" s="137">
        <f>+IFERROR(VLOOKUP(A135,Totalidad!$A$3:$M$356,12,FALSE), "No encontrado")</f>
        <v>11833619.189999999</v>
      </c>
      <c r="P135" s="137">
        <f>+IFERROR(VLOOKUP(A135,Totalidad!$A$3:$M$356,13,FALSE), "No encontrado")</f>
        <v>4423854.55</v>
      </c>
      <c r="Q135" s="135">
        <f t="shared" si="36"/>
        <v>64786825.269999996</v>
      </c>
      <c r="R135" s="135">
        <f t="shared" si="37"/>
        <v>23213174.730000004</v>
      </c>
      <c r="S135" s="136">
        <f t="shared" si="38"/>
        <v>0.73621392352272719</v>
      </c>
      <c r="T135" s="136" t="e">
        <f t="shared" si="35"/>
        <v>#VALUE!</v>
      </c>
    </row>
    <row r="136" spans="1:20" x14ac:dyDescent="0.25">
      <c r="A136" s="133" t="s">
        <v>211</v>
      </c>
      <c r="B136" s="133" t="s">
        <v>210</v>
      </c>
      <c r="C136" s="137" t="s">
        <v>954</v>
      </c>
      <c r="D136" s="137">
        <v>176000000</v>
      </c>
      <c r="E136" s="137">
        <f>+IFERROR(VLOOKUP(A136,Totalidad!$A$3:$M$356,2,FALSE), "No encontrado")</f>
        <v>0</v>
      </c>
      <c r="F136" s="137">
        <f>+IFERROR(VLOOKUP(A136,Totalidad!$A$3:$M$356,3,FALSE), "No encontrado")</f>
        <v>0</v>
      </c>
      <c r="G136" s="137">
        <f>+IFERROR(VLOOKUP(A136,Totalidad!$A$3:$M$356,4,FALSE), "No encontrado")</f>
        <v>48237208.340000004</v>
      </c>
      <c r="H136" s="137">
        <f>+IFERROR(VLOOKUP(A136,Totalidad!$A$3:$M$356,5,FALSE), "No encontrado")</f>
        <v>0</v>
      </c>
      <c r="I136" s="137">
        <f>+IFERROR(VLOOKUP(A136,Totalidad!$A$3:$M$356,6,FALSE), "No encontrado")</f>
        <v>4680072</v>
      </c>
      <c r="J136" s="137">
        <f>+IFERROR(VLOOKUP(A136,Totalidad!$A$3:$M$356,7,FALSE), "No encontrado")</f>
        <v>235561.73</v>
      </c>
      <c r="K136" s="137">
        <f>+IFERROR(VLOOKUP(A136,Totalidad!$A$3:$M$356,8,FALSE), "No encontrado")</f>
        <v>0</v>
      </c>
      <c r="L136" s="137">
        <f>+IFERROR(VLOOKUP(A136,Totalidad!$A$3:$M$356,9,FALSE), "No encontrado")</f>
        <v>-81150.73</v>
      </c>
      <c r="M136" s="137">
        <f>+IFERROR(VLOOKUP(A136,Totalidad!$A$3:$M$356,10,FALSE), "No encontrado")</f>
        <v>0</v>
      </c>
      <c r="N136" s="137">
        <f>+IFERROR(VLOOKUP(A136,Totalidad!$A$3:$M$356,11,FALSE), "No encontrado")</f>
        <v>0</v>
      </c>
      <c r="O136" s="137">
        <f>+IFERROR(VLOOKUP(A136,Totalidad!$A$3:$M$356,12,FALSE), "No encontrado")</f>
        <v>14925133.34</v>
      </c>
      <c r="P136" s="137">
        <f>+IFERROR(VLOOKUP(A136,Totalidad!$A$3:$M$356,13,FALSE), "No encontrado")</f>
        <v>0</v>
      </c>
      <c r="Q136" s="135">
        <f t="shared" si="36"/>
        <v>67996824.680000007</v>
      </c>
      <c r="R136" s="135">
        <f t="shared" si="37"/>
        <v>108003175.31999999</v>
      </c>
      <c r="S136" s="136">
        <f t="shared" si="38"/>
        <v>0.38634559477272734</v>
      </c>
      <c r="T136" s="136" t="e">
        <f t="shared" si="35"/>
        <v>#VALUE!</v>
      </c>
    </row>
    <row r="137" spans="1:20" x14ac:dyDescent="0.25">
      <c r="A137" s="133" t="s">
        <v>667</v>
      </c>
      <c r="B137" s="133" t="s">
        <v>208</v>
      </c>
      <c r="C137" s="134" t="s">
        <v>954</v>
      </c>
      <c r="D137" s="134">
        <f>+D138</f>
        <v>14000000</v>
      </c>
      <c r="E137" s="134">
        <f t="shared" ref="E137:P137" si="65">+E138</f>
        <v>46464.5</v>
      </c>
      <c r="F137" s="134">
        <f t="shared" si="65"/>
        <v>39526.199999999997</v>
      </c>
      <c r="G137" s="134">
        <f t="shared" si="65"/>
        <v>43529.67</v>
      </c>
      <c r="H137" s="134">
        <f t="shared" si="65"/>
        <v>720574.2</v>
      </c>
      <c r="I137" s="134">
        <f t="shared" si="65"/>
        <v>8337076.8300000001</v>
      </c>
      <c r="J137" s="134">
        <f t="shared" si="65"/>
        <v>1618912.44</v>
      </c>
      <c r="K137" s="134">
        <f t="shared" si="65"/>
        <v>1406280.86</v>
      </c>
      <c r="L137" s="134">
        <f t="shared" si="65"/>
        <v>532499.62</v>
      </c>
      <c r="M137" s="134">
        <f t="shared" si="65"/>
        <v>3435281.57</v>
      </c>
      <c r="N137" s="134">
        <f t="shared" si="65"/>
        <v>3698338.59</v>
      </c>
      <c r="O137" s="134">
        <f t="shared" si="65"/>
        <v>14645251.43</v>
      </c>
      <c r="P137" s="134">
        <f t="shared" si="65"/>
        <v>7707699</v>
      </c>
      <c r="Q137" s="135">
        <f t="shared" si="36"/>
        <v>42231434.909999996</v>
      </c>
      <c r="R137" s="135">
        <f t="shared" si="37"/>
        <v>-28231434.909999996</v>
      </c>
      <c r="S137" s="136">
        <f t="shared" si="38"/>
        <v>3.0165310649999997</v>
      </c>
      <c r="T137" s="136" t="e">
        <f t="shared" si="35"/>
        <v>#VALUE!</v>
      </c>
    </row>
    <row r="138" spans="1:20" x14ac:dyDescent="0.25">
      <c r="A138" s="133" t="s">
        <v>209</v>
      </c>
      <c r="B138" s="133" t="s">
        <v>208</v>
      </c>
      <c r="C138" s="137" t="s">
        <v>954</v>
      </c>
      <c r="D138" s="137">
        <v>14000000</v>
      </c>
      <c r="E138" s="137">
        <f>+IFERROR(VLOOKUP(A138,Totalidad!$A$3:$M$356,2,FALSE), "No encontrado")</f>
        <v>46464.5</v>
      </c>
      <c r="F138" s="137">
        <f>+IFERROR(VLOOKUP(A138,Totalidad!$A$3:$M$356,3,FALSE), "No encontrado")</f>
        <v>39526.199999999997</v>
      </c>
      <c r="G138" s="137">
        <f>+IFERROR(VLOOKUP(A138,Totalidad!$A$3:$M$356,4,FALSE), "No encontrado")</f>
        <v>43529.67</v>
      </c>
      <c r="H138" s="137">
        <f>+IFERROR(VLOOKUP(A138,Totalidad!$A$3:$M$356,5,FALSE), "No encontrado")</f>
        <v>720574.2</v>
      </c>
      <c r="I138" s="137">
        <f>+IFERROR(VLOOKUP(A138,Totalidad!$A$3:$M$356,6,FALSE), "No encontrado")</f>
        <v>8337076.8300000001</v>
      </c>
      <c r="J138" s="137">
        <f>+IFERROR(VLOOKUP(A138,Totalidad!$A$3:$M$356,7,FALSE), "No encontrado")</f>
        <v>1618912.44</v>
      </c>
      <c r="K138" s="137">
        <f>+IFERROR(VLOOKUP(A138,Totalidad!$A$3:$M$356,8,FALSE), "No encontrado")</f>
        <v>1406280.86</v>
      </c>
      <c r="L138" s="137">
        <f>+IFERROR(VLOOKUP(A138,Totalidad!$A$3:$M$356,9,FALSE), "No encontrado")</f>
        <v>532499.62</v>
      </c>
      <c r="M138" s="137">
        <f>+IFERROR(VLOOKUP(A138,Totalidad!$A$3:$M$356,10,FALSE), "No encontrado")</f>
        <v>3435281.57</v>
      </c>
      <c r="N138" s="137">
        <f>+IFERROR(VLOOKUP(A138,Totalidad!$A$3:$M$356,11,FALSE), "No encontrado")</f>
        <v>3698338.59</v>
      </c>
      <c r="O138" s="137">
        <f>+IFERROR(VLOOKUP(A138,Totalidad!$A$3:$M$356,12,FALSE), "No encontrado")</f>
        <v>14645251.43</v>
      </c>
      <c r="P138" s="137">
        <f>+IFERROR(VLOOKUP(A138,Totalidad!$A$3:$M$356,13,FALSE), "No encontrado")</f>
        <v>7707699</v>
      </c>
      <c r="Q138" s="135">
        <f t="shared" si="36"/>
        <v>42231434.909999996</v>
      </c>
      <c r="R138" s="135">
        <f t="shared" si="37"/>
        <v>-28231434.909999996</v>
      </c>
      <c r="S138" s="136">
        <f t="shared" si="38"/>
        <v>3.0165310649999997</v>
      </c>
      <c r="T138" s="136" t="e">
        <f t="shared" si="35"/>
        <v>#VALUE!</v>
      </c>
    </row>
    <row r="139" spans="1:20" x14ac:dyDescent="0.25">
      <c r="A139" s="133" t="s">
        <v>666</v>
      </c>
      <c r="B139" s="133" t="s">
        <v>665</v>
      </c>
      <c r="C139" s="134" t="s">
        <v>954</v>
      </c>
      <c r="D139" s="134">
        <f>+D141+D142</f>
        <v>1367520120</v>
      </c>
      <c r="E139" s="134">
        <f t="shared" ref="E139:P139" si="66">+E141+E142</f>
        <v>185487120</v>
      </c>
      <c r="F139" s="134">
        <f t="shared" si="66"/>
        <v>110821600</v>
      </c>
      <c r="G139" s="134">
        <f t="shared" si="66"/>
        <v>100844800</v>
      </c>
      <c r="H139" s="134">
        <f t="shared" si="66"/>
        <v>168313600</v>
      </c>
      <c r="I139" s="134">
        <f t="shared" si="66"/>
        <v>101551600</v>
      </c>
      <c r="J139" s="134">
        <f t="shared" si="66"/>
        <v>112570400</v>
      </c>
      <c r="K139" s="134">
        <f t="shared" si="66"/>
        <v>101578000</v>
      </c>
      <c r="L139" s="134">
        <f t="shared" si="66"/>
        <v>213180800</v>
      </c>
      <c r="M139" s="134">
        <f t="shared" si="66"/>
        <v>113075800</v>
      </c>
      <c r="N139" s="134">
        <f t="shared" si="66"/>
        <v>121256965.5</v>
      </c>
      <c r="O139" s="134">
        <f t="shared" si="66"/>
        <v>139805097.5</v>
      </c>
      <c r="P139" s="134">
        <f t="shared" si="66"/>
        <v>135467854.83000001</v>
      </c>
      <c r="Q139" s="135">
        <f t="shared" si="36"/>
        <v>1603953637.8299999</v>
      </c>
      <c r="R139" s="135">
        <f t="shared" si="37"/>
        <v>-236433517.82999992</v>
      </c>
      <c r="S139" s="136">
        <f t="shared" si="38"/>
        <v>1.1728921676340673</v>
      </c>
      <c r="T139" s="136" t="e">
        <f t="shared" si="35"/>
        <v>#VALUE!</v>
      </c>
    </row>
    <row r="140" spans="1:20" x14ac:dyDescent="0.25">
      <c r="A140" s="133" t="s">
        <v>407</v>
      </c>
      <c r="B140" s="133" t="s">
        <v>1304</v>
      </c>
      <c r="C140" s="137" t="s">
        <v>954</v>
      </c>
      <c r="D140" s="165" t="s">
        <v>954</v>
      </c>
      <c r="E140" s="137">
        <f>+IFERROR(VLOOKUP(A140,Totalidad!$A$3:$M$356,2,FALSE), "No encontrado")</f>
        <v>0</v>
      </c>
      <c r="F140" s="137">
        <f>+IFERROR(VLOOKUP(A140,Totalidad!$A$3:$M$356,3,FALSE), "No encontrado")</f>
        <v>0</v>
      </c>
      <c r="G140" s="137">
        <f>+IFERROR(VLOOKUP(A140,Totalidad!$A$3:$M$356,4,FALSE), "No encontrado")</f>
        <v>0</v>
      </c>
      <c r="H140" s="137">
        <f>+IFERROR(VLOOKUP(A140,Totalidad!$A$3:$M$356,5,FALSE), "No encontrado")</f>
        <v>0</v>
      </c>
      <c r="I140" s="137">
        <f>+IFERROR(VLOOKUP(A140,Totalidad!$A$3:$M$356,6,FALSE), "No encontrado")</f>
        <v>0</v>
      </c>
      <c r="J140" s="137">
        <f>+IFERROR(VLOOKUP(A140,Totalidad!$A$3:$M$356,7,FALSE), "No encontrado")</f>
        <v>0</v>
      </c>
      <c r="K140" s="137">
        <f>+IFERROR(VLOOKUP(A140,Totalidad!$A$3:$M$356,8,FALSE), "No encontrado")</f>
        <v>84715</v>
      </c>
      <c r="L140" s="137">
        <f>+IFERROR(VLOOKUP(A140,Totalidad!$A$3:$M$356,9,FALSE), "No encontrado")</f>
        <v>0</v>
      </c>
      <c r="M140" s="137">
        <f>+IFERROR(VLOOKUP(A140,Totalidad!$A$3:$M$356,9,FALSE), "No encontrado")</f>
        <v>0</v>
      </c>
      <c r="N140" s="137">
        <f>+IFERROR(VLOOKUP(A140,Totalidad!$A$3:$M$356,11,FALSE), "No encontrado")</f>
        <v>0</v>
      </c>
      <c r="O140" s="137">
        <f>+IFERROR(VLOOKUP(A140,Totalidad!$A$3:$M$356,12,FALSE), "No encontrado")</f>
        <v>0</v>
      </c>
      <c r="P140" s="137">
        <f>+IFERROR(VLOOKUP(A140,Totalidad!$A$3:$M$356,13,FALSE), "No encontrado")</f>
        <v>0</v>
      </c>
      <c r="Q140" s="135">
        <f t="shared" si="36"/>
        <v>84715</v>
      </c>
      <c r="R140" s="135"/>
      <c r="S140" s="136" t="e">
        <f t="shared" si="38"/>
        <v>#VALUE!</v>
      </c>
      <c r="T140" s="136" t="e">
        <f t="shared" si="35"/>
        <v>#VALUE!</v>
      </c>
    </row>
    <row r="141" spans="1:20" x14ac:dyDescent="0.25">
      <c r="A141" s="133" t="s">
        <v>207</v>
      </c>
      <c r="B141" s="133" t="s">
        <v>206</v>
      </c>
      <c r="C141" s="137" t="s">
        <v>954</v>
      </c>
      <c r="D141" s="137">
        <v>27520120</v>
      </c>
      <c r="E141" s="137">
        <f>+IFERROR(VLOOKUP(A141,Totalidad!$A$3:$M$356,2,FALSE), "No encontrado")</f>
        <v>27520120</v>
      </c>
      <c r="F141" s="137">
        <f>+IFERROR(VLOOKUP(A141,Totalidad!$A$3:$M$356,3,FALSE), "No encontrado")</f>
        <v>0</v>
      </c>
      <c r="G141" s="137">
        <f>+IFERROR(VLOOKUP(A141,Totalidad!$A$3:$M$356,4,FALSE), "No encontrado")</f>
        <v>0</v>
      </c>
      <c r="H141" s="137">
        <f>+IFERROR(VLOOKUP(A141,Totalidad!$A$3:$M$356,5,FALSE), "No encontrado")</f>
        <v>0</v>
      </c>
      <c r="I141" s="137">
        <f>+IFERROR(VLOOKUP(A141,Totalidad!$A$3:$M$356,6,FALSE), "No encontrado")</f>
        <v>0</v>
      </c>
      <c r="J141" s="137">
        <f>+IFERROR(VLOOKUP(A141,Totalidad!$A$3:$M$356,7,FALSE), "No encontrado")</f>
        <v>0</v>
      </c>
      <c r="K141" s="137">
        <f>+IFERROR(VLOOKUP(A141,Totalidad!$A$3:$M$356,8,FALSE), "No encontrado")</f>
        <v>0</v>
      </c>
      <c r="L141" s="137">
        <f>+IFERROR(VLOOKUP(A141,Totalidad!$A$3:$M$356,9,FALSE), "No encontrado")</f>
        <v>0</v>
      </c>
      <c r="M141" s="137">
        <f>+IFERROR(VLOOKUP(A141,Totalidad!$A$3:$M$356,9,FALSE), "No encontrado")</f>
        <v>0</v>
      </c>
      <c r="N141" s="137">
        <f>+IFERROR(VLOOKUP(A141,Totalidad!$A$3:$M$356,11,FALSE), "No encontrado")</f>
        <v>0</v>
      </c>
      <c r="O141" s="137">
        <f>+IFERROR(VLOOKUP(A141,Totalidad!$A$3:$M$356,12,FALSE), "No encontrado")</f>
        <v>0</v>
      </c>
      <c r="P141" s="137">
        <f>+IFERROR(VLOOKUP(A141,Totalidad!$A$3:$M$356,13,FALSE), "No encontrado")</f>
        <v>0</v>
      </c>
      <c r="Q141" s="135">
        <f t="shared" si="36"/>
        <v>27520120</v>
      </c>
      <c r="R141" s="135">
        <f t="shared" si="37"/>
        <v>0</v>
      </c>
      <c r="S141" s="136">
        <f t="shared" si="38"/>
        <v>1</v>
      </c>
      <c r="T141" s="136" t="e">
        <f t="shared" si="35"/>
        <v>#VALUE!</v>
      </c>
    </row>
    <row r="142" spans="1:20" x14ac:dyDescent="0.25">
      <c r="A142" s="133" t="s">
        <v>205</v>
      </c>
      <c r="B142" s="133" t="s">
        <v>204</v>
      </c>
      <c r="C142" s="137" t="s">
        <v>954</v>
      </c>
      <c r="D142" s="137">
        <v>1340000000</v>
      </c>
      <c r="E142" s="137">
        <f>+IFERROR(VLOOKUP(A142,Totalidad!$A$3:$M$356,2,FALSE), "No encontrado")</f>
        <v>157967000</v>
      </c>
      <c r="F142" s="137">
        <f>+IFERROR(VLOOKUP(A142,Totalidad!$A$3:$M$356,3,FALSE), "No encontrado")</f>
        <v>110821600</v>
      </c>
      <c r="G142" s="137">
        <f>+IFERROR(VLOOKUP(A142,Totalidad!$A$3:$M$356,4,FALSE), "No encontrado")</f>
        <v>100844800</v>
      </c>
      <c r="H142" s="137">
        <f>+IFERROR(VLOOKUP(A142,Totalidad!$A$3:$M$356,5,FALSE), "No encontrado")</f>
        <v>168313600</v>
      </c>
      <c r="I142" s="137">
        <f>+IFERROR(VLOOKUP(A142,Totalidad!$A$3:$M$356,6,FALSE), "No encontrado")</f>
        <v>101551600</v>
      </c>
      <c r="J142" s="137">
        <f>+IFERROR(VLOOKUP(A142,Totalidad!$A$3:$M$356,7,FALSE), "No encontrado")</f>
        <v>112570400</v>
      </c>
      <c r="K142" s="137">
        <f>+IFERROR(VLOOKUP(A142,Totalidad!$A$3:$M$356,8,FALSE), "No encontrado")</f>
        <v>101578000</v>
      </c>
      <c r="L142" s="137">
        <f>+IFERROR(VLOOKUP(A142,Totalidad!$A$3:$M$356,9,FALSE), "No encontrado")</f>
        <v>213180800</v>
      </c>
      <c r="M142" s="137">
        <f>+IFERROR(VLOOKUP(A142,Totalidad!$A$3:$M$356,10,FALSE), "No encontrado")</f>
        <v>113075800</v>
      </c>
      <c r="N142" s="137">
        <f>+IFERROR(VLOOKUP(A142,Totalidad!$A$3:$M$356,11,FALSE), "No encontrado")</f>
        <v>121256965.5</v>
      </c>
      <c r="O142" s="137">
        <f>+IFERROR(VLOOKUP(A142,Totalidad!$A$3:$M$356,12,FALSE), "No encontrado")</f>
        <v>139805097.5</v>
      </c>
      <c r="P142" s="137">
        <f>+IFERROR(VLOOKUP(A142,Totalidad!$A$3:$M$356,13,FALSE), "No encontrado")</f>
        <v>135467854.83000001</v>
      </c>
      <c r="Q142" s="135">
        <f t="shared" si="36"/>
        <v>1576433517.8299999</v>
      </c>
      <c r="R142" s="135">
        <f t="shared" si="37"/>
        <v>-236433517.82999992</v>
      </c>
      <c r="S142" s="136">
        <f t="shared" si="38"/>
        <v>1.1764429237537313</v>
      </c>
      <c r="T142" s="136" t="e">
        <f t="shared" si="35"/>
        <v>#VALUE!</v>
      </c>
    </row>
    <row r="143" spans="1:20" x14ac:dyDescent="0.25">
      <c r="A143" s="133" t="s">
        <v>664</v>
      </c>
      <c r="B143" s="133" t="s">
        <v>663</v>
      </c>
      <c r="C143" s="134">
        <f>+C144+C153</f>
        <v>9972000000</v>
      </c>
      <c r="D143" s="134">
        <f>+D144+D153</f>
        <v>13539984530</v>
      </c>
      <c r="E143" s="134">
        <f t="shared" ref="E143:P143" si="67">+E144+E153</f>
        <v>308854906.77999997</v>
      </c>
      <c r="F143" s="134">
        <f t="shared" si="67"/>
        <v>192062416.69</v>
      </c>
      <c r="G143" s="134">
        <f t="shared" si="67"/>
        <v>1686708771.5900002</v>
      </c>
      <c r="H143" s="134">
        <f t="shared" si="67"/>
        <v>205751511.31</v>
      </c>
      <c r="I143" s="134">
        <f t="shared" si="67"/>
        <v>100407467.19999999</v>
      </c>
      <c r="J143" s="134">
        <f t="shared" si="67"/>
        <v>352633740.56999999</v>
      </c>
      <c r="K143" s="134">
        <f t="shared" si="67"/>
        <v>94409198.209999993</v>
      </c>
      <c r="L143" s="134">
        <f t="shared" si="67"/>
        <v>2406682036.8899999</v>
      </c>
      <c r="M143" s="134">
        <f t="shared" si="67"/>
        <v>34188604.32</v>
      </c>
      <c r="N143" s="134">
        <f t="shared" si="67"/>
        <v>98426700.290000007</v>
      </c>
      <c r="O143" s="134">
        <f t="shared" si="67"/>
        <v>2000623872.6200001</v>
      </c>
      <c r="P143" s="134">
        <f t="shared" si="67"/>
        <v>3637754578.5599999</v>
      </c>
      <c r="Q143" s="135">
        <f t="shared" si="36"/>
        <v>11118503805.029999</v>
      </c>
      <c r="R143" s="135">
        <f t="shared" si="37"/>
        <v>2421480724.9700012</v>
      </c>
      <c r="S143" s="136">
        <f t="shared" si="38"/>
        <v>0.82116074655736693</v>
      </c>
      <c r="T143" s="136">
        <f t="shared" si="35"/>
        <v>1.1149723029512635</v>
      </c>
    </row>
    <row r="144" spans="1:20" x14ac:dyDescent="0.25">
      <c r="A144" s="133" t="s">
        <v>662</v>
      </c>
      <c r="B144" s="133" t="s">
        <v>661</v>
      </c>
      <c r="C144" s="134">
        <v>6208000000</v>
      </c>
      <c r="D144" s="134">
        <f>+D145+D148</f>
        <v>6280672078</v>
      </c>
      <c r="E144" s="134">
        <f t="shared" ref="E144:P144" si="68">+E145+E148</f>
        <v>307128836.27999997</v>
      </c>
      <c r="F144" s="134">
        <f t="shared" si="68"/>
        <v>189282291.69</v>
      </c>
      <c r="G144" s="134">
        <f t="shared" si="68"/>
        <v>31560920.98</v>
      </c>
      <c r="H144" s="134">
        <f t="shared" si="68"/>
        <v>141376856</v>
      </c>
      <c r="I144" s="134">
        <f t="shared" si="68"/>
        <v>96224340.569999993</v>
      </c>
      <c r="J144" s="134">
        <f t="shared" si="68"/>
        <v>340762267.81999999</v>
      </c>
      <c r="K144" s="134">
        <f t="shared" si="68"/>
        <v>90711642.709999993</v>
      </c>
      <c r="L144" s="134">
        <f t="shared" si="68"/>
        <v>73878834.319999993</v>
      </c>
      <c r="M144" s="134">
        <f t="shared" si="68"/>
        <v>26249478.920000002</v>
      </c>
      <c r="N144" s="134">
        <f t="shared" si="68"/>
        <v>92918075.790000007</v>
      </c>
      <c r="O144" s="134">
        <f t="shared" si="68"/>
        <v>511178329.07999998</v>
      </c>
      <c r="P144" s="134">
        <f t="shared" si="68"/>
        <v>3626587335.0599999</v>
      </c>
      <c r="Q144" s="135">
        <f t="shared" si="36"/>
        <v>5527859209.2199993</v>
      </c>
      <c r="R144" s="135">
        <f t="shared" si="37"/>
        <v>752812868.78000069</v>
      </c>
      <c r="S144" s="136">
        <f t="shared" si="38"/>
        <v>0.88013816683457158</v>
      </c>
      <c r="T144" s="136">
        <f t="shared" si="35"/>
        <v>0.89044123859858237</v>
      </c>
    </row>
    <row r="145" spans="1:20" x14ac:dyDescent="0.25">
      <c r="A145" s="133" t="s">
        <v>660</v>
      </c>
      <c r="B145" s="133" t="s">
        <v>201</v>
      </c>
      <c r="C145" s="138" t="s">
        <v>954</v>
      </c>
      <c r="D145" s="138">
        <f>+SUM(D146:D147)</f>
        <v>6087672078</v>
      </c>
      <c r="E145" s="138">
        <f t="shared" ref="E145:P145" si="69">+SUM(E146:E147)</f>
        <v>302363387.27999997</v>
      </c>
      <c r="F145" s="138">
        <f t="shared" si="69"/>
        <v>186342253.69</v>
      </c>
      <c r="G145" s="138">
        <f t="shared" si="69"/>
        <v>26404427.5</v>
      </c>
      <c r="H145" s="138">
        <f>+SUM(H146:H147)</f>
        <v>134880709</v>
      </c>
      <c r="I145" s="138">
        <f t="shared" si="69"/>
        <v>75732079.219999999</v>
      </c>
      <c r="J145" s="138">
        <f t="shared" si="69"/>
        <v>322434355.81999999</v>
      </c>
      <c r="K145" s="138">
        <f t="shared" si="69"/>
        <v>81228601.209999993</v>
      </c>
      <c r="L145" s="138">
        <f t="shared" si="69"/>
        <v>60087646.32</v>
      </c>
      <c r="M145" s="138">
        <f t="shared" si="69"/>
        <v>6944207.9199999999</v>
      </c>
      <c r="N145" s="138">
        <f t="shared" si="69"/>
        <v>65786429.740000002</v>
      </c>
      <c r="O145" s="138">
        <f t="shared" si="69"/>
        <v>479443127.18000001</v>
      </c>
      <c r="P145" s="138">
        <f t="shared" si="69"/>
        <v>3603995087.8600001</v>
      </c>
      <c r="Q145" s="135">
        <f t="shared" si="36"/>
        <v>5345642312.7399998</v>
      </c>
      <c r="R145" s="135">
        <f t="shared" si="37"/>
        <v>742029765.26000023</v>
      </c>
      <c r="S145" s="136">
        <f t="shared" si="38"/>
        <v>0.87810943891974858</v>
      </c>
      <c r="T145" s="136" t="e">
        <f t="shared" si="35"/>
        <v>#VALUE!</v>
      </c>
    </row>
    <row r="146" spans="1:20" x14ac:dyDescent="0.25">
      <c r="A146" s="133" t="s">
        <v>374</v>
      </c>
      <c r="B146" s="133" t="s">
        <v>405</v>
      </c>
      <c r="C146" s="139" t="s">
        <v>954</v>
      </c>
      <c r="D146" s="139" t="s">
        <v>1114</v>
      </c>
      <c r="E146" s="137">
        <f>+IFERROR(VLOOKUP(A146,Totalidad!$A$3:$M$356,2,FALSE), "No encontrado")</f>
        <v>0</v>
      </c>
      <c r="F146" s="137">
        <f>+IFERROR(VLOOKUP(A146,Totalidad!$A$3:$M$356,3,FALSE), "No encontrado")</f>
        <v>0</v>
      </c>
      <c r="G146" s="137">
        <f>+IFERROR(VLOOKUP(A146,Totalidad!$A$3:$M$356,4,FALSE), "No encontrado")</f>
        <v>0</v>
      </c>
      <c r="H146" s="137">
        <f>+IFERROR(VLOOKUP(A146,Totalidad!$A$3:$M$356,5,FALSE), "No encontrado")</f>
        <v>0</v>
      </c>
      <c r="I146" s="137">
        <f>+IFERROR(VLOOKUP(A146,Totalidad!$A$3:$M$356,6,FALSE), "No encontrado")</f>
        <v>0</v>
      </c>
      <c r="J146" s="137">
        <f>+IFERROR(VLOOKUP(A146,Totalidad!$A$3:$M$356,7,FALSE), "No encontrado")</f>
        <v>500</v>
      </c>
      <c r="K146" s="137">
        <f>+IFERROR(VLOOKUP(A146,Totalidad!$A$3:$M$356,8,FALSE), "No encontrado")</f>
        <v>0</v>
      </c>
      <c r="L146" s="137">
        <f>+IFERROR(VLOOKUP(A146,Totalidad!$A$3:$M$356,9,FALSE), "No encontrado")</f>
        <v>0</v>
      </c>
      <c r="M146" s="137">
        <f>+IFERROR(VLOOKUP(A146,Totalidad!$A$3:$M$356,10,FALSE), "No encontrado")</f>
        <v>0</v>
      </c>
      <c r="N146" s="137">
        <f>+IFERROR(VLOOKUP(A146,Totalidad!$A$3:$M$356,11,FALSE), "No encontrado")</f>
        <v>0</v>
      </c>
      <c r="O146" s="137">
        <f>+IFERROR(VLOOKUP(A146,Totalidad!$A$3:$M$356,12,FALSE), "No encontrado")</f>
        <v>0</v>
      </c>
      <c r="P146" s="137">
        <f>+IFERROR(VLOOKUP(A146,Totalidad!$A$3:$M$356,13,FALSE), "No encontrado")</f>
        <v>0</v>
      </c>
      <c r="Q146" s="135">
        <f t="shared" si="36"/>
        <v>500</v>
      </c>
      <c r="R146" s="135" t="e">
        <f t="shared" si="37"/>
        <v>#VALUE!</v>
      </c>
      <c r="S146" s="136" t="e">
        <f t="shared" si="38"/>
        <v>#VALUE!</v>
      </c>
      <c r="T146" s="136" t="e">
        <f t="shared" ref="T146:T209" si="70">+Q146/C146</f>
        <v>#VALUE!</v>
      </c>
    </row>
    <row r="147" spans="1:20" x14ac:dyDescent="0.25">
      <c r="A147" s="133" t="s">
        <v>203</v>
      </c>
      <c r="B147" s="133" t="s">
        <v>202</v>
      </c>
      <c r="C147" s="137" t="s">
        <v>954</v>
      </c>
      <c r="D147" s="137">
        <v>6087672078</v>
      </c>
      <c r="E147" s="137">
        <f>+IFERROR(VLOOKUP(A147,Totalidad!$A$3:$M$356,2,FALSE), "No encontrado")</f>
        <v>302363387.27999997</v>
      </c>
      <c r="F147" s="137">
        <f>+IFERROR(VLOOKUP(A147,Totalidad!$A$3:$M$356,3,FALSE), "No encontrado")</f>
        <v>186342253.69</v>
      </c>
      <c r="G147" s="137">
        <f>+IFERROR(VLOOKUP(A147,Totalidad!$A$3:$M$356,4,FALSE), "No encontrado")</f>
        <v>26404427.5</v>
      </c>
      <c r="H147" s="137">
        <f>+IFERROR(VLOOKUP(A147,Totalidad!$A$3:$M$356,5,FALSE), "No encontrado")</f>
        <v>134880709</v>
      </c>
      <c r="I147" s="137">
        <f>+IFERROR(VLOOKUP(A147,Totalidad!$A$3:$M$356,6,FALSE), "No encontrado")</f>
        <v>75732079.219999999</v>
      </c>
      <c r="J147" s="137">
        <f>+IFERROR(VLOOKUP(A147,Totalidad!$A$3:$M$356,7,FALSE), "No encontrado")</f>
        <v>322433855.81999999</v>
      </c>
      <c r="K147" s="137">
        <f>+IFERROR(VLOOKUP(A147,Totalidad!$A$3:$M$356,8,FALSE), "No encontrado")</f>
        <v>81228601.209999993</v>
      </c>
      <c r="L147" s="137">
        <f>+IFERROR(VLOOKUP(A147,Totalidad!$A$3:$M$356,9,FALSE), "No encontrado")</f>
        <v>60087646.32</v>
      </c>
      <c r="M147" s="137">
        <f>+IFERROR(VLOOKUP(A147,Totalidad!$A$3:$M$356,10,FALSE), "No encontrado")</f>
        <v>6944207.9199999999</v>
      </c>
      <c r="N147" s="137">
        <f>+IFERROR(VLOOKUP(A147,Totalidad!$A$3:$M$356,11,FALSE), "No encontrado")</f>
        <v>65786429.740000002</v>
      </c>
      <c r="O147" s="137">
        <f>+IFERROR(VLOOKUP(A147,Totalidad!$A$3:$M$356,12,FALSE), "No encontrado")</f>
        <v>479443127.18000001</v>
      </c>
      <c r="P147" s="137">
        <f>+IFERROR(VLOOKUP(A147,Totalidad!$A$3:$M$356,13,FALSE), "No encontrado")</f>
        <v>3603995087.8600001</v>
      </c>
      <c r="Q147" s="135">
        <f t="shared" ref="Q147:Q210" si="71">+SUM(E147:P147)</f>
        <v>5345641812.7399998</v>
      </c>
      <c r="R147" s="135">
        <f t="shared" ref="R147:R210" si="72">+D147-Q147</f>
        <v>742030265.26000023</v>
      </c>
      <c r="S147" s="136">
        <f t="shared" ref="S147:S210" si="73">+Q147/D147</f>
        <v>0.87810935678654667</v>
      </c>
      <c r="T147" s="136" t="e">
        <f t="shared" si="70"/>
        <v>#VALUE!</v>
      </c>
    </row>
    <row r="148" spans="1:20" x14ac:dyDescent="0.25">
      <c r="A148" s="133" t="s">
        <v>659</v>
      </c>
      <c r="B148" s="133" t="s">
        <v>192</v>
      </c>
      <c r="C148" s="134" t="s">
        <v>954</v>
      </c>
      <c r="D148" s="134">
        <f>+D149+D150+D151+D152</f>
        <v>193000000</v>
      </c>
      <c r="E148" s="134">
        <f t="shared" ref="E148:P148" si="74">+E149+E150+E151+E152</f>
        <v>4765449</v>
      </c>
      <c r="F148" s="134">
        <f t="shared" si="74"/>
        <v>2940038</v>
      </c>
      <c r="G148" s="134">
        <f t="shared" si="74"/>
        <v>5156493.4800000004</v>
      </c>
      <c r="H148" s="134">
        <f t="shared" si="74"/>
        <v>6496147</v>
      </c>
      <c r="I148" s="134">
        <f t="shared" si="74"/>
        <v>20492261.350000001</v>
      </c>
      <c r="J148" s="134">
        <f t="shared" si="74"/>
        <v>18327912</v>
      </c>
      <c r="K148" s="134">
        <f t="shared" si="74"/>
        <v>9483041.5</v>
      </c>
      <c r="L148" s="134">
        <f t="shared" si="74"/>
        <v>13791188</v>
      </c>
      <c r="M148" s="134">
        <f t="shared" si="74"/>
        <v>19305271</v>
      </c>
      <c r="N148" s="134">
        <f t="shared" si="74"/>
        <v>27131646.050000001</v>
      </c>
      <c r="O148" s="134">
        <f t="shared" si="74"/>
        <v>31735201.899999999</v>
      </c>
      <c r="P148" s="134">
        <f t="shared" si="74"/>
        <v>22592247.199999999</v>
      </c>
      <c r="Q148" s="135">
        <f t="shared" si="71"/>
        <v>182216896.47999999</v>
      </c>
      <c r="R148" s="135">
        <f t="shared" si="72"/>
        <v>10783103.520000011</v>
      </c>
      <c r="S148" s="136">
        <f t="shared" si="73"/>
        <v>0.94412899730569944</v>
      </c>
      <c r="T148" s="136" t="e">
        <f t="shared" si="70"/>
        <v>#VALUE!</v>
      </c>
    </row>
    <row r="149" spans="1:20" x14ac:dyDescent="0.25">
      <c r="A149" s="133" t="s">
        <v>200</v>
      </c>
      <c r="B149" s="133" t="s">
        <v>199</v>
      </c>
      <c r="C149" s="137" t="s">
        <v>954</v>
      </c>
      <c r="D149" s="137">
        <v>45000000</v>
      </c>
      <c r="E149" s="137">
        <f>+IFERROR(VLOOKUP(A149,Totalidad!$A$3:$M$356,2,FALSE), "No encontrado")</f>
        <v>648108</v>
      </c>
      <c r="F149" s="137">
        <f>+IFERROR(VLOOKUP(A149,Totalidad!$A$3:$M$356,3,FALSE), "No encontrado")</f>
        <v>119100</v>
      </c>
      <c r="G149" s="137">
        <f>+IFERROR(VLOOKUP(A149,Totalidad!$A$3:$M$356,4,FALSE), "No encontrado")</f>
        <v>1216759</v>
      </c>
      <c r="H149" s="137">
        <f>+IFERROR(VLOOKUP(A149,Totalidad!$A$3:$M$356,5,FALSE), "No encontrado")</f>
        <v>449640</v>
      </c>
      <c r="I149" s="137">
        <f>+IFERROR(VLOOKUP(A149,Totalidad!$A$3:$M$356,6,FALSE), "No encontrado")</f>
        <v>2640310.5</v>
      </c>
      <c r="J149" s="137">
        <f>+IFERROR(VLOOKUP(A149,Totalidad!$A$3:$M$356,7,FALSE), "No encontrado")</f>
        <v>2546615</v>
      </c>
      <c r="K149" s="137">
        <f>+IFERROR(VLOOKUP(A149,Totalidad!$A$3:$M$356,8,FALSE), "No encontrado")</f>
        <v>849191</v>
      </c>
      <c r="L149" s="137">
        <f>+IFERROR(VLOOKUP(A149,Totalidad!$A$3:$M$356,9,FALSE), "No encontrado")</f>
        <v>1462976</v>
      </c>
      <c r="M149" s="137">
        <f>+IFERROR(VLOOKUP(A149,Totalidad!$A$3:$M$356,10,FALSE), "No encontrado")</f>
        <v>1514846</v>
      </c>
      <c r="N149" s="137">
        <f>+IFERROR(VLOOKUP(A149,Totalidad!$A$3:$M$356,11,FALSE), "No encontrado")</f>
        <v>2472084</v>
      </c>
      <c r="O149" s="137">
        <f>+IFERROR(VLOOKUP(A149,Totalidad!$A$3:$M$356,12,FALSE), "No encontrado")</f>
        <v>2298914</v>
      </c>
      <c r="P149" s="137">
        <f>+IFERROR(VLOOKUP(A149,Totalidad!$A$3:$M$356,13,FALSE), "No encontrado")</f>
        <v>2313688</v>
      </c>
      <c r="Q149" s="135">
        <f t="shared" si="71"/>
        <v>18532231.5</v>
      </c>
      <c r="R149" s="135">
        <f t="shared" si="72"/>
        <v>26467768.5</v>
      </c>
      <c r="S149" s="136">
        <f t="shared" si="73"/>
        <v>0.41182736666666669</v>
      </c>
      <c r="T149" s="136" t="e">
        <f t="shared" si="70"/>
        <v>#VALUE!</v>
      </c>
    </row>
    <row r="150" spans="1:20" x14ac:dyDescent="0.25">
      <c r="A150" s="133" t="s">
        <v>198</v>
      </c>
      <c r="B150" s="133" t="s">
        <v>197</v>
      </c>
      <c r="C150" s="137" t="s">
        <v>954</v>
      </c>
      <c r="D150" s="137">
        <v>4000000</v>
      </c>
      <c r="E150" s="137">
        <f>+IFERROR(VLOOKUP(A150,Totalidad!$A$3:$M$356,2,FALSE), "No encontrado")</f>
        <v>0</v>
      </c>
      <c r="F150" s="137">
        <f>+IFERROR(VLOOKUP(A150,Totalidad!$A$3:$M$356,3,FALSE), "No encontrado")</f>
        <v>21530</v>
      </c>
      <c r="G150" s="137">
        <f>+IFERROR(VLOOKUP(A150,Totalidad!$A$3:$M$356,4,FALSE), "No encontrado")</f>
        <v>22310</v>
      </c>
      <c r="H150" s="137">
        <f>+IFERROR(VLOOKUP(A150,Totalidad!$A$3:$M$356,5,FALSE), "No encontrado")</f>
        <v>268680</v>
      </c>
      <c r="I150" s="137">
        <f>+IFERROR(VLOOKUP(A150,Totalidad!$A$3:$M$356,6,FALSE), "No encontrado")</f>
        <v>443290</v>
      </c>
      <c r="J150" s="137">
        <f>+IFERROR(VLOOKUP(A150,Totalidad!$A$3:$M$356,7,FALSE), "No encontrado")</f>
        <v>466925.5</v>
      </c>
      <c r="K150" s="137">
        <f>+IFERROR(VLOOKUP(A150,Totalidad!$A$3:$M$356,8,FALSE), "No encontrado")</f>
        <v>232100</v>
      </c>
      <c r="L150" s="137">
        <f>+IFERROR(VLOOKUP(A150,Totalidad!$A$3:$M$356,9,FALSE), "No encontrado")</f>
        <v>391010</v>
      </c>
      <c r="M150" s="137">
        <f>+IFERROR(VLOOKUP(A150,Totalidad!$A$3:$M$356,10,FALSE), "No encontrado")</f>
        <v>753730</v>
      </c>
      <c r="N150" s="137">
        <f>+IFERROR(VLOOKUP(A150,Totalidad!$A$3:$M$356,11,FALSE), "No encontrado")</f>
        <v>664650</v>
      </c>
      <c r="O150" s="137">
        <f>+IFERROR(VLOOKUP(A150,Totalidad!$A$3:$M$356,12,FALSE), "No encontrado")</f>
        <v>374400</v>
      </c>
      <c r="P150" s="137">
        <f>+IFERROR(VLOOKUP(A150,Totalidad!$A$3:$M$356,13,FALSE), "No encontrado")</f>
        <v>638836</v>
      </c>
      <c r="Q150" s="135">
        <f t="shared" si="71"/>
        <v>4277461.5</v>
      </c>
      <c r="R150" s="135">
        <f t="shared" si="72"/>
        <v>-277461.5</v>
      </c>
      <c r="S150" s="136">
        <f t="shared" si="73"/>
        <v>1.0693653750000001</v>
      </c>
      <c r="T150" s="136" t="e">
        <f t="shared" si="70"/>
        <v>#VALUE!</v>
      </c>
    </row>
    <row r="151" spans="1:20" x14ac:dyDescent="0.25">
      <c r="A151" s="133" t="s">
        <v>196</v>
      </c>
      <c r="B151" s="133" t="s">
        <v>195</v>
      </c>
      <c r="C151" s="137" t="s">
        <v>954</v>
      </c>
      <c r="D151" s="137">
        <v>88000000</v>
      </c>
      <c r="E151" s="137">
        <f>+IFERROR(VLOOKUP(A151,Totalidad!$A$3:$M$356,2,FALSE), "No encontrado")</f>
        <v>3568581</v>
      </c>
      <c r="F151" s="137">
        <f>+IFERROR(VLOOKUP(A151,Totalidad!$A$3:$M$356,3,FALSE), "No encontrado")</f>
        <v>2338648</v>
      </c>
      <c r="G151" s="137">
        <f>+IFERROR(VLOOKUP(A151,Totalidad!$A$3:$M$356,4,FALSE), "No encontrado")</f>
        <v>2917342.48</v>
      </c>
      <c r="H151" s="137">
        <f>+IFERROR(VLOOKUP(A151,Totalidad!$A$3:$M$356,5,FALSE), "No encontrado")</f>
        <v>4209444</v>
      </c>
      <c r="I151" s="137">
        <f>+IFERROR(VLOOKUP(A151,Totalidad!$A$3:$M$356,6,FALSE), "No encontrado")</f>
        <v>11985584.85</v>
      </c>
      <c r="J151" s="137">
        <f>+IFERROR(VLOOKUP(A151,Totalidad!$A$3:$M$356,7,FALSE), "No encontrado")</f>
        <v>10357868.5</v>
      </c>
      <c r="K151" s="137">
        <f>+IFERROR(VLOOKUP(A151,Totalidad!$A$3:$M$356,8,FALSE), "No encontrado")</f>
        <v>5033130.5</v>
      </c>
      <c r="L151" s="137">
        <f>+IFERROR(VLOOKUP(A151,Totalidad!$A$3:$M$356,9,FALSE), "No encontrado")</f>
        <v>5791424</v>
      </c>
      <c r="M151" s="137">
        <f>+IFERROR(VLOOKUP(A151,Totalidad!$A$3:$M$356,10,FALSE), "No encontrado")</f>
        <v>8047520.5</v>
      </c>
      <c r="N151" s="137">
        <f>+IFERROR(VLOOKUP(A151,Totalidad!$A$3:$M$356,11,FALSE), "No encontrado")</f>
        <v>11499993.75</v>
      </c>
      <c r="O151" s="137">
        <f>+IFERROR(VLOOKUP(A151,Totalidad!$A$3:$M$356,12,FALSE), "No encontrado")</f>
        <v>15424364.9</v>
      </c>
      <c r="P151" s="137">
        <f>+IFERROR(VLOOKUP(A151,Totalidad!$A$3:$M$356,13,FALSE), "No encontrado")</f>
        <v>10813181.199999999</v>
      </c>
      <c r="Q151" s="135">
        <f t="shared" si="71"/>
        <v>91987083.680000007</v>
      </c>
      <c r="R151" s="135">
        <f t="shared" si="72"/>
        <v>-3987083.6800000072</v>
      </c>
      <c r="S151" s="136">
        <f t="shared" si="73"/>
        <v>1.0453077690909092</v>
      </c>
      <c r="T151" s="136" t="e">
        <f t="shared" si="70"/>
        <v>#VALUE!</v>
      </c>
    </row>
    <row r="152" spans="1:20" x14ac:dyDescent="0.25">
      <c r="A152" s="133" t="s">
        <v>194</v>
      </c>
      <c r="B152" s="133" t="s">
        <v>193</v>
      </c>
      <c r="C152" s="137" t="s">
        <v>954</v>
      </c>
      <c r="D152" s="137">
        <v>56000000</v>
      </c>
      <c r="E152" s="137">
        <f>+IFERROR(VLOOKUP(A152,Totalidad!$A$3:$M$356,2,FALSE), "No encontrado")</f>
        <v>548760</v>
      </c>
      <c r="F152" s="137">
        <f>+IFERROR(VLOOKUP(A152,Totalidad!$A$3:$M$356,3,FALSE), "No encontrado")</f>
        <v>460760</v>
      </c>
      <c r="G152" s="137">
        <f>+IFERROR(VLOOKUP(A152,Totalidad!$A$3:$M$356,4,FALSE), "No encontrado")</f>
        <v>1000082</v>
      </c>
      <c r="H152" s="137">
        <f>+IFERROR(VLOOKUP(A152,Totalidad!$A$3:$M$356,5,FALSE), "No encontrado")</f>
        <v>1568383</v>
      </c>
      <c r="I152" s="137">
        <f>+IFERROR(VLOOKUP(A152,Totalidad!$A$3:$M$356,6,FALSE), "No encontrado")</f>
        <v>5423076</v>
      </c>
      <c r="J152" s="137">
        <f>+IFERROR(VLOOKUP(A152,Totalidad!$A$3:$M$356,7,FALSE), "No encontrado")</f>
        <v>4956503</v>
      </c>
      <c r="K152" s="137">
        <f>+IFERROR(VLOOKUP(A152,Totalidad!$A$3:$M$356,8,FALSE), "No encontrado")</f>
        <v>3368620</v>
      </c>
      <c r="L152" s="137">
        <f>+IFERROR(VLOOKUP(A152,Totalidad!$A$3:$M$356,9,FALSE), "No encontrado")</f>
        <v>6145778</v>
      </c>
      <c r="M152" s="137">
        <f>+IFERROR(VLOOKUP(A152,Totalidad!$A$3:$M$356,10,FALSE), "No encontrado")</f>
        <v>8989174.5</v>
      </c>
      <c r="N152" s="137">
        <f>+IFERROR(VLOOKUP(A152,Totalidad!$A$3:$M$356,11,FALSE), "No encontrado")</f>
        <v>12494918.300000001</v>
      </c>
      <c r="O152" s="137">
        <f>+IFERROR(VLOOKUP(A152,Totalidad!$A$3:$M$356,12,FALSE), "No encontrado")</f>
        <v>13637523</v>
      </c>
      <c r="P152" s="137">
        <f>+IFERROR(VLOOKUP(A152,Totalidad!$A$3:$M$356,13,FALSE), "No encontrado")</f>
        <v>8826542</v>
      </c>
      <c r="Q152" s="135">
        <f t="shared" si="71"/>
        <v>67420119.799999997</v>
      </c>
      <c r="R152" s="135">
        <f t="shared" si="72"/>
        <v>-11420119.799999997</v>
      </c>
      <c r="S152" s="136">
        <f t="shared" si="73"/>
        <v>1.2039307107142856</v>
      </c>
      <c r="T152" s="136" t="e">
        <f t="shared" si="70"/>
        <v>#VALUE!</v>
      </c>
    </row>
    <row r="153" spans="1:20" x14ac:dyDescent="0.25">
      <c r="A153" s="133" t="s">
        <v>658</v>
      </c>
      <c r="B153" s="133" t="s">
        <v>657</v>
      </c>
      <c r="C153" s="134">
        <v>3764000000</v>
      </c>
      <c r="D153" s="134">
        <f>+D154+D157</f>
        <v>7259312452</v>
      </c>
      <c r="E153" s="134">
        <f t="shared" ref="E153:P153" si="75">+E154+E157</f>
        <v>1726070.5</v>
      </c>
      <c r="F153" s="134">
        <f t="shared" si="75"/>
        <v>2780125</v>
      </c>
      <c r="G153" s="134">
        <f t="shared" si="75"/>
        <v>1655147850.6100001</v>
      </c>
      <c r="H153" s="134">
        <f t="shared" si="75"/>
        <v>64374655.310000002</v>
      </c>
      <c r="I153" s="134">
        <f t="shared" si="75"/>
        <v>4183126.63</v>
      </c>
      <c r="J153" s="134">
        <f t="shared" si="75"/>
        <v>11871472.75</v>
      </c>
      <c r="K153" s="134">
        <f t="shared" si="75"/>
        <v>3697555.5</v>
      </c>
      <c r="L153" s="134">
        <f t="shared" si="75"/>
        <v>2332803202.5699997</v>
      </c>
      <c r="M153" s="134">
        <f t="shared" si="75"/>
        <v>7939125.4000000004</v>
      </c>
      <c r="N153" s="134">
        <f t="shared" si="75"/>
        <v>5508624.5</v>
      </c>
      <c r="O153" s="134">
        <f t="shared" si="75"/>
        <v>1489445543.5400002</v>
      </c>
      <c r="P153" s="134">
        <f t="shared" si="75"/>
        <v>11167243.5</v>
      </c>
      <c r="Q153" s="135">
        <f t="shared" si="71"/>
        <v>5590644595.8100004</v>
      </c>
      <c r="R153" s="135">
        <f t="shared" si="72"/>
        <v>1668667856.1899996</v>
      </c>
      <c r="S153" s="136">
        <f t="shared" si="73"/>
        <v>0.77013417355657865</v>
      </c>
      <c r="T153" s="136">
        <f t="shared" si="70"/>
        <v>1.4852934632863977</v>
      </c>
    </row>
    <row r="154" spans="1:20" x14ac:dyDescent="0.25">
      <c r="A154" s="133" t="s">
        <v>656</v>
      </c>
      <c r="B154" s="133" t="s">
        <v>655</v>
      </c>
      <c r="C154" s="134" t="s">
        <v>954</v>
      </c>
      <c r="D154" s="134">
        <f>+D155+D156</f>
        <v>6476312452</v>
      </c>
      <c r="E154" s="134">
        <f t="shared" ref="E154:P154" si="76">+E155+E156</f>
        <v>0</v>
      </c>
      <c r="F154" s="134">
        <f t="shared" si="76"/>
        <v>0</v>
      </c>
      <c r="G154" s="134">
        <f t="shared" si="76"/>
        <v>1159045114.1600001</v>
      </c>
      <c r="H154" s="134">
        <f t="shared" si="76"/>
        <v>57303855.310000002</v>
      </c>
      <c r="I154" s="134">
        <f t="shared" si="76"/>
        <v>0</v>
      </c>
      <c r="J154" s="134">
        <f t="shared" si="76"/>
        <v>0</v>
      </c>
      <c r="K154" s="134">
        <f t="shared" si="76"/>
        <v>0</v>
      </c>
      <c r="L154" s="134">
        <f t="shared" si="76"/>
        <v>2331810925.4899998</v>
      </c>
      <c r="M154" s="134">
        <f t="shared" si="76"/>
        <v>0</v>
      </c>
      <c r="N154" s="134">
        <f t="shared" si="76"/>
        <v>0</v>
      </c>
      <c r="O154" s="134">
        <f t="shared" si="76"/>
        <v>1468902026.3100002</v>
      </c>
      <c r="P154" s="134">
        <f t="shared" si="76"/>
        <v>0</v>
      </c>
      <c r="Q154" s="135">
        <f t="shared" si="71"/>
        <v>5017061921.2700005</v>
      </c>
      <c r="R154" s="135">
        <f t="shared" si="72"/>
        <v>1459250530.7299995</v>
      </c>
      <c r="S154" s="136">
        <f t="shared" si="73"/>
        <v>0.77467879421423569</v>
      </c>
      <c r="T154" s="136" t="e">
        <f t="shared" si="70"/>
        <v>#VALUE!</v>
      </c>
    </row>
    <row r="155" spans="1:20" x14ac:dyDescent="0.25">
      <c r="A155" s="133" t="s">
        <v>191</v>
      </c>
      <c r="B155" s="133" t="s">
        <v>190</v>
      </c>
      <c r="C155" s="137" t="s">
        <v>954</v>
      </c>
      <c r="D155" s="137">
        <v>6102192655</v>
      </c>
      <c r="E155" s="137">
        <f>+IFERROR(VLOOKUP(A155,Totalidad!$A$3:$M$356,2,FALSE), "No encontrado")</f>
        <v>0</v>
      </c>
      <c r="F155" s="137">
        <f>+IFERROR(VLOOKUP(A155,Totalidad!$A$3:$M$356,3,FALSE), "No encontrado")</f>
        <v>0</v>
      </c>
      <c r="G155" s="137">
        <f>+IFERROR(VLOOKUP(A155,Totalidad!$A$3:$M$356,4,FALSE), "No encontrado")</f>
        <v>1093999593.1500001</v>
      </c>
      <c r="H155" s="137">
        <f>+IFERROR(VLOOKUP(A155,Totalidad!$A$3:$M$356,5,FALSE), "No encontrado")</f>
        <v>57303855.310000002</v>
      </c>
      <c r="I155" s="137">
        <f>+IFERROR(VLOOKUP(A155,Totalidad!$A$3:$M$356,6,FALSE), "No encontrado")</f>
        <v>0</v>
      </c>
      <c r="J155" s="137">
        <f>+IFERROR(VLOOKUP(A155,Totalidad!$A$3:$M$356,7,FALSE), "No encontrado")</f>
        <v>0</v>
      </c>
      <c r="K155" s="137">
        <f>+IFERROR(VLOOKUP(A155,Totalidad!$A$3:$M$356,8,FALSE), "No encontrado")</f>
        <v>0</v>
      </c>
      <c r="L155" s="137">
        <f>+IFERROR(VLOOKUP(A155,Totalidad!$A$3:$M$356,9,FALSE), "No encontrado")</f>
        <v>2187100038.9699998</v>
      </c>
      <c r="M155" s="137">
        <f>+IFERROR(VLOOKUP(A155,Totalidad!$A$3:$M$356,10,FALSE), "No encontrado")</f>
        <v>0</v>
      </c>
      <c r="N155" s="137">
        <f>+IFERROR(VLOOKUP(A155,Totalidad!$A$3:$M$356,11,FALSE), "No encontrado")</f>
        <v>0</v>
      </c>
      <c r="O155" s="137">
        <f>+IFERROR(VLOOKUP(A155,Totalidad!$A$3:$M$356,12,FALSE), "No encontrado")</f>
        <v>1388287620.3900001</v>
      </c>
      <c r="P155" s="137">
        <f>+IFERROR(VLOOKUP(A155,Totalidad!$A$3:$M$356,13,FALSE), "No encontrado")</f>
        <v>0</v>
      </c>
      <c r="Q155" s="135">
        <f t="shared" si="71"/>
        <v>4726691107.8199997</v>
      </c>
      <c r="R155" s="135">
        <f t="shared" si="72"/>
        <v>1375501547.1800003</v>
      </c>
      <c r="S155" s="136">
        <f t="shared" si="73"/>
        <v>0.77458896745042205</v>
      </c>
      <c r="T155" s="136" t="e">
        <f t="shared" si="70"/>
        <v>#VALUE!</v>
      </c>
    </row>
    <row r="156" spans="1:20" x14ac:dyDescent="0.25">
      <c r="A156" s="133" t="s">
        <v>189</v>
      </c>
      <c r="B156" s="133" t="s">
        <v>188</v>
      </c>
      <c r="C156" s="137" t="s">
        <v>954</v>
      </c>
      <c r="D156" s="137">
        <v>374119797</v>
      </c>
      <c r="E156" s="137">
        <f>+IFERROR(VLOOKUP(A156,Totalidad!$A$3:$M$356,2,FALSE), "No encontrado")</f>
        <v>0</v>
      </c>
      <c r="F156" s="137">
        <f>+IFERROR(VLOOKUP(A156,Totalidad!$A$3:$M$356,3,FALSE), "No encontrado")</f>
        <v>0</v>
      </c>
      <c r="G156" s="137">
        <f>+IFERROR(VLOOKUP(A156,Totalidad!$A$3:$M$356,4,FALSE), "No encontrado")</f>
        <v>65045521.009999998</v>
      </c>
      <c r="H156" s="137">
        <f>+IFERROR(VLOOKUP(A156,Totalidad!$A$3:$M$356,5,FALSE), "No encontrado")</f>
        <v>0</v>
      </c>
      <c r="I156" s="137">
        <f>+IFERROR(VLOOKUP(A156,Totalidad!$A$3:$M$356,6,FALSE), "No encontrado")</f>
        <v>0</v>
      </c>
      <c r="J156" s="137">
        <f>+IFERROR(VLOOKUP(A156,Totalidad!$A$3:$M$356,7,FALSE), "No encontrado")</f>
        <v>0</v>
      </c>
      <c r="K156" s="137">
        <f>+IFERROR(VLOOKUP(A156,Totalidad!$A$3:$M$356,8,FALSE), "No encontrado")</f>
        <v>0</v>
      </c>
      <c r="L156" s="137">
        <f>+IFERROR(VLOOKUP(A156,Totalidad!$A$3:$M$356,9,FALSE), "No encontrado")</f>
        <v>144710886.52000001</v>
      </c>
      <c r="M156" s="137">
        <f>+IFERROR(VLOOKUP(A156,Totalidad!$A$3:$M$356,10,FALSE), "No encontrado")</f>
        <v>0</v>
      </c>
      <c r="N156" s="137">
        <f>+IFERROR(VLOOKUP(A156,Totalidad!$A$3:$M$356,11,FALSE), "No encontrado")</f>
        <v>0</v>
      </c>
      <c r="O156" s="137">
        <f>+IFERROR(VLOOKUP(A156,Totalidad!$A$3:$M$356,12,FALSE), "No encontrado")</f>
        <v>80614405.920000002</v>
      </c>
      <c r="P156" s="137">
        <f>+IFERROR(VLOOKUP(A156,Totalidad!$A$3:$M$356,13,FALSE), "No encontrado")</f>
        <v>0</v>
      </c>
      <c r="Q156" s="135">
        <f t="shared" si="71"/>
        <v>290370813.44999999</v>
      </c>
      <c r="R156" s="135">
        <f t="shared" si="72"/>
        <v>83748983.550000012</v>
      </c>
      <c r="S156" s="136">
        <f t="shared" si="73"/>
        <v>0.77614394046621382</v>
      </c>
      <c r="T156" s="136" t="e">
        <f t="shared" si="70"/>
        <v>#VALUE!</v>
      </c>
    </row>
    <row r="157" spans="1:20" x14ac:dyDescent="0.25">
      <c r="A157" s="133" t="s">
        <v>654</v>
      </c>
      <c r="B157" s="133" t="s">
        <v>180</v>
      </c>
      <c r="C157" s="134" t="s">
        <v>954</v>
      </c>
      <c r="D157" s="134">
        <f>+D158+D159+D160+D161</f>
        <v>783000000</v>
      </c>
      <c r="E157" s="134">
        <f t="shared" ref="E157:P157" si="77">+E158+E159+E160+E161</f>
        <v>1726070.5</v>
      </c>
      <c r="F157" s="134">
        <f t="shared" si="77"/>
        <v>2780125</v>
      </c>
      <c r="G157" s="134">
        <f t="shared" si="77"/>
        <v>496102736.44999999</v>
      </c>
      <c r="H157" s="134">
        <f t="shared" si="77"/>
        <v>7070800</v>
      </c>
      <c r="I157" s="134">
        <f t="shared" si="77"/>
        <v>4183126.63</v>
      </c>
      <c r="J157" s="134">
        <f t="shared" si="77"/>
        <v>11871472.75</v>
      </c>
      <c r="K157" s="134">
        <f t="shared" si="77"/>
        <v>3697555.5</v>
      </c>
      <c r="L157" s="134">
        <f t="shared" si="77"/>
        <v>992277.08</v>
      </c>
      <c r="M157" s="134">
        <f t="shared" si="77"/>
        <v>7939125.4000000004</v>
      </c>
      <c r="N157" s="134">
        <f t="shared" si="77"/>
        <v>5508624.5</v>
      </c>
      <c r="O157" s="134">
        <f t="shared" si="77"/>
        <v>20543517.23</v>
      </c>
      <c r="P157" s="134">
        <f t="shared" si="77"/>
        <v>11167243.5</v>
      </c>
      <c r="Q157" s="135">
        <f t="shared" si="71"/>
        <v>573582674.53999996</v>
      </c>
      <c r="R157" s="135">
        <f t="shared" si="72"/>
        <v>209417325.46000004</v>
      </c>
      <c r="S157" s="136">
        <f t="shared" si="73"/>
        <v>0.73254492278416339</v>
      </c>
      <c r="T157" s="136" t="e">
        <f t="shared" si="70"/>
        <v>#VALUE!</v>
      </c>
    </row>
    <row r="158" spans="1:20" x14ac:dyDescent="0.25">
      <c r="A158" s="133" t="s">
        <v>187</v>
      </c>
      <c r="B158" s="133" t="s">
        <v>186</v>
      </c>
      <c r="C158" s="137" t="s">
        <v>954</v>
      </c>
      <c r="D158" s="137">
        <v>23000000</v>
      </c>
      <c r="E158" s="137">
        <f>+IFERROR(VLOOKUP(A158,Totalidad!$A$3:$M$356,2,FALSE), "No encontrado")</f>
        <v>409000</v>
      </c>
      <c r="F158" s="137">
        <f>+IFERROR(VLOOKUP(A158,Totalidad!$A$3:$M$356,3,FALSE), "No encontrado")</f>
        <v>306000</v>
      </c>
      <c r="G158" s="137">
        <f>+IFERROR(VLOOKUP(A158,Totalidad!$A$3:$M$356,4,FALSE), "No encontrado")</f>
        <v>867000</v>
      </c>
      <c r="H158" s="137">
        <f>+IFERROR(VLOOKUP(A158,Totalidad!$A$3:$M$356,5,FALSE), "No encontrado")</f>
        <v>255000</v>
      </c>
      <c r="I158" s="137">
        <f>+IFERROR(VLOOKUP(A158,Totalidad!$A$3:$M$356,6,FALSE), "No encontrado")</f>
        <v>1737000</v>
      </c>
      <c r="J158" s="137">
        <f>+IFERROR(VLOOKUP(A158,Totalidad!$A$3:$M$356,7,FALSE), "No encontrado")</f>
        <v>1378000</v>
      </c>
      <c r="K158" s="137">
        <f>+IFERROR(VLOOKUP(A158,Totalidad!$A$3:$M$356,8,FALSE), "No encontrado")</f>
        <v>511000</v>
      </c>
      <c r="L158" s="137">
        <f>+IFERROR(VLOOKUP(A158,Totalidad!$A$3:$M$356,9,FALSE), "No encontrado")</f>
        <v>805777</v>
      </c>
      <c r="M158" s="137">
        <f>+IFERROR(VLOOKUP(A158,Totalidad!$A$3:$M$356,10,FALSE), "No encontrado")</f>
        <v>1381000</v>
      </c>
      <c r="N158" s="137">
        <f>+IFERROR(VLOOKUP(A158,Totalidad!$A$3:$M$356,11,FALSE), "No encontrado")</f>
        <v>2307000</v>
      </c>
      <c r="O158" s="137">
        <f>+IFERROR(VLOOKUP(A158,Totalidad!$A$3:$M$356,12,FALSE), "No encontrado")</f>
        <v>2259000</v>
      </c>
      <c r="P158" s="137">
        <f>+IFERROR(VLOOKUP(A158,Totalidad!$A$3:$M$356,13,FALSE), "No encontrado")</f>
        <v>2642000</v>
      </c>
      <c r="Q158" s="135">
        <f t="shared" si="71"/>
        <v>14857777</v>
      </c>
      <c r="R158" s="135">
        <f t="shared" si="72"/>
        <v>8142223</v>
      </c>
      <c r="S158" s="136">
        <f t="shared" si="73"/>
        <v>0.64599030434782612</v>
      </c>
      <c r="T158" s="136" t="e">
        <f t="shared" si="70"/>
        <v>#VALUE!</v>
      </c>
    </row>
    <row r="159" spans="1:20" x14ac:dyDescent="0.25">
      <c r="A159" s="133" t="s">
        <v>185</v>
      </c>
      <c r="B159" s="133" t="s">
        <v>184</v>
      </c>
      <c r="C159" s="137" t="s">
        <v>954</v>
      </c>
      <c r="D159" s="137">
        <v>50000000</v>
      </c>
      <c r="E159" s="137">
        <f>+IFERROR(VLOOKUP(A159,Totalidad!$A$3:$M$356,2,FALSE), "No encontrado")</f>
        <v>0</v>
      </c>
      <c r="F159" s="137">
        <f>+IFERROR(VLOOKUP(A159,Totalidad!$A$3:$M$356,3,FALSE), "No encontrado")</f>
        <v>0</v>
      </c>
      <c r="G159" s="137">
        <f>+IFERROR(VLOOKUP(A159,Totalidad!$A$3:$M$356,4,FALSE), "No encontrado")</f>
        <v>0</v>
      </c>
      <c r="H159" s="137">
        <f>+IFERROR(VLOOKUP(A159,Totalidad!$A$3:$M$356,5,FALSE), "No encontrado")</f>
        <v>4275000</v>
      </c>
      <c r="I159" s="137">
        <f>+IFERROR(VLOOKUP(A159,Totalidad!$A$3:$M$356,6,FALSE), "No encontrado")</f>
        <v>114783</v>
      </c>
      <c r="J159" s="137">
        <f>+IFERROR(VLOOKUP(A159,Totalidad!$A$3:$M$356,7,FALSE), "No encontrado")</f>
        <v>10225700</v>
      </c>
      <c r="K159" s="137">
        <f>+IFERROR(VLOOKUP(A159,Totalidad!$A$3:$M$356,8,FALSE), "No encontrado")</f>
        <v>740000</v>
      </c>
      <c r="L159" s="137">
        <f>+IFERROR(VLOOKUP(A159,Totalidad!$A$3:$M$356,9,FALSE), "No encontrado")</f>
        <v>166500</v>
      </c>
      <c r="M159" s="137">
        <f>+IFERROR(VLOOKUP(A159,Totalidad!$A$3:$M$356,10,FALSE), "No encontrado")</f>
        <v>3795000</v>
      </c>
      <c r="N159" s="137">
        <f>+IFERROR(VLOOKUP(A159,Totalidad!$A$3:$M$356,11,FALSE), "No encontrado")</f>
        <v>13000</v>
      </c>
      <c r="O159" s="137">
        <f>+IFERROR(VLOOKUP(A159,Totalidad!$A$3:$M$356,12,FALSE), "No encontrado")</f>
        <v>5440000</v>
      </c>
      <c r="P159" s="137">
        <f>+IFERROR(VLOOKUP(A159,Totalidad!$A$3:$M$356,13,FALSE), "No encontrado")</f>
        <v>1879000</v>
      </c>
      <c r="Q159" s="135">
        <f t="shared" si="71"/>
        <v>26648983</v>
      </c>
      <c r="R159" s="135">
        <f t="shared" si="72"/>
        <v>23351017</v>
      </c>
      <c r="S159" s="136">
        <f t="shared" si="73"/>
        <v>0.53297965999999997</v>
      </c>
      <c r="T159" s="136" t="e">
        <f t="shared" si="70"/>
        <v>#VALUE!</v>
      </c>
    </row>
    <row r="160" spans="1:20" x14ac:dyDescent="0.25">
      <c r="A160" s="133" t="s">
        <v>183</v>
      </c>
      <c r="B160" s="133" t="s">
        <v>182</v>
      </c>
      <c r="C160" s="137" t="s">
        <v>954</v>
      </c>
      <c r="D160" s="137">
        <v>708000000</v>
      </c>
      <c r="E160" s="137">
        <f>+IFERROR(VLOOKUP(A160,Totalidad!$A$3:$M$356,2,FALSE), "No encontrado")</f>
        <v>1293000</v>
      </c>
      <c r="F160" s="137">
        <f>+IFERROR(VLOOKUP(A160,Totalidad!$A$3:$M$356,3,FALSE), "No encontrado")</f>
        <v>0</v>
      </c>
      <c r="G160" s="137">
        <f>+IFERROR(VLOOKUP(A160,Totalidad!$A$3:$M$356,4,FALSE), "No encontrado")</f>
        <v>493284961.44999999</v>
      </c>
      <c r="H160" s="137">
        <f>+IFERROR(VLOOKUP(A160,Totalidad!$A$3:$M$356,5,FALSE), "No encontrado")</f>
        <v>0</v>
      </c>
      <c r="I160" s="137">
        <f>+IFERROR(VLOOKUP(A160,Totalidad!$A$3:$M$356,6,FALSE), "No encontrado")</f>
        <v>0</v>
      </c>
      <c r="J160" s="137">
        <f>+IFERROR(VLOOKUP(A160,Totalidad!$A$3:$M$356,7,FALSE), "No encontrado")</f>
        <v>0</v>
      </c>
      <c r="K160" s="137">
        <f>+IFERROR(VLOOKUP(A160,Totalidad!$A$3:$M$356,8,FALSE), "No encontrado")</f>
        <v>313125</v>
      </c>
      <c r="L160" s="137">
        <f>+IFERROR(VLOOKUP(A160,Totalidad!$A$3:$M$356,9,FALSE), "No encontrado")</f>
        <v>0</v>
      </c>
      <c r="M160" s="137">
        <f>+IFERROR(VLOOKUP(A160,Totalidad!$A$3:$M$356,10,FALSE), "No encontrado")</f>
        <v>0</v>
      </c>
      <c r="N160" s="137">
        <f>+IFERROR(VLOOKUP(A160,Totalidad!$A$3:$M$356,11,FALSE), "No encontrado")</f>
        <v>0</v>
      </c>
      <c r="O160" s="137">
        <f>+IFERROR(VLOOKUP(A160,Totalidad!$A$3:$M$356,12,FALSE), "No encontrado")</f>
        <v>6458655.9800000004</v>
      </c>
      <c r="P160" s="137">
        <f>+IFERROR(VLOOKUP(A160,Totalidad!$A$3:$M$356,13,FALSE), "No encontrado")</f>
        <v>2677200</v>
      </c>
      <c r="Q160" s="135">
        <f t="shared" si="71"/>
        <v>504026942.43000001</v>
      </c>
      <c r="R160" s="135">
        <f t="shared" si="72"/>
        <v>203973057.56999999</v>
      </c>
      <c r="S160" s="136">
        <f t="shared" si="73"/>
        <v>0.71190246105932209</v>
      </c>
      <c r="T160" s="136" t="e">
        <f t="shared" si="70"/>
        <v>#VALUE!</v>
      </c>
    </row>
    <row r="161" spans="1:20" x14ac:dyDescent="0.25">
      <c r="A161" s="133" t="s">
        <v>181</v>
      </c>
      <c r="B161" s="133" t="s">
        <v>179</v>
      </c>
      <c r="C161" s="137" t="s">
        <v>954</v>
      </c>
      <c r="D161" s="137">
        <v>2000000</v>
      </c>
      <c r="E161" s="137">
        <f>+IFERROR(VLOOKUP(A161,Totalidad!$A$3:$M$356,2,FALSE), "No encontrado")</f>
        <v>24070.5</v>
      </c>
      <c r="F161" s="137">
        <f>+IFERROR(VLOOKUP(A161,Totalidad!$A$3:$M$356,3,FALSE), "No encontrado")</f>
        <v>2474125</v>
      </c>
      <c r="G161" s="137">
        <f>+IFERROR(VLOOKUP(A161,Totalidad!$A$3:$M$356,4,FALSE), "No encontrado")</f>
        <v>1950775</v>
      </c>
      <c r="H161" s="137">
        <f>+IFERROR(VLOOKUP(A161,Totalidad!$A$3:$M$356,5,FALSE), "No encontrado")</f>
        <v>2540800</v>
      </c>
      <c r="I161" s="137">
        <f>+IFERROR(VLOOKUP(A161,Totalidad!$A$3:$M$356,6,FALSE), "No encontrado")</f>
        <v>2331343.63</v>
      </c>
      <c r="J161" s="137">
        <f>+IFERROR(VLOOKUP(A161,Totalidad!$A$3:$M$356,7,FALSE), "No encontrado")</f>
        <v>267772.75</v>
      </c>
      <c r="K161" s="137">
        <f>+IFERROR(VLOOKUP(A161,Totalidad!$A$3:$M$356,8,FALSE), "No encontrado")</f>
        <v>2133430.5</v>
      </c>
      <c r="L161" s="137">
        <f>+IFERROR(VLOOKUP(A161,Totalidad!$A$3:$M$356,9,FALSE), "No encontrado")</f>
        <v>20000.080000000002</v>
      </c>
      <c r="M161" s="137">
        <f>+IFERROR(VLOOKUP(A161,Totalidad!$A$3:$M$356,10,FALSE), "No encontrado")</f>
        <v>2763125.4</v>
      </c>
      <c r="N161" s="137">
        <f>+IFERROR(VLOOKUP(A161,Totalidad!$A$3:$M$356,11,FALSE), "No encontrado")</f>
        <v>3188624.5</v>
      </c>
      <c r="O161" s="137">
        <f>+IFERROR(VLOOKUP(A161,Totalidad!$A$3:$M$356,12,FALSE), "No encontrado")</f>
        <v>6385861.25</v>
      </c>
      <c r="P161" s="137">
        <f>+IFERROR(VLOOKUP(A161,Totalidad!$A$3:$M$356,13,FALSE), "No encontrado")</f>
        <v>3969043.5</v>
      </c>
      <c r="Q161" s="135">
        <f t="shared" si="71"/>
        <v>28048972.109999999</v>
      </c>
      <c r="R161" s="135">
        <f t="shared" si="72"/>
        <v>-26048972.109999999</v>
      </c>
      <c r="S161" s="136">
        <f t="shared" si="73"/>
        <v>14.024486055000001</v>
      </c>
      <c r="T161" s="136" t="e">
        <f t="shared" si="70"/>
        <v>#VALUE!</v>
      </c>
    </row>
    <row r="162" spans="1:20" x14ac:dyDescent="0.25">
      <c r="A162" s="133" t="s">
        <v>653</v>
      </c>
      <c r="B162" s="133" t="s">
        <v>652</v>
      </c>
      <c r="C162" s="134">
        <f>+C163+C165</f>
        <v>18969000000</v>
      </c>
      <c r="D162" s="134">
        <f>+D163+D165</f>
        <v>24191000000</v>
      </c>
      <c r="E162" s="134">
        <f t="shared" ref="E162:P162" si="78">+E163+E165</f>
        <v>13457550.32</v>
      </c>
      <c r="F162" s="134">
        <f t="shared" si="78"/>
        <v>10170504.17</v>
      </c>
      <c r="G162" s="134">
        <f t="shared" si="78"/>
        <v>19182758504.32</v>
      </c>
      <c r="H162" s="134">
        <f t="shared" si="78"/>
        <v>-550052516.88</v>
      </c>
      <c r="I162" s="134">
        <f t="shared" si="78"/>
        <v>116075651.16</v>
      </c>
      <c r="J162" s="134">
        <f t="shared" si="78"/>
        <v>13395421.130000001</v>
      </c>
      <c r="K162" s="134">
        <f t="shared" si="78"/>
        <v>17355937.68</v>
      </c>
      <c r="L162" s="134">
        <f t="shared" si="78"/>
        <v>9828882.8200000003</v>
      </c>
      <c r="M162" s="134">
        <f t="shared" si="78"/>
        <v>12752631.359999999</v>
      </c>
      <c r="N162" s="134">
        <f t="shared" si="78"/>
        <v>4772296.49</v>
      </c>
      <c r="O162" s="134">
        <f t="shared" si="78"/>
        <v>6434100.2999999998</v>
      </c>
      <c r="P162" s="134">
        <f t="shared" si="78"/>
        <v>50230600.280000001</v>
      </c>
      <c r="Q162" s="135">
        <f t="shared" si="71"/>
        <v>18887179563.150002</v>
      </c>
      <c r="R162" s="135">
        <f t="shared" si="72"/>
        <v>5303820436.8499985</v>
      </c>
      <c r="S162" s="136">
        <f t="shared" si="73"/>
        <v>0.78075232785540083</v>
      </c>
      <c r="T162" s="136">
        <f t="shared" si="70"/>
        <v>0.99568662360430182</v>
      </c>
    </row>
    <row r="163" spans="1:20" x14ac:dyDescent="0.25">
      <c r="A163" s="133" t="s">
        <v>651</v>
      </c>
      <c r="B163" s="133" t="s">
        <v>650</v>
      </c>
      <c r="C163" s="134">
        <f>+C164</f>
        <v>18599000000</v>
      </c>
      <c r="D163" s="134">
        <f>+D164</f>
        <v>24032000000</v>
      </c>
      <c r="E163" s="134">
        <f t="shared" ref="E163:P163" si="79">+E164</f>
        <v>0</v>
      </c>
      <c r="F163" s="134">
        <f t="shared" si="79"/>
        <v>0</v>
      </c>
      <c r="G163" s="134">
        <f t="shared" si="79"/>
        <v>19100590949.060001</v>
      </c>
      <c r="H163" s="134">
        <f t="shared" si="79"/>
        <v>-501505722.67000002</v>
      </c>
      <c r="I163" s="134">
        <f t="shared" si="79"/>
        <v>0</v>
      </c>
      <c r="J163" s="134">
        <f t="shared" si="79"/>
        <v>0</v>
      </c>
      <c r="K163" s="134">
        <f t="shared" si="79"/>
        <v>0</v>
      </c>
      <c r="L163" s="134">
        <f t="shared" si="79"/>
        <v>0</v>
      </c>
      <c r="M163" s="134">
        <f t="shared" si="79"/>
        <v>0</v>
      </c>
      <c r="N163" s="134">
        <f t="shared" si="79"/>
        <v>0</v>
      </c>
      <c r="O163" s="134">
        <f t="shared" si="79"/>
        <v>0</v>
      </c>
      <c r="P163" s="134">
        <f t="shared" si="79"/>
        <v>0</v>
      </c>
      <c r="Q163" s="135">
        <f t="shared" si="71"/>
        <v>18599085226.390003</v>
      </c>
      <c r="R163" s="135">
        <f t="shared" si="72"/>
        <v>5432914773.6099968</v>
      </c>
      <c r="S163" s="136">
        <f t="shared" si="73"/>
        <v>0.77392997779585571</v>
      </c>
      <c r="T163" s="136">
        <f t="shared" si="70"/>
        <v>1.0000045823103394</v>
      </c>
    </row>
    <row r="164" spans="1:20" x14ac:dyDescent="0.25">
      <c r="A164" s="133" t="s">
        <v>178</v>
      </c>
      <c r="B164" s="133" t="s">
        <v>177</v>
      </c>
      <c r="C164" s="137">
        <v>18599000000</v>
      </c>
      <c r="D164" s="137">
        <v>24032000000</v>
      </c>
      <c r="E164" s="137">
        <f>+IFERROR(VLOOKUP(A164,Totalidad!$A$3:$M$356,2,FALSE), "No encontrado")</f>
        <v>0</v>
      </c>
      <c r="F164" s="137">
        <f>+IFERROR(VLOOKUP(A164,Totalidad!$A$3:$M$356,3,FALSE), "No encontrado")</f>
        <v>0</v>
      </c>
      <c r="G164" s="137">
        <f>+IFERROR(VLOOKUP(A164,Totalidad!$A$3:$M$356,4,FALSE), "No encontrado")</f>
        <v>19100590949.060001</v>
      </c>
      <c r="H164" s="137">
        <f>+IFERROR(VLOOKUP(A164,Totalidad!$A$3:$M$356,5,FALSE), "No encontrado")</f>
        <v>-501505722.67000002</v>
      </c>
      <c r="I164" s="137">
        <f>+IFERROR(VLOOKUP(A164,Totalidad!$A$3:$M$356,6,FALSE), "No encontrado")</f>
        <v>0</v>
      </c>
      <c r="J164" s="137">
        <f>+IFERROR(VLOOKUP(A164,Totalidad!$A$3:$M$356,7,FALSE), "No encontrado")</f>
        <v>0</v>
      </c>
      <c r="K164" s="137">
        <f>+IFERROR(VLOOKUP(A164,Totalidad!$A$3:$M$356,8,FALSE), "No encontrado")</f>
        <v>0</v>
      </c>
      <c r="L164" s="137">
        <f>+IFERROR(VLOOKUP(A164,Totalidad!$A$3:$M$356,9,FALSE), "No encontrado")</f>
        <v>0</v>
      </c>
      <c r="M164" s="137">
        <f>+IFERROR(VLOOKUP(A164,Totalidad!$A$3:$M$356,10,FALSE), "No encontrado")</f>
        <v>0</v>
      </c>
      <c r="N164" s="137">
        <f>+IFERROR(VLOOKUP(A164,Totalidad!$A$3:$M$356,11,FALSE), "No encontrado")</f>
        <v>0</v>
      </c>
      <c r="O164" s="137">
        <f>+IFERROR(VLOOKUP(A164,Totalidad!$A$3:$M$356,12,FALSE), "No encontrado")</f>
        <v>0</v>
      </c>
      <c r="P164" s="137">
        <f>+IFERROR(VLOOKUP(A164,Totalidad!$A$3:$M$356,13,FALSE), "No encontrado")</f>
        <v>0</v>
      </c>
      <c r="Q164" s="135">
        <f t="shared" si="71"/>
        <v>18599085226.390003</v>
      </c>
      <c r="R164" s="135">
        <f t="shared" si="72"/>
        <v>5432914773.6099968</v>
      </c>
      <c r="S164" s="136">
        <f t="shared" si="73"/>
        <v>0.77392997779585571</v>
      </c>
      <c r="T164" s="136">
        <f t="shared" si="70"/>
        <v>1.0000045823103394</v>
      </c>
    </row>
    <row r="165" spans="1:20" x14ac:dyDescent="0.25">
      <c r="A165" s="133" t="s">
        <v>649</v>
      </c>
      <c r="B165" s="133" t="s">
        <v>648</v>
      </c>
      <c r="C165" s="134">
        <v>370000000</v>
      </c>
      <c r="D165" s="134">
        <f>+D166</f>
        <v>159000000</v>
      </c>
      <c r="E165" s="134">
        <f t="shared" ref="E165:P166" si="80">+E166</f>
        <v>13457550.32</v>
      </c>
      <c r="F165" s="134">
        <f t="shared" si="80"/>
        <v>10170504.17</v>
      </c>
      <c r="G165" s="134">
        <f t="shared" si="80"/>
        <v>82167555.260000005</v>
      </c>
      <c r="H165" s="134">
        <f t="shared" si="80"/>
        <v>-48546794.210000001</v>
      </c>
      <c r="I165" s="134">
        <f t="shared" si="80"/>
        <v>116075651.16</v>
      </c>
      <c r="J165" s="134">
        <f t="shared" si="80"/>
        <v>13395421.130000001</v>
      </c>
      <c r="K165" s="134">
        <f t="shared" si="80"/>
        <v>17355937.68</v>
      </c>
      <c r="L165" s="134">
        <f t="shared" si="80"/>
        <v>9828882.8200000003</v>
      </c>
      <c r="M165" s="134">
        <f t="shared" si="80"/>
        <v>12752631.359999999</v>
      </c>
      <c r="N165" s="134">
        <f t="shared" si="80"/>
        <v>4772296.49</v>
      </c>
      <c r="O165" s="134">
        <f t="shared" si="80"/>
        <v>6434100.2999999998</v>
      </c>
      <c r="P165" s="134">
        <f t="shared" si="80"/>
        <v>50230600.280000001</v>
      </c>
      <c r="Q165" s="135">
        <f t="shared" si="71"/>
        <v>288094336.75999999</v>
      </c>
      <c r="R165" s="135">
        <f t="shared" si="72"/>
        <v>-129094336.75999999</v>
      </c>
      <c r="S165" s="136">
        <f t="shared" si="73"/>
        <v>1.8119140676729559</v>
      </c>
      <c r="T165" s="136">
        <f t="shared" si="70"/>
        <v>0.7786333425945946</v>
      </c>
    </row>
    <row r="166" spans="1:20" x14ac:dyDescent="0.25">
      <c r="A166" s="133" t="s">
        <v>643</v>
      </c>
      <c r="B166" s="133" t="s">
        <v>642</v>
      </c>
      <c r="C166" s="134" t="s">
        <v>954</v>
      </c>
      <c r="D166" s="134">
        <f>+D167</f>
        <v>159000000</v>
      </c>
      <c r="E166" s="134">
        <f t="shared" si="80"/>
        <v>13457550.32</v>
      </c>
      <c r="F166" s="134">
        <f t="shared" si="80"/>
        <v>10170504.17</v>
      </c>
      <c r="G166" s="134">
        <f t="shared" si="80"/>
        <v>82167555.260000005</v>
      </c>
      <c r="H166" s="134">
        <f t="shared" si="80"/>
        <v>-48546794.210000001</v>
      </c>
      <c r="I166" s="134">
        <f t="shared" si="80"/>
        <v>116075651.16</v>
      </c>
      <c r="J166" s="134">
        <f t="shared" si="80"/>
        <v>13395421.130000001</v>
      </c>
      <c r="K166" s="134">
        <f t="shared" si="80"/>
        <v>17355937.68</v>
      </c>
      <c r="L166" s="134">
        <f t="shared" si="80"/>
        <v>9828882.8200000003</v>
      </c>
      <c r="M166" s="134">
        <f t="shared" si="80"/>
        <v>12752631.359999999</v>
      </c>
      <c r="N166" s="134">
        <f t="shared" si="80"/>
        <v>4772296.49</v>
      </c>
      <c r="O166" s="134">
        <f t="shared" si="80"/>
        <v>6434100.2999999998</v>
      </c>
      <c r="P166" s="134">
        <f t="shared" si="80"/>
        <v>50230600.280000001</v>
      </c>
      <c r="Q166" s="135">
        <f t="shared" si="71"/>
        <v>288094336.75999999</v>
      </c>
      <c r="R166" s="135">
        <f t="shared" si="72"/>
        <v>-129094336.75999999</v>
      </c>
      <c r="S166" s="136">
        <f t="shared" si="73"/>
        <v>1.8119140676729559</v>
      </c>
      <c r="T166" s="136" t="e">
        <f t="shared" si="70"/>
        <v>#VALUE!</v>
      </c>
    </row>
    <row r="167" spans="1:20" x14ac:dyDescent="0.25">
      <c r="A167" s="133" t="s">
        <v>176</v>
      </c>
      <c r="B167" s="133" t="s">
        <v>1227</v>
      </c>
      <c r="C167" s="137" t="s">
        <v>954</v>
      </c>
      <c r="D167" s="137">
        <v>159000000</v>
      </c>
      <c r="E167" s="137">
        <f>+IFERROR(VLOOKUP(A167,Totalidad!$A$3:$M$356,2,FALSE), "No encontrado")</f>
        <v>13457550.32</v>
      </c>
      <c r="F167" s="137">
        <f>+IFERROR(VLOOKUP(A167,Totalidad!$A$3:$M$356,3,FALSE), "No encontrado")</f>
        <v>10170504.17</v>
      </c>
      <c r="G167" s="137">
        <f>+IFERROR(VLOOKUP(A167,Totalidad!$A$3:$M$356,4,FALSE), "No encontrado")</f>
        <v>82167555.260000005</v>
      </c>
      <c r="H167" s="137">
        <f>+IFERROR(VLOOKUP(A167,Totalidad!$A$3:$M$356,5,FALSE), "No encontrado")</f>
        <v>-48546794.210000001</v>
      </c>
      <c r="I167" s="137">
        <f>+IFERROR(VLOOKUP(A167,Totalidad!$A$3:$M$356,6,FALSE), "No encontrado")</f>
        <v>116075651.16</v>
      </c>
      <c r="J167" s="137">
        <f>+IFERROR(VLOOKUP(A167,Totalidad!$A$3:$M$356,7,FALSE), "No encontrado")</f>
        <v>13395421.130000001</v>
      </c>
      <c r="K167" s="137">
        <f>+IFERROR(VLOOKUP(A167,Totalidad!$A$3:$M$356,8,FALSE), "No encontrado")</f>
        <v>17355937.68</v>
      </c>
      <c r="L167" s="137">
        <f>+IFERROR(VLOOKUP(A167,Totalidad!$A$3:$M$356,9,FALSE), "No encontrado")</f>
        <v>9828882.8200000003</v>
      </c>
      <c r="M167" s="137">
        <f>+IFERROR(VLOOKUP(A167,Totalidad!$A$3:$M$356,10,FALSE), "No encontrado")</f>
        <v>12752631.359999999</v>
      </c>
      <c r="N167" s="137">
        <f>+IFERROR(VLOOKUP(A167,Totalidad!$A$3:$M$356,11,FALSE), "No encontrado")</f>
        <v>4772296.49</v>
      </c>
      <c r="O167" s="137">
        <f>+IFERROR(VLOOKUP(A167,Totalidad!$A$3:$M$356,12,FALSE), "No encontrado")</f>
        <v>6434100.2999999998</v>
      </c>
      <c r="P167" s="137">
        <f>+IFERROR(VLOOKUP(A167,Totalidad!$A$3:$M$356,13,FALSE), "No encontrado")</f>
        <v>50230600.280000001</v>
      </c>
      <c r="Q167" s="135">
        <f t="shared" si="71"/>
        <v>288094336.75999999</v>
      </c>
      <c r="R167" s="135">
        <f t="shared" si="72"/>
        <v>-129094336.75999999</v>
      </c>
      <c r="S167" s="136">
        <f t="shared" si="73"/>
        <v>1.8119140676729559</v>
      </c>
      <c r="T167" s="136" t="e">
        <f t="shared" si="70"/>
        <v>#VALUE!</v>
      </c>
    </row>
    <row r="168" spans="1:20" x14ac:dyDescent="0.25">
      <c r="A168" s="133" t="s">
        <v>641</v>
      </c>
      <c r="B168" s="133" t="s">
        <v>1228</v>
      </c>
      <c r="C168" s="134">
        <v>26025000000</v>
      </c>
      <c r="D168" s="134">
        <f>+D169+D184</f>
        <v>11857000000</v>
      </c>
      <c r="E168" s="134">
        <f t="shared" ref="E168:P168" si="81">+E169+E184</f>
        <v>7312428962.0799999</v>
      </c>
      <c r="F168" s="134">
        <f t="shared" si="81"/>
        <v>2190343451.3600001</v>
      </c>
      <c r="G168" s="134">
        <f t="shared" si="81"/>
        <v>3432850149.2800002</v>
      </c>
      <c r="H168" s="134">
        <f t="shared" si="81"/>
        <v>855399278.3599999</v>
      </c>
      <c r="I168" s="134">
        <f t="shared" si="81"/>
        <v>1166834201.8099997</v>
      </c>
      <c r="J168" s="134">
        <f t="shared" si="81"/>
        <v>1112349508.3499999</v>
      </c>
      <c r="K168" s="134">
        <f t="shared" si="81"/>
        <v>1507114190.1700001</v>
      </c>
      <c r="L168" s="134">
        <f t="shared" si="81"/>
        <v>1263431423.3</v>
      </c>
      <c r="M168" s="134">
        <f t="shared" si="81"/>
        <v>1062269718.8700001</v>
      </c>
      <c r="N168" s="134">
        <f t="shared" si="81"/>
        <v>1248485625.9400003</v>
      </c>
      <c r="O168" s="134">
        <f t="shared" si="81"/>
        <v>1105431770.6499999</v>
      </c>
      <c r="P168" s="134">
        <f t="shared" si="81"/>
        <v>1331924563.0600002</v>
      </c>
      <c r="Q168" s="135">
        <f t="shared" si="71"/>
        <v>23588862843.230003</v>
      </c>
      <c r="R168" s="135">
        <f t="shared" si="72"/>
        <v>-11731862843.230003</v>
      </c>
      <c r="S168" s="136">
        <f t="shared" si="73"/>
        <v>1.9894461367318885</v>
      </c>
      <c r="T168" s="136">
        <f t="shared" si="70"/>
        <v>0.90639242433160438</v>
      </c>
    </row>
    <row r="169" spans="1:20" x14ac:dyDescent="0.25">
      <c r="A169" s="133" t="s">
        <v>639</v>
      </c>
      <c r="B169" s="133" t="s">
        <v>638</v>
      </c>
      <c r="C169" s="134" t="s">
        <v>954</v>
      </c>
      <c r="D169" s="134">
        <f>+D170+D171+D174+D177</f>
        <v>11795000000</v>
      </c>
      <c r="E169" s="134">
        <f t="shared" ref="E169:P169" si="82">+E170+E171+E174+E177</f>
        <v>7312204242.0799999</v>
      </c>
      <c r="F169" s="134">
        <f t="shared" si="82"/>
        <v>2190343451.3600001</v>
      </c>
      <c r="G169" s="134">
        <f t="shared" si="82"/>
        <v>3432850149.2800002</v>
      </c>
      <c r="H169" s="134">
        <f t="shared" si="82"/>
        <v>855399278.3599999</v>
      </c>
      <c r="I169" s="134">
        <f t="shared" si="82"/>
        <v>1166832708.8099997</v>
      </c>
      <c r="J169" s="134">
        <f t="shared" si="82"/>
        <v>1099531572.77</v>
      </c>
      <c r="K169" s="134">
        <f t="shared" si="82"/>
        <v>1507021322.1700001</v>
      </c>
      <c r="L169" s="134">
        <f t="shared" si="82"/>
        <v>1252771358.51</v>
      </c>
      <c r="M169" s="134">
        <f t="shared" si="82"/>
        <v>1059967257.7600001</v>
      </c>
      <c r="N169" s="134">
        <f t="shared" si="82"/>
        <v>1223738008.7900002</v>
      </c>
      <c r="O169" s="134">
        <f t="shared" si="82"/>
        <v>1081010370.78</v>
      </c>
      <c r="P169" s="134">
        <f t="shared" si="82"/>
        <v>1327033886.7900002</v>
      </c>
      <c r="Q169" s="135">
        <f t="shared" si="71"/>
        <v>23508703607.459999</v>
      </c>
      <c r="R169" s="135">
        <f t="shared" si="72"/>
        <v>-11713703607.459999</v>
      </c>
      <c r="S169" s="136">
        <f t="shared" si="73"/>
        <v>1.9931075546807968</v>
      </c>
      <c r="T169" s="136" t="e">
        <f t="shared" si="70"/>
        <v>#VALUE!</v>
      </c>
    </row>
    <row r="170" spans="1:20" x14ac:dyDescent="0.25">
      <c r="A170" s="133" t="s">
        <v>174</v>
      </c>
      <c r="B170" s="133" t="s">
        <v>173</v>
      </c>
      <c r="C170" s="137" t="s">
        <v>954</v>
      </c>
      <c r="D170" s="140">
        <v>400000000</v>
      </c>
      <c r="E170" s="137">
        <f>+IFERROR(VLOOKUP(A170,Totalidad!$A$3:$M$356,2,FALSE), "No encontrado")</f>
        <v>0</v>
      </c>
      <c r="F170" s="137">
        <f>+IFERROR(VLOOKUP(A170,Totalidad!$A$3:$M$356,3,FALSE), "No encontrado")</f>
        <v>0</v>
      </c>
      <c r="G170" s="137">
        <f>+IFERROR(VLOOKUP(A170,Totalidad!$A$3:$M$356,4,FALSE), "No encontrado")</f>
        <v>26456272.66</v>
      </c>
      <c r="H170" s="137">
        <f>+IFERROR(VLOOKUP(A170,Totalidad!$A$3:$M$356,5,FALSE), "No encontrado")</f>
        <v>0</v>
      </c>
      <c r="I170" s="137">
        <f>+IFERROR(VLOOKUP(A170,Totalidad!$A$3:$M$356,6,FALSE), "No encontrado")</f>
        <v>0</v>
      </c>
      <c r="J170" s="137">
        <f>+IFERROR(VLOOKUP(A170,Totalidad!$A$3:$M$356,7,FALSE), "No encontrado")</f>
        <v>0</v>
      </c>
      <c r="K170" s="137">
        <f>+IFERROR(VLOOKUP(A170,Totalidad!$A$3:$M$356,8,FALSE), "No encontrado")</f>
        <v>165163363.94999999</v>
      </c>
      <c r="L170" s="137">
        <f>+IFERROR(VLOOKUP(A170,Totalidad!$A$3:$M$356,9,FALSE), "No encontrado")</f>
        <v>0</v>
      </c>
      <c r="M170" s="137">
        <f>+IFERROR(VLOOKUP(A170,Totalidad!$A$3:$M$356,10,FALSE), "No encontrado")</f>
        <v>0</v>
      </c>
      <c r="N170" s="137">
        <f>+IFERROR(VLOOKUP(A170,Totalidad!$A$3:$M$356,11,FALSE), "No encontrado")</f>
        <v>0</v>
      </c>
      <c r="O170" s="137">
        <f>+IFERROR(VLOOKUP(A170,Totalidad!$A$3:$M$356,12,FALSE), "No encontrado")</f>
        <v>30446.17</v>
      </c>
      <c r="P170" s="137">
        <f>+IFERROR(VLOOKUP(A170,Totalidad!$A$3:$M$356,13,FALSE), "No encontrado")</f>
        <v>119042649.31999999</v>
      </c>
      <c r="Q170" s="135">
        <f t="shared" si="71"/>
        <v>310692732.09999996</v>
      </c>
      <c r="R170" s="135">
        <f t="shared" si="72"/>
        <v>89307267.900000036</v>
      </c>
      <c r="S170" s="136">
        <f t="shared" si="73"/>
        <v>0.77673183024999992</v>
      </c>
      <c r="T170" s="136" t="e">
        <f t="shared" si="70"/>
        <v>#VALUE!</v>
      </c>
    </row>
    <row r="171" spans="1:20" x14ac:dyDescent="0.25">
      <c r="A171" s="133" t="s">
        <v>637</v>
      </c>
      <c r="B171" s="133" t="s">
        <v>169</v>
      </c>
      <c r="C171" s="134" t="s">
        <v>954</v>
      </c>
      <c r="D171" s="134">
        <f>+D172+D173</f>
        <v>6290000000</v>
      </c>
      <c r="E171" s="134">
        <f t="shared" ref="E171:P171" si="83">+E172+E173</f>
        <v>810332190.96000004</v>
      </c>
      <c r="F171" s="134">
        <f t="shared" si="83"/>
        <v>2087728284.0899999</v>
      </c>
      <c r="G171" s="134">
        <f t="shared" si="83"/>
        <v>1335844397.97</v>
      </c>
      <c r="H171" s="134">
        <f t="shared" si="83"/>
        <v>518877899.66999996</v>
      </c>
      <c r="I171" s="134">
        <f t="shared" si="83"/>
        <v>501613395.88999999</v>
      </c>
      <c r="J171" s="134">
        <f t="shared" si="83"/>
        <v>559132699.53999996</v>
      </c>
      <c r="K171" s="134">
        <f t="shared" si="83"/>
        <v>885753688.28999996</v>
      </c>
      <c r="L171" s="134">
        <f t="shared" si="83"/>
        <v>574142166.06999993</v>
      </c>
      <c r="M171" s="134">
        <f t="shared" si="83"/>
        <v>327503242.55000001</v>
      </c>
      <c r="N171" s="134">
        <f t="shared" si="83"/>
        <v>520634013.38</v>
      </c>
      <c r="O171" s="134">
        <f t="shared" si="83"/>
        <v>634037754.26999998</v>
      </c>
      <c r="P171" s="134">
        <f t="shared" si="83"/>
        <v>839156234.58000004</v>
      </c>
      <c r="Q171" s="135">
        <f t="shared" si="71"/>
        <v>9594755967.2600002</v>
      </c>
      <c r="R171" s="135">
        <f t="shared" si="72"/>
        <v>-3304755967.2600002</v>
      </c>
      <c r="S171" s="136">
        <f t="shared" si="73"/>
        <v>1.5253984049697933</v>
      </c>
      <c r="T171" s="136" t="e">
        <f t="shared" si="70"/>
        <v>#VALUE!</v>
      </c>
    </row>
    <row r="172" spans="1:20" x14ac:dyDescent="0.25">
      <c r="A172" s="133" t="s">
        <v>172</v>
      </c>
      <c r="B172" s="133" t="s">
        <v>171</v>
      </c>
      <c r="C172" s="137" t="s">
        <v>954</v>
      </c>
      <c r="D172" s="137">
        <v>5495000000</v>
      </c>
      <c r="E172" s="137">
        <f>+IFERROR(VLOOKUP(A172,Totalidad!$A$3:$M$356,2,FALSE), "No encontrado")</f>
        <v>678312190</v>
      </c>
      <c r="F172" s="137">
        <f>+IFERROR(VLOOKUP(A172,Totalidad!$A$3:$M$356,3,FALSE), "No encontrado")</f>
        <v>1905138306</v>
      </c>
      <c r="G172" s="137">
        <f>+IFERROR(VLOOKUP(A172,Totalidad!$A$3:$M$356,4,FALSE), "No encontrado")</f>
        <v>1158275275</v>
      </c>
      <c r="H172" s="137">
        <f>+IFERROR(VLOOKUP(A172,Totalidad!$A$3:$M$356,5,FALSE), "No encontrado")</f>
        <v>341163085</v>
      </c>
      <c r="I172" s="137">
        <f>+IFERROR(VLOOKUP(A172,Totalidad!$A$3:$M$356,6,FALSE), "No encontrado")</f>
        <v>349843082</v>
      </c>
      <c r="J172" s="137">
        <f>+IFERROR(VLOOKUP(A172,Totalidad!$A$3:$M$356,7,FALSE), "No encontrado")</f>
        <v>426186523</v>
      </c>
      <c r="K172" s="137">
        <f>+IFERROR(VLOOKUP(A172,Totalidad!$A$3:$M$356,8,FALSE), "No encontrado")</f>
        <v>737891890</v>
      </c>
      <c r="L172" s="137">
        <f>+IFERROR(VLOOKUP(A172,Totalidad!$A$3:$M$356,9,FALSE), "No encontrado")</f>
        <v>336592091</v>
      </c>
      <c r="M172" s="137">
        <f>+IFERROR(VLOOKUP(A172,Totalidad!$A$3:$M$356,10,FALSE), "No encontrado")</f>
        <v>66872315</v>
      </c>
      <c r="N172" s="137">
        <f>+IFERROR(VLOOKUP(A172,Totalidad!$A$3:$M$356,11,FALSE), "No encontrado")</f>
        <v>396742564</v>
      </c>
      <c r="O172" s="137">
        <f>+IFERROR(VLOOKUP(A172,Totalidad!$A$3:$M$356,12,FALSE), "No encontrado")</f>
        <v>501752017</v>
      </c>
      <c r="P172" s="137">
        <f>+IFERROR(VLOOKUP(A172,Totalidad!$A$3:$M$356,13,FALSE), "No encontrado")</f>
        <v>735408096</v>
      </c>
      <c r="Q172" s="135">
        <f t="shared" si="71"/>
        <v>7634177434</v>
      </c>
      <c r="R172" s="135">
        <f t="shared" si="72"/>
        <v>-2139177434</v>
      </c>
      <c r="S172" s="136">
        <f t="shared" si="73"/>
        <v>1.3892952564149226</v>
      </c>
      <c r="T172" s="136" t="e">
        <f t="shared" si="70"/>
        <v>#VALUE!</v>
      </c>
    </row>
    <row r="173" spans="1:20" x14ac:dyDescent="0.25">
      <c r="A173" s="133" t="s">
        <v>170</v>
      </c>
      <c r="B173" s="133" t="s">
        <v>168</v>
      </c>
      <c r="C173" s="137" t="s">
        <v>954</v>
      </c>
      <c r="D173" s="137">
        <v>795000000</v>
      </c>
      <c r="E173" s="137">
        <f>+IFERROR(VLOOKUP(A173,Totalidad!$A$3:$M$356,2,FALSE), "No encontrado")</f>
        <v>132020000.95999999</v>
      </c>
      <c r="F173" s="137">
        <f>+IFERROR(VLOOKUP(A173,Totalidad!$A$3:$M$356,3,FALSE), "No encontrado")</f>
        <v>182589978.09</v>
      </c>
      <c r="G173" s="137">
        <f>+IFERROR(VLOOKUP(A173,Totalidad!$A$3:$M$356,4,FALSE), "No encontrado")</f>
        <v>177569122.97</v>
      </c>
      <c r="H173" s="137">
        <f>+IFERROR(VLOOKUP(A173,Totalidad!$A$3:$M$356,5,FALSE), "No encontrado")</f>
        <v>177714814.66999999</v>
      </c>
      <c r="I173" s="137">
        <f>+IFERROR(VLOOKUP(A173,Totalidad!$A$3:$M$356,6,FALSE), "No encontrado")</f>
        <v>151770313.88999999</v>
      </c>
      <c r="J173" s="137">
        <f>+IFERROR(VLOOKUP(A173,Totalidad!$A$3:$M$356,7,FALSE), "No encontrado")</f>
        <v>132946176.54000001</v>
      </c>
      <c r="K173" s="137">
        <f>+IFERROR(VLOOKUP(A173,Totalidad!$A$3:$M$356,8,FALSE), "No encontrado")</f>
        <v>147861798.28999999</v>
      </c>
      <c r="L173" s="137">
        <f>+IFERROR(VLOOKUP(A173,Totalidad!$A$3:$M$356,9,FALSE), "No encontrado")</f>
        <v>237550075.06999999</v>
      </c>
      <c r="M173" s="137">
        <f>+IFERROR(VLOOKUP(A173,Totalidad!$A$3:$M$356,10,FALSE), "No encontrado")</f>
        <v>260630927.55000001</v>
      </c>
      <c r="N173" s="137">
        <f>+IFERROR(VLOOKUP(A173,Totalidad!$A$3:$M$356,11,FALSE), "No encontrado")</f>
        <v>123891449.38</v>
      </c>
      <c r="O173" s="137">
        <f>+IFERROR(VLOOKUP(A173,Totalidad!$A$3:$M$356,12,FALSE), "No encontrado")</f>
        <v>132285737.27</v>
      </c>
      <c r="P173" s="137">
        <f>+IFERROR(VLOOKUP(A173,Totalidad!$A$3:$M$356,13,FALSE), "No encontrado")</f>
        <v>103748138.58</v>
      </c>
      <c r="Q173" s="135">
        <f t="shared" si="71"/>
        <v>1960578533.2599998</v>
      </c>
      <c r="R173" s="135">
        <f t="shared" si="72"/>
        <v>-1165578533.2599998</v>
      </c>
      <c r="S173" s="136">
        <f t="shared" si="73"/>
        <v>2.4661365198238991</v>
      </c>
      <c r="T173" s="136" t="e">
        <f t="shared" si="70"/>
        <v>#VALUE!</v>
      </c>
    </row>
    <row r="174" spans="1:20" x14ac:dyDescent="0.25">
      <c r="A174" s="133" t="s">
        <v>636</v>
      </c>
      <c r="B174" s="133" t="s">
        <v>635</v>
      </c>
      <c r="C174" s="134" t="s">
        <v>954</v>
      </c>
      <c r="D174" s="134">
        <f>+D175+D176</f>
        <v>4450000000</v>
      </c>
      <c r="E174" s="134">
        <f t="shared" ref="E174:P174" si="84">+E175+E176</f>
        <v>6498862142.3900003</v>
      </c>
      <c r="F174" s="134">
        <f t="shared" si="84"/>
        <v>13453278</v>
      </c>
      <c r="G174" s="134">
        <f t="shared" si="84"/>
        <v>2030295185.5</v>
      </c>
      <c r="H174" s="134">
        <f t="shared" si="84"/>
        <v>261609880.78</v>
      </c>
      <c r="I174" s="134">
        <f t="shared" si="84"/>
        <v>582590010.05999994</v>
      </c>
      <c r="J174" s="134">
        <f t="shared" si="84"/>
        <v>509057944.13</v>
      </c>
      <c r="K174" s="134">
        <f t="shared" si="84"/>
        <v>412511620.94</v>
      </c>
      <c r="L174" s="134">
        <f t="shared" si="84"/>
        <v>499655013.76999998</v>
      </c>
      <c r="M174" s="134">
        <f t="shared" si="84"/>
        <v>614483427.07000005</v>
      </c>
      <c r="N174" s="134">
        <f t="shared" si="84"/>
        <v>598554606.25</v>
      </c>
      <c r="O174" s="134">
        <f t="shared" si="84"/>
        <v>393895275</v>
      </c>
      <c r="P174" s="134">
        <f t="shared" si="84"/>
        <v>305341646</v>
      </c>
      <c r="Q174" s="135">
        <f t="shared" si="71"/>
        <v>12720310029.889999</v>
      </c>
      <c r="R174" s="135">
        <f t="shared" si="72"/>
        <v>-8270310029.8899994</v>
      </c>
      <c r="S174" s="136">
        <f t="shared" si="73"/>
        <v>2.858496635930337</v>
      </c>
      <c r="T174" s="136" t="e">
        <f t="shared" si="70"/>
        <v>#VALUE!</v>
      </c>
    </row>
    <row r="175" spans="1:20" x14ac:dyDescent="0.25">
      <c r="A175" s="133" t="s">
        <v>167</v>
      </c>
      <c r="B175" s="133" t="s">
        <v>166</v>
      </c>
      <c r="C175" s="137" t="s">
        <v>954</v>
      </c>
      <c r="D175" s="137">
        <v>4275000000</v>
      </c>
      <c r="E175" s="137">
        <f>+IFERROR(VLOOKUP(A175,Totalidad!$A$3:$M$356,2,FALSE), "No encontrado")</f>
        <v>6498560384.5200005</v>
      </c>
      <c r="F175" s="137">
        <f>+IFERROR(VLOOKUP(A175,Totalidad!$A$3:$M$356,3,FALSE), "No encontrado")</f>
        <v>10732278</v>
      </c>
      <c r="G175" s="137">
        <f>+IFERROR(VLOOKUP(A175,Totalidad!$A$3:$M$356,4,FALSE), "No encontrado")</f>
        <v>2028091248</v>
      </c>
      <c r="H175" s="137">
        <f>+IFERROR(VLOOKUP(A175,Totalidad!$A$3:$M$356,5,FALSE), "No encontrado")</f>
        <v>258047246</v>
      </c>
      <c r="I175" s="137">
        <f>+IFERROR(VLOOKUP(A175,Totalidad!$A$3:$M$356,6,FALSE), "No encontrado")</f>
        <v>573765804</v>
      </c>
      <c r="J175" s="137">
        <f>+IFERROR(VLOOKUP(A175,Totalidad!$A$3:$M$356,7,FALSE), "No encontrado")</f>
        <v>505367726.02999997</v>
      </c>
      <c r="K175" s="137">
        <f>+IFERROR(VLOOKUP(A175,Totalidad!$A$3:$M$356,8,FALSE), "No encontrado")</f>
        <v>410546751</v>
      </c>
      <c r="L175" s="137">
        <f>+IFERROR(VLOOKUP(A175,Totalidad!$A$3:$M$356,9,FALSE), "No encontrado")</f>
        <v>499416747</v>
      </c>
      <c r="M175" s="137">
        <f>+IFERROR(VLOOKUP(A175,Totalidad!$A$3:$M$356,10,FALSE), "No encontrado")</f>
        <v>563603983</v>
      </c>
      <c r="N175" s="137">
        <f>+IFERROR(VLOOKUP(A175,Totalidad!$A$3:$M$356,11,FALSE), "No encontrado")</f>
        <v>575525751</v>
      </c>
      <c r="O175" s="137">
        <f>+IFERROR(VLOOKUP(A175,Totalidad!$A$3:$M$356,12,FALSE), "No encontrado")</f>
        <v>389195275</v>
      </c>
      <c r="P175" s="137">
        <f>+IFERROR(VLOOKUP(A175,Totalidad!$A$3:$M$356,13,FALSE), "No encontrado")</f>
        <v>306131646</v>
      </c>
      <c r="Q175" s="135">
        <f t="shared" si="71"/>
        <v>12618984839.550001</v>
      </c>
      <c r="R175" s="135">
        <f t="shared" si="72"/>
        <v>-8343984839.5500011</v>
      </c>
      <c r="S175" s="136">
        <f t="shared" si="73"/>
        <v>2.9518093191929826</v>
      </c>
      <c r="T175" s="136" t="e">
        <f t="shared" si="70"/>
        <v>#VALUE!</v>
      </c>
    </row>
    <row r="176" spans="1:20" x14ac:dyDescent="0.25">
      <c r="A176" s="133" t="s">
        <v>165</v>
      </c>
      <c r="B176" s="133" t="s">
        <v>164</v>
      </c>
      <c r="C176" s="137" t="s">
        <v>954</v>
      </c>
      <c r="D176" s="137">
        <v>175000000</v>
      </c>
      <c r="E176" s="137">
        <f>+IFERROR(VLOOKUP(A176,Totalidad!$A$3:$M$356,2,FALSE), "No encontrado")</f>
        <v>301757.87</v>
      </c>
      <c r="F176" s="137">
        <f>+IFERROR(VLOOKUP(A176,Totalidad!$A$3:$M$356,3,FALSE), "No encontrado")</f>
        <v>2721000</v>
      </c>
      <c r="G176" s="137">
        <f>+IFERROR(VLOOKUP(A176,Totalidad!$A$3:$M$356,4,FALSE), "No encontrado")</f>
        <v>2203937.5</v>
      </c>
      <c r="H176" s="137">
        <f>+IFERROR(VLOOKUP(A176,Totalidad!$A$3:$M$356,5,FALSE), "No encontrado")</f>
        <v>3562634.78</v>
      </c>
      <c r="I176" s="137">
        <f>+IFERROR(VLOOKUP(A176,Totalidad!$A$3:$M$356,6,FALSE), "No encontrado")</f>
        <v>8824206.0600000005</v>
      </c>
      <c r="J176" s="137">
        <f>+IFERROR(VLOOKUP(A176,Totalidad!$A$3:$M$356,7,FALSE), "No encontrado")</f>
        <v>3690218.1</v>
      </c>
      <c r="K176" s="137">
        <f>+IFERROR(VLOOKUP(A176,Totalidad!$A$3:$M$356,8,FALSE), "No encontrado")</f>
        <v>1964869.94</v>
      </c>
      <c r="L176" s="137">
        <f>+IFERROR(VLOOKUP(A176,Totalidad!$A$3:$M$356,9,FALSE), "No encontrado")</f>
        <v>238266.77</v>
      </c>
      <c r="M176" s="137">
        <f>+IFERROR(VLOOKUP(A176,Totalidad!$A$3:$M$356,10,FALSE), "No encontrado")</f>
        <v>50879444.07</v>
      </c>
      <c r="N176" s="137">
        <f>+IFERROR(VLOOKUP(A176,Totalidad!$A$3:$M$356,11,FALSE), "No encontrado")</f>
        <v>23028855.25</v>
      </c>
      <c r="O176" s="137">
        <f>+IFERROR(VLOOKUP(A176,Totalidad!$A$3:$M$356,12,FALSE), "No encontrado")</f>
        <v>4700000</v>
      </c>
      <c r="P176" s="137">
        <f>+IFERROR(VLOOKUP(A176,Totalidad!$A$3:$M$356,13,FALSE), "No encontrado")</f>
        <v>-790000</v>
      </c>
      <c r="Q176" s="135">
        <f t="shared" si="71"/>
        <v>101325190.34</v>
      </c>
      <c r="R176" s="135">
        <f t="shared" si="72"/>
        <v>73674809.659999996</v>
      </c>
      <c r="S176" s="136">
        <f t="shared" si="73"/>
        <v>0.57900108765714287</v>
      </c>
      <c r="T176" s="136" t="e">
        <f t="shared" si="70"/>
        <v>#VALUE!</v>
      </c>
    </row>
    <row r="177" spans="1:20" x14ac:dyDescent="0.25">
      <c r="A177" s="133" t="s">
        <v>634</v>
      </c>
      <c r="B177" s="133" t="s">
        <v>152</v>
      </c>
      <c r="C177" s="134" t="s">
        <v>954</v>
      </c>
      <c r="D177" s="134">
        <f>+D178+D179+D180+D181+D182+D183</f>
        <v>655000000</v>
      </c>
      <c r="E177" s="134">
        <f t="shared" ref="E177:P177" si="85">+E178+E179+E180+E181+E182+E183</f>
        <v>3009908.73</v>
      </c>
      <c r="F177" s="134">
        <f t="shared" si="85"/>
        <v>89161889.269999996</v>
      </c>
      <c r="G177" s="134">
        <f t="shared" si="85"/>
        <v>40254293.149999999</v>
      </c>
      <c r="H177" s="134">
        <f t="shared" si="85"/>
        <v>74911497.909999996</v>
      </c>
      <c r="I177" s="134">
        <f t="shared" si="85"/>
        <v>82629302.859999999</v>
      </c>
      <c r="J177" s="134">
        <f t="shared" si="85"/>
        <v>31340929.100000001</v>
      </c>
      <c r="K177" s="134">
        <f t="shared" si="85"/>
        <v>43592648.990000002</v>
      </c>
      <c r="L177" s="134">
        <f t="shared" si="85"/>
        <v>178974178.67000002</v>
      </c>
      <c r="M177" s="134">
        <f t="shared" si="85"/>
        <v>117980588.14</v>
      </c>
      <c r="N177" s="134">
        <f t="shared" si="85"/>
        <v>104549389.16</v>
      </c>
      <c r="O177" s="134">
        <f t="shared" si="85"/>
        <v>53046895.340000004</v>
      </c>
      <c r="P177" s="134">
        <f t="shared" si="85"/>
        <v>63493356.890000001</v>
      </c>
      <c r="Q177" s="135">
        <f t="shared" si="71"/>
        <v>882944878.21000004</v>
      </c>
      <c r="R177" s="135">
        <f t="shared" si="72"/>
        <v>-227944878.21000004</v>
      </c>
      <c r="S177" s="136">
        <f t="shared" si="73"/>
        <v>1.3480074476488551</v>
      </c>
      <c r="T177" s="136" t="e">
        <f t="shared" si="70"/>
        <v>#VALUE!</v>
      </c>
    </row>
    <row r="178" spans="1:20" x14ac:dyDescent="0.25">
      <c r="A178" s="133" t="s">
        <v>163</v>
      </c>
      <c r="B178" s="133" t="s">
        <v>162</v>
      </c>
      <c r="C178" s="137" t="s">
        <v>954</v>
      </c>
      <c r="D178" s="137">
        <v>157000000</v>
      </c>
      <c r="E178" s="137">
        <f>+IFERROR(VLOOKUP(A178,Totalidad!$A$3:$M$356,2,FALSE), "No encontrado")</f>
        <v>2602500</v>
      </c>
      <c r="F178" s="137">
        <f>+IFERROR(VLOOKUP(A178,Totalidad!$A$3:$M$356,3,FALSE), "No encontrado")</f>
        <v>5063000</v>
      </c>
      <c r="G178" s="137">
        <f>+IFERROR(VLOOKUP(A178,Totalidad!$A$3:$M$356,4,FALSE), "No encontrado")</f>
        <v>9822500</v>
      </c>
      <c r="H178" s="137">
        <f>+IFERROR(VLOOKUP(A178,Totalidad!$A$3:$M$356,5,FALSE), "No encontrado")</f>
        <v>12754000</v>
      </c>
      <c r="I178" s="137">
        <f>+IFERROR(VLOOKUP(A178,Totalidad!$A$3:$M$356,6,FALSE), "No encontrado")</f>
        <v>52624343.130000003</v>
      </c>
      <c r="J178" s="137">
        <f>+IFERROR(VLOOKUP(A178,Totalidad!$A$3:$M$356,7,FALSE), "No encontrado")</f>
        <v>24003203.75</v>
      </c>
      <c r="K178" s="137">
        <f>+IFERROR(VLOOKUP(A178,Totalidad!$A$3:$M$356,8,FALSE), "No encontrado")</f>
        <v>7738500</v>
      </c>
      <c r="L178" s="137">
        <f>+IFERROR(VLOOKUP(A178,Totalidad!$A$3:$M$356,9,FALSE), "No encontrado")</f>
        <v>39460000</v>
      </c>
      <c r="M178" s="137">
        <f>+IFERROR(VLOOKUP(A178,Totalidad!$A$3:$M$356,10,FALSE), "No encontrado")</f>
        <v>29088002.329999998</v>
      </c>
      <c r="N178" s="137">
        <f>+IFERROR(VLOOKUP(A178,Totalidad!$A$3:$M$356,11,FALSE), "No encontrado")</f>
        <v>29672500</v>
      </c>
      <c r="O178" s="137">
        <f>+IFERROR(VLOOKUP(A178,Totalidad!$A$3:$M$356,12,FALSE), "No encontrado")</f>
        <v>35198000</v>
      </c>
      <c r="P178" s="137">
        <f>+IFERROR(VLOOKUP(A178,Totalidad!$A$3:$M$356,13,FALSE), "No encontrado")</f>
        <v>7099000</v>
      </c>
      <c r="Q178" s="135">
        <f t="shared" si="71"/>
        <v>255125549.20999998</v>
      </c>
      <c r="R178" s="135">
        <f t="shared" si="72"/>
        <v>-98125549.209999979</v>
      </c>
      <c r="S178" s="136">
        <f t="shared" si="73"/>
        <v>1.625003498152866</v>
      </c>
      <c r="T178" s="136" t="e">
        <f t="shared" si="70"/>
        <v>#VALUE!</v>
      </c>
    </row>
    <row r="179" spans="1:20" x14ac:dyDescent="0.25">
      <c r="A179" s="133" t="s">
        <v>161</v>
      </c>
      <c r="B179" s="133" t="s">
        <v>160</v>
      </c>
      <c r="C179" s="137" t="s">
        <v>954</v>
      </c>
      <c r="D179" s="137">
        <v>79000000</v>
      </c>
      <c r="E179" s="137">
        <f>+IFERROR(VLOOKUP(A179,Totalidad!$A$3:$M$356,2,FALSE), "No encontrado")</f>
        <v>407408.73</v>
      </c>
      <c r="F179" s="137">
        <f>+IFERROR(VLOOKUP(A179,Totalidad!$A$3:$M$356,3,FALSE), "No encontrado")</f>
        <v>29247489.27</v>
      </c>
      <c r="G179" s="137">
        <f>+IFERROR(VLOOKUP(A179,Totalidad!$A$3:$M$356,4,FALSE), "No encontrado")</f>
        <v>9850563.2100000009</v>
      </c>
      <c r="H179" s="137">
        <f>+IFERROR(VLOOKUP(A179,Totalidad!$A$3:$M$356,5,FALSE), "No encontrado")</f>
        <v>60289508.810000002</v>
      </c>
      <c r="I179" s="137">
        <f>+IFERROR(VLOOKUP(A179,Totalidad!$A$3:$M$356,6,FALSE), "No encontrado")</f>
        <v>30004759.73</v>
      </c>
      <c r="J179" s="137">
        <f>+IFERROR(VLOOKUP(A179,Totalidad!$A$3:$M$356,7,FALSE), "No encontrado")</f>
        <v>7337725.3499999996</v>
      </c>
      <c r="K179" s="137">
        <f>+IFERROR(VLOOKUP(A179,Totalidad!$A$3:$M$356,8,FALSE), "No encontrado")</f>
        <v>34936391.990000002</v>
      </c>
      <c r="L179" s="137">
        <f>+IFERROR(VLOOKUP(A179,Totalidad!$A$3:$M$356,9,FALSE), "No encontrado")</f>
        <v>23179598.41</v>
      </c>
      <c r="M179" s="137">
        <f>+IFERROR(VLOOKUP(A179,Totalidad!$A$3:$M$356,10,FALSE), "No encontrado")</f>
        <v>3338210.69</v>
      </c>
      <c r="N179" s="137">
        <f>+IFERROR(VLOOKUP(A179,Totalidad!$A$3:$M$356,11,FALSE), "No encontrado")</f>
        <v>9014702.0600000005</v>
      </c>
      <c r="O179" s="137">
        <f>+IFERROR(VLOOKUP(A179,Totalidad!$A$3:$M$356,12,FALSE), "No encontrado")</f>
        <v>8258244.3399999999</v>
      </c>
      <c r="P179" s="137">
        <f>+IFERROR(VLOOKUP(A179,Totalidad!$A$3:$M$356,13,FALSE), "No encontrado")</f>
        <v>25141851.350000001</v>
      </c>
      <c r="Q179" s="135">
        <f t="shared" si="71"/>
        <v>241006453.94000003</v>
      </c>
      <c r="R179" s="135">
        <f t="shared" si="72"/>
        <v>-162006453.94000003</v>
      </c>
      <c r="S179" s="136">
        <f t="shared" si="73"/>
        <v>3.0507146068354434</v>
      </c>
      <c r="T179" s="136" t="e">
        <f t="shared" si="70"/>
        <v>#VALUE!</v>
      </c>
    </row>
    <row r="180" spans="1:20" x14ac:dyDescent="0.25">
      <c r="A180" s="133" t="s">
        <v>159</v>
      </c>
      <c r="B180" s="133" t="s">
        <v>158</v>
      </c>
      <c r="C180" s="137" t="s">
        <v>954</v>
      </c>
      <c r="D180" s="137">
        <v>200000000</v>
      </c>
      <c r="E180" s="137">
        <f>+IFERROR(VLOOKUP(A180,Totalidad!$A$3:$M$356,2,FALSE), "No encontrado")</f>
        <v>0</v>
      </c>
      <c r="F180" s="137">
        <f>+IFERROR(VLOOKUP(A180,Totalidad!$A$3:$M$356,3,FALSE), "No encontrado")</f>
        <v>0</v>
      </c>
      <c r="G180" s="137">
        <f>+IFERROR(VLOOKUP(A180,Totalidad!$A$3:$M$356,4,FALSE), "No encontrado")</f>
        <v>0</v>
      </c>
      <c r="H180" s="137">
        <f>+IFERROR(VLOOKUP(A180,Totalidad!$A$3:$M$356,5,FALSE), "No encontrado")</f>
        <v>0</v>
      </c>
      <c r="I180" s="137">
        <f>+IFERROR(VLOOKUP(A180,Totalidad!$A$3:$M$356,6,FALSE), "No encontrado")</f>
        <v>0</v>
      </c>
      <c r="J180" s="137">
        <f>+IFERROR(VLOOKUP(A180,Totalidad!$A$3:$M$356,7,FALSE), "No encontrado")</f>
        <v>0</v>
      </c>
      <c r="K180" s="137">
        <f>+IFERROR(VLOOKUP(A180,Totalidad!$A$3:$M$356,8,FALSE), "No encontrado")</f>
        <v>0</v>
      </c>
      <c r="L180" s="137">
        <f>+IFERROR(VLOOKUP(A180,Totalidad!$A$3:$M$356,9,FALSE), "No encontrado")</f>
        <v>115195855.95999999</v>
      </c>
      <c r="M180" s="137">
        <f>+IFERROR(VLOOKUP(A180,Totalidad!$A$3:$M$356,10,FALSE), "No encontrado")</f>
        <v>0</v>
      </c>
      <c r="N180" s="137">
        <f>+IFERROR(VLOOKUP(A180,Totalidad!$A$3:$M$356,11,FALSE), "No encontrado")</f>
        <v>0</v>
      </c>
      <c r="O180" s="137">
        <f>+IFERROR(VLOOKUP(A180,Totalidad!$A$3:$M$356,12,FALSE), "No encontrado")</f>
        <v>0</v>
      </c>
      <c r="P180" s="137">
        <f>+IFERROR(VLOOKUP(A180,Totalidad!$A$3:$M$356,13,FALSE), "No encontrado")</f>
        <v>0</v>
      </c>
      <c r="Q180" s="135">
        <f t="shared" si="71"/>
        <v>115195855.95999999</v>
      </c>
      <c r="R180" s="135">
        <f t="shared" si="72"/>
        <v>84804144.040000007</v>
      </c>
      <c r="S180" s="136">
        <f t="shared" si="73"/>
        <v>0.57597927979999997</v>
      </c>
      <c r="T180" s="136" t="e">
        <f t="shared" si="70"/>
        <v>#VALUE!</v>
      </c>
    </row>
    <row r="181" spans="1:20" x14ac:dyDescent="0.25">
      <c r="A181" s="133" t="s">
        <v>157</v>
      </c>
      <c r="B181" s="133" t="s">
        <v>156</v>
      </c>
      <c r="C181" s="137" t="s">
        <v>954</v>
      </c>
      <c r="D181" s="137">
        <v>32000000</v>
      </c>
      <c r="E181" s="137">
        <f>+IFERROR(VLOOKUP(A181,Totalidad!$A$3:$M$356,2,FALSE), "No encontrado")</f>
        <v>0</v>
      </c>
      <c r="F181" s="137">
        <f>+IFERROR(VLOOKUP(A181,Totalidad!$A$3:$M$356,3,FALSE), "No encontrado")</f>
        <v>0</v>
      </c>
      <c r="G181" s="137">
        <f>+IFERROR(VLOOKUP(A181,Totalidad!$A$3:$M$356,4,FALSE), "No encontrado")</f>
        <v>3886800</v>
      </c>
      <c r="H181" s="137">
        <f>+IFERROR(VLOOKUP(A181,Totalidad!$A$3:$M$356,5,FALSE), "No encontrado")</f>
        <v>0</v>
      </c>
      <c r="I181" s="137">
        <f>+IFERROR(VLOOKUP(A181,Totalidad!$A$3:$M$356,6,FALSE), "No encontrado")</f>
        <v>0</v>
      </c>
      <c r="J181" s="137">
        <f>+IFERROR(VLOOKUP(A181,Totalidad!$A$3:$M$356,7,FALSE), "No encontrado")</f>
        <v>0</v>
      </c>
      <c r="K181" s="137">
        <f>+IFERROR(VLOOKUP(A181,Totalidad!$A$3:$M$356,8,FALSE), "No encontrado")</f>
        <v>0</v>
      </c>
      <c r="L181" s="137">
        <f>+IFERROR(VLOOKUP(A181,Totalidad!$A$3:$M$356,9,FALSE), "No encontrado")</f>
        <v>0</v>
      </c>
      <c r="M181" s="137">
        <f>+IFERROR(VLOOKUP(A181,Totalidad!$A$3:$M$356,10,FALSE), "No encontrado")</f>
        <v>0</v>
      </c>
      <c r="N181" s="137">
        <f>+IFERROR(VLOOKUP(A181,Totalidad!$A$3:$M$356,11,FALSE), "No encontrado")</f>
        <v>0</v>
      </c>
      <c r="O181" s="137">
        <f>+IFERROR(VLOOKUP(A181,Totalidad!$A$3:$M$356,12,FALSE), "No encontrado")</f>
        <v>9526500</v>
      </c>
      <c r="P181" s="137">
        <f>+IFERROR(VLOOKUP(A181,Totalidad!$A$3:$M$356,13,FALSE), "No encontrado")</f>
        <v>0</v>
      </c>
      <c r="Q181" s="135">
        <f t="shared" si="71"/>
        <v>13413300</v>
      </c>
      <c r="R181" s="135">
        <f t="shared" si="72"/>
        <v>18586700</v>
      </c>
      <c r="S181" s="136">
        <f t="shared" si="73"/>
        <v>0.41916562499999999</v>
      </c>
      <c r="T181" s="136" t="e">
        <f t="shared" si="70"/>
        <v>#VALUE!</v>
      </c>
    </row>
    <row r="182" spans="1:20" x14ac:dyDescent="0.25">
      <c r="A182" s="133" t="s">
        <v>155</v>
      </c>
      <c r="B182" s="133" t="s">
        <v>154</v>
      </c>
      <c r="C182" s="137" t="s">
        <v>954</v>
      </c>
      <c r="D182" s="137">
        <v>30000000</v>
      </c>
      <c r="E182" s="137">
        <f>+IFERROR(VLOOKUP(A182,Totalidad!$A$3:$M$356,2,FALSE), "No encontrado")</f>
        <v>0</v>
      </c>
      <c r="F182" s="137">
        <f>+IFERROR(VLOOKUP(A182,Totalidad!$A$3:$M$356,3,FALSE), "No encontrado")</f>
        <v>0</v>
      </c>
      <c r="G182" s="137">
        <f>+IFERROR(VLOOKUP(A182,Totalidad!$A$3:$M$356,4,FALSE), "No encontrado")</f>
        <v>0</v>
      </c>
      <c r="H182" s="137">
        <f>+IFERROR(VLOOKUP(A182,Totalidad!$A$3:$M$356,5,FALSE), "No encontrado")</f>
        <v>0</v>
      </c>
      <c r="I182" s="137">
        <f>+IFERROR(VLOOKUP(A182,Totalidad!$A$3:$M$356,6,FALSE), "No encontrado")</f>
        <v>0</v>
      </c>
      <c r="J182" s="137">
        <f>+IFERROR(VLOOKUP(A182,Totalidad!$A$3:$M$356,7,FALSE), "No encontrado")</f>
        <v>0</v>
      </c>
      <c r="K182" s="137">
        <f>+IFERROR(VLOOKUP(A182,Totalidad!$A$3:$M$356,8,FALSE), "No encontrado")</f>
        <v>0</v>
      </c>
      <c r="L182" s="137">
        <f>+IFERROR(VLOOKUP(A182,Totalidad!$A$3:$M$356,9,FALSE), "No encontrado")</f>
        <v>0</v>
      </c>
      <c r="M182" s="137">
        <f>+IFERROR(VLOOKUP(A182,Totalidad!$A$3:$M$356,10,FALSE), "No encontrado")</f>
        <v>0</v>
      </c>
      <c r="N182" s="137">
        <f>+IFERROR(VLOOKUP(A182,Totalidad!$A$3:$M$356,11,FALSE), "No encontrado")</f>
        <v>0</v>
      </c>
      <c r="O182" s="137">
        <f>+IFERROR(VLOOKUP(A182,Totalidad!$A$3:$M$356,12,FALSE), "No encontrado")</f>
        <v>0</v>
      </c>
      <c r="P182" s="137">
        <f>+IFERROR(VLOOKUP(A182,Totalidad!$A$3:$M$356,13,FALSE), "No encontrado")</f>
        <v>0</v>
      </c>
      <c r="Q182" s="135">
        <f t="shared" si="71"/>
        <v>0</v>
      </c>
      <c r="R182" s="135">
        <f t="shared" si="72"/>
        <v>30000000</v>
      </c>
      <c r="S182" s="136">
        <f t="shared" si="73"/>
        <v>0</v>
      </c>
      <c r="T182" s="136" t="e">
        <f t="shared" si="70"/>
        <v>#VALUE!</v>
      </c>
    </row>
    <row r="183" spans="1:20" x14ac:dyDescent="0.25">
      <c r="A183" s="133" t="s">
        <v>153</v>
      </c>
      <c r="B183" s="133" t="s">
        <v>151</v>
      </c>
      <c r="C183" s="137" t="s">
        <v>954</v>
      </c>
      <c r="D183" s="137">
        <v>157000000</v>
      </c>
      <c r="E183" s="137">
        <f>+IFERROR(VLOOKUP(A183,Totalidad!$A$3:$M$356,2,FALSE), "No encontrado")</f>
        <v>0</v>
      </c>
      <c r="F183" s="137">
        <f>+IFERROR(VLOOKUP(A183,Totalidad!$A$3:$M$356,3,FALSE), "No encontrado")</f>
        <v>54851400</v>
      </c>
      <c r="G183" s="137">
        <f>+IFERROR(VLOOKUP(A183,Totalidad!$A$3:$M$356,4,FALSE), "No encontrado")</f>
        <v>16694429.939999999</v>
      </c>
      <c r="H183" s="137">
        <f>+IFERROR(VLOOKUP(A183,Totalidad!$A$3:$M$356,5,FALSE), "No encontrado")</f>
        <v>1867989.1</v>
      </c>
      <c r="I183" s="137">
        <f>+IFERROR(VLOOKUP(A183,Totalidad!$A$3:$M$356,6,FALSE), "No encontrado")</f>
        <v>200</v>
      </c>
      <c r="J183" s="137">
        <f>+IFERROR(VLOOKUP(A183,Totalidad!$A$3:$M$356,7,FALSE), "No encontrado")</f>
        <v>0</v>
      </c>
      <c r="K183" s="137">
        <f>+IFERROR(VLOOKUP(A183,Totalidad!$A$3:$M$356,8,FALSE), "No encontrado")</f>
        <v>917757</v>
      </c>
      <c r="L183" s="137">
        <f>+IFERROR(VLOOKUP(A183,Totalidad!$A$3:$M$356,9,FALSE), "No encontrado")</f>
        <v>1138724.3</v>
      </c>
      <c r="M183" s="137">
        <f>+IFERROR(VLOOKUP(A183,Totalidad!$A$3:$M$356,10,FALSE), "No encontrado")</f>
        <v>85554375.120000005</v>
      </c>
      <c r="N183" s="137">
        <f>+IFERROR(VLOOKUP(A183,Totalidad!$A$3:$M$356,11,FALSE), "No encontrado")</f>
        <v>65862187.100000001</v>
      </c>
      <c r="O183" s="137">
        <f>+IFERROR(VLOOKUP(A183,Totalidad!$A$3:$M$356,12,FALSE), "No encontrado")</f>
        <v>64151</v>
      </c>
      <c r="P183" s="137">
        <f>+IFERROR(VLOOKUP(A183,Totalidad!$A$3:$M$356,13,FALSE), "No encontrado")</f>
        <v>31252505.539999999</v>
      </c>
      <c r="Q183" s="135">
        <f t="shared" si="71"/>
        <v>258203719.09999996</v>
      </c>
      <c r="R183" s="135">
        <f t="shared" si="72"/>
        <v>-101203719.09999996</v>
      </c>
      <c r="S183" s="136">
        <f t="shared" si="73"/>
        <v>1.6446096757961781</v>
      </c>
      <c r="T183" s="136" t="e">
        <f t="shared" si="70"/>
        <v>#VALUE!</v>
      </c>
    </row>
    <row r="184" spans="1:20" x14ac:dyDescent="0.25">
      <c r="A184" s="133" t="s">
        <v>633</v>
      </c>
      <c r="B184" s="133" t="s">
        <v>1229</v>
      </c>
      <c r="C184" s="134" t="s">
        <v>954</v>
      </c>
      <c r="D184" s="134">
        <f>+D185</f>
        <v>62000000</v>
      </c>
      <c r="E184" s="134">
        <f t="shared" ref="E184:P185" si="86">+E185</f>
        <v>224720</v>
      </c>
      <c r="F184" s="134">
        <f t="shared" si="86"/>
        <v>0</v>
      </c>
      <c r="G184" s="134">
        <f t="shared" si="86"/>
        <v>0</v>
      </c>
      <c r="H184" s="134">
        <f t="shared" si="86"/>
        <v>0</v>
      </c>
      <c r="I184" s="134">
        <f t="shared" si="86"/>
        <v>1493</v>
      </c>
      <c r="J184" s="134">
        <f t="shared" si="86"/>
        <v>12817935.58</v>
      </c>
      <c r="K184" s="134">
        <f t="shared" si="86"/>
        <v>92868</v>
      </c>
      <c r="L184" s="134">
        <f t="shared" si="86"/>
        <v>10660064.789999999</v>
      </c>
      <c r="M184" s="134">
        <f t="shared" si="86"/>
        <v>2302461.11</v>
      </c>
      <c r="N184" s="134">
        <f t="shared" si="86"/>
        <v>24747617.149999999</v>
      </c>
      <c r="O184" s="134">
        <f t="shared" si="86"/>
        <v>24421399.870000001</v>
      </c>
      <c r="P184" s="134">
        <f t="shared" si="86"/>
        <v>4890676.2699999996</v>
      </c>
      <c r="Q184" s="135">
        <f t="shared" si="71"/>
        <v>80159235.769999996</v>
      </c>
      <c r="R184" s="135">
        <f t="shared" si="72"/>
        <v>-18159235.769999996</v>
      </c>
      <c r="S184" s="136">
        <f t="shared" si="73"/>
        <v>1.292890899516129</v>
      </c>
      <c r="T184" s="136" t="e">
        <f t="shared" si="70"/>
        <v>#VALUE!</v>
      </c>
    </row>
    <row r="185" spans="1:20" x14ac:dyDescent="0.25">
      <c r="A185" s="133" t="s">
        <v>631</v>
      </c>
      <c r="B185" s="133" t="s">
        <v>1230</v>
      </c>
      <c r="C185" s="134" t="s">
        <v>954</v>
      </c>
      <c r="D185" s="134">
        <f>+D186</f>
        <v>62000000</v>
      </c>
      <c r="E185" s="134">
        <f t="shared" si="86"/>
        <v>224720</v>
      </c>
      <c r="F185" s="134">
        <f t="shared" si="86"/>
        <v>0</v>
      </c>
      <c r="G185" s="134">
        <f t="shared" si="86"/>
        <v>0</v>
      </c>
      <c r="H185" s="134">
        <f t="shared" si="86"/>
        <v>0</v>
      </c>
      <c r="I185" s="134">
        <f t="shared" si="86"/>
        <v>1493</v>
      </c>
      <c r="J185" s="134">
        <f t="shared" si="86"/>
        <v>12817935.58</v>
      </c>
      <c r="K185" s="134">
        <f t="shared" si="86"/>
        <v>92868</v>
      </c>
      <c r="L185" s="134">
        <f t="shared" si="86"/>
        <v>10660064.789999999</v>
      </c>
      <c r="M185" s="134">
        <f t="shared" si="86"/>
        <v>2302461.11</v>
      </c>
      <c r="N185" s="134">
        <f t="shared" si="86"/>
        <v>24747617.149999999</v>
      </c>
      <c r="O185" s="134">
        <f t="shared" si="86"/>
        <v>24421399.870000001</v>
      </c>
      <c r="P185" s="134">
        <f t="shared" si="86"/>
        <v>4890676.2699999996</v>
      </c>
      <c r="Q185" s="135">
        <f t="shared" si="71"/>
        <v>80159235.769999996</v>
      </c>
      <c r="R185" s="135">
        <f t="shared" si="72"/>
        <v>-18159235.769999996</v>
      </c>
      <c r="S185" s="136">
        <f t="shared" si="73"/>
        <v>1.292890899516129</v>
      </c>
      <c r="T185" s="136" t="e">
        <f t="shared" si="70"/>
        <v>#VALUE!</v>
      </c>
    </row>
    <row r="186" spans="1:20" x14ac:dyDescent="0.25">
      <c r="A186" s="133" t="s">
        <v>150</v>
      </c>
      <c r="B186" s="133" t="s">
        <v>149</v>
      </c>
      <c r="C186" s="137" t="s">
        <v>954</v>
      </c>
      <c r="D186" s="137">
        <v>62000000</v>
      </c>
      <c r="E186" s="137">
        <f>+IFERROR(VLOOKUP(A186,Totalidad!$A$3:$M$356,2,FALSE), "No encontrado")</f>
        <v>224720</v>
      </c>
      <c r="F186" s="137">
        <f>+IFERROR(VLOOKUP(A186,Totalidad!$A$3:$M$356,3,FALSE), "No encontrado")</f>
        <v>0</v>
      </c>
      <c r="G186" s="137">
        <f>+IFERROR(VLOOKUP(A186,Totalidad!$A$3:$M$356,4,FALSE), "No encontrado")</f>
        <v>0</v>
      </c>
      <c r="H186" s="137">
        <f>+IFERROR(VLOOKUP(A186,Totalidad!$A$3:$M$356,5,FALSE), "No encontrado")</f>
        <v>0</v>
      </c>
      <c r="I186" s="137">
        <f>+IFERROR(VLOOKUP(A186,Totalidad!$A$3:$M$356,6,FALSE), "No encontrado")</f>
        <v>1493</v>
      </c>
      <c r="J186" s="137">
        <f>+IFERROR(VLOOKUP(A186,Totalidad!$A$3:$M$356,7,FALSE), "No encontrado")</f>
        <v>12817935.58</v>
      </c>
      <c r="K186" s="137">
        <f>+IFERROR(VLOOKUP(A186,Totalidad!$A$3:$M$356,8,FALSE), "No encontrado")</f>
        <v>92868</v>
      </c>
      <c r="L186" s="137">
        <f>+IFERROR(VLOOKUP(A186,Totalidad!$A$3:$M$356,9,FALSE), "No encontrado")</f>
        <v>10660064.789999999</v>
      </c>
      <c r="M186" s="137">
        <f>+IFERROR(VLOOKUP(A186,Totalidad!$A$3:$M$356,10,FALSE), "No encontrado")</f>
        <v>2302461.11</v>
      </c>
      <c r="N186" s="137">
        <f>+IFERROR(VLOOKUP(A186,Totalidad!$A$3:$M$356,11,FALSE), "No encontrado")</f>
        <v>24747617.149999999</v>
      </c>
      <c r="O186" s="137">
        <f>+IFERROR(VLOOKUP(A186,Totalidad!$A$3:$M$356,12,FALSE), "No encontrado")</f>
        <v>24421399.870000001</v>
      </c>
      <c r="P186" s="137">
        <f>+IFERROR(VLOOKUP(A186,Totalidad!$A$3:$M$356,13,FALSE), "No encontrado")</f>
        <v>4890676.2699999996</v>
      </c>
      <c r="Q186" s="135">
        <f t="shared" si="71"/>
        <v>80159235.769999996</v>
      </c>
      <c r="R186" s="135">
        <f t="shared" si="72"/>
        <v>-18159235.769999996</v>
      </c>
      <c r="S186" s="136">
        <f t="shared" si="73"/>
        <v>1.292890899516129</v>
      </c>
      <c r="T186" s="136" t="e">
        <f t="shared" si="70"/>
        <v>#VALUE!</v>
      </c>
    </row>
    <row r="187" spans="1:20" x14ac:dyDescent="0.25">
      <c r="A187" s="133" t="s">
        <v>630</v>
      </c>
      <c r="B187" s="133" t="s">
        <v>145</v>
      </c>
      <c r="C187" s="134">
        <v>270000000</v>
      </c>
      <c r="D187" s="134">
        <f>+D188</f>
        <v>502000000</v>
      </c>
      <c r="E187" s="134">
        <f t="shared" ref="E187:P187" si="87">+E188</f>
        <v>5969783.1399999997</v>
      </c>
      <c r="F187" s="134">
        <f t="shared" si="87"/>
        <v>-27444257.75</v>
      </c>
      <c r="G187" s="134">
        <f t="shared" si="87"/>
        <v>-2092729.66</v>
      </c>
      <c r="H187" s="134">
        <f t="shared" si="87"/>
        <v>43461743.100000001</v>
      </c>
      <c r="I187" s="134">
        <f t="shared" si="87"/>
        <v>35441806.560000002</v>
      </c>
      <c r="J187" s="134">
        <f t="shared" si="87"/>
        <v>39373075.880000003</v>
      </c>
      <c r="K187" s="134">
        <f t="shared" si="87"/>
        <v>39753202.07</v>
      </c>
      <c r="L187" s="134">
        <f t="shared" si="87"/>
        <v>40106725.240000002</v>
      </c>
      <c r="M187" s="134">
        <f t="shared" si="87"/>
        <v>37149421.789999999</v>
      </c>
      <c r="N187" s="134">
        <f t="shared" si="87"/>
        <v>36567029.520000003</v>
      </c>
      <c r="O187" s="134">
        <f t="shared" si="87"/>
        <v>48331106.340000004</v>
      </c>
      <c r="P187" s="134">
        <f t="shared" si="87"/>
        <v>63423892.460000001</v>
      </c>
      <c r="Q187" s="135">
        <f t="shared" si="71"/>
        <v>360040798.69</v>
      </c>
      <c r="R187" s="135">
        <f t="shared" si="72"/>
        <v>141959201.31</v>
      </c>
      <c r="S187" s="136">
        <f t="shared" si="73"/>
        <v>0.71721274639442234</v>
      </c>
      <c r="T187" s="136">
        <f t="shared" si="70"/>
        <v>1.3334844395925927</v>
      </c>
    </row>
    <row r="188" spans="1:20" x14ac:dyDescent="0.25">
      <c r="A188" s="133" t="s">
        <v>147</v>
      </c>
      <c r="B188" s="133" t="s">
        <v>146</v>
      </c>
      <c r="C188" s="137" t="s">
        <v>954</v>
      </c>
      <c r="D188" s="137">
        <v>502000000</v>
      </c>
      <c r="E188" s="137">
        <f>+IFERROR(VLOOKUP(A188,Totalidad!$A$3:$M$356,2,FALSE), "No encontrado")</f>
        <v>5969783.1399999997</v>
      </c>
      <c r="F188" s="137">
        <f>+IFERROR(VLOOKUP(A188,Totalidad!$A$3:$M$356,3,FALSE), "No encontrado")</f>
        <v>-27444257.75</v>
      </c>
      <c r="G188" s="137">
        <f>+IFERROR(VLOOKUP(A188,Totalidad!$A$3:$M$356,4,FALSE), "No encontrado")</f>
        <v>-2092729.66</v>
      </c>
      <c r="H188" s="137">
        <f>+IFERROR(VLOOKUP(A188,Totalidad!$A$3:$M$356,5,FALSE), "No encontrado")</f>
        <v>43461743.100000001</v>
      </c>
      <c r="I188" s="137">
        <f>+IFERROR(VLOOKUP(A188,Totalidad!$A$3:$M$356,6,FALSE), "No encontrado")</f>
        <v>35441806.560000002</v>
      </c>
      <c r="J188" s="137">
        <f>+IFERROR(VLOOKUP(A188,Totalidad!$A$3:$M$356,7,FALSE), "No encontrado")</f>
        <v>39373075.880000003</v>
      </c>
      <c r="K188" s="137">
        <f>+IFERROR(VLOOKUP(A188,Totalidad!$A$3:$M$356,8,FALSE), "No encontrado")</f>
        <v>39753202.07</v>
      </c>
      <c r="L188" s="137">
        <f>+IFERROR(VLOOKUP(A188,Totalidad!$A$3:$M$356,9,FALSE), "No encontrado")</f>
        <v>40106725.240000002</v>
      </c>
      <c r="M188" s="137">
        <f>+IFERROR(VLOOKUP(A188,Totalidad!$A$3:$M$356,10,FALSE), "No encontrado")</f>
        <v>37149421.789999999</v>
      </c>
      <c r="N188" s="137">
        <f>+IFERROR(VLOOKUP(A188,Totalidad!$A$3:$M$356,11,FALSE), "No encontrado")</f>
        <v>36567029.520000003</v>
      </c>
      <c r="O188" s="137">
        <f>+IFERROR(VLOOKUP(A188,Totalidad!$A$3:$M$356,12,FALSE), "No encontrado")</f>
        <v>48331106.340000004</v>
      </c>
      <c r="P188" s="137">
        <f>+IFERROR(VLOOKUP(A188,Totalidad!$A$3:$M$356,13,FALSE), "No encontrado")</f>
        <v>63423892.460000001</v>
      </c>
      <c r="Q188" s="135">
        <f t="shared" si="71"/>
        <v>360040798.69</v>
      </c>
      <c r="R188" s="135">
        <f t="shared" si="72"/>
        <v>141959201.31</v>
      </c>
      <c r="S188" s="136">
        <f t="shared" si="73"/>
        <v>0.71721274639442234</v>
      </c>
      <c r="T188" s="136" t="e">
        <f t="shared" si="70"/>
        <v>#VALUE!</v>
      </c>
    </row>
    <row r="189" spans="1:20" x14ac:dyDescent="0.25">
      <c r="A189" s="133" t="s">
        <v>629</v>
      </c>
      <c r="B189" s="133" t="s">
        <v>628</v>
      </c>
      <c r="C189" s="134">
        <v>14500000000</v>
      </c>
      <c r="D189" s="134">
        <f>+D190+D191</f>
        <v>9367000000</v>
      </c>
      <c r="E189" s="134">
        <f t="shared" ref="E189:P189" si="88">+E190+E191</f>
        <v>1067774609.97</v>
      </c>
      <c r="F189" s="134">
        <f t="shared" si="88"/>
        <v>1162103223.6400001</v>
      </c>
      <c r="G189" s="134">
        <f t="shared" si="88"/>
        <v>2471968156.3200002</v>
      </c>
      <c r="H189" s="134">
        <f t="shared" si="88"/>
        <v>936686464.31999993</v>
      </c>
      <c r="I189" s="134">
        <f t="shared" si="88"/>
        <v>2687767856.73</v>
      </c>
      <c r="J189" s="134">
        <f t="shared" si="88"/>
        <v>4134304838.8700004</v>
      </c>
      <c r="K189" s="134">
        <f t="shared" si="88"/>
        <v>-77367221.610000014</v>
      </c>
      <c r="L189" s="134">
        <f t="shared" si="88"/>
        <v>703461811.82999992</v>
      </c>
      <c r="M189" s="134">
        <f t="shared" si="88"/>
        <v>1026503639.45</v>
      </c>
      <c r="N189" s="134">
        <f t="shared" si="88"/>
        <v>2254097854.6700001</v>
      </c>
      <c r="O189" s="134">
        <f t="shared" si="88"/>
        <v>1511955223.8199999</v>
      </c>
      <c r="P189" s="134">
        <f t="shared" si="88"/>
        <v>1583022069.76</v>
      </c>
      <c r="Q189" s="135">
        <f t="shared" si="71"/>
        <v>19462278527.77</v>
      </c>
      <c r="R189" s="135">
        <f t="shared" si="72"/>
        <v>-10095278527.77</v>
      </c>
      <c r="S189" s="136">
        <f t="shared" si="73"/>
        <v>2.0777493891075052</v>
      </c>
      <c r="T189" s="136">
        <f t="shared" si="70"/>
        <v>1.3422261053634483</v>
      </c>
    </row>
    <row r="190" spans="1:20" x14ac:dyDescent="0.25">
      <c r="A190" s="133" t="s">
        <v>144</v>
      </c>
      <c r="B190" s="133" t="s">
        <v>1231</v>
      </c>
      <c r="C190" s="137" t="s">
        <v>954</v>
      </c>
      <c r="D190" s="137">
        <v>5350000000</v>
      </c>
      <c r="E190" s="137">
        <f>+IFERROR(VLOOKUP(A190,Totalidad!$A$3:$M$356,2,FALSE), "No encontrado")</f>
        <v>235174767.09999999</v>
      </c>
      <c r="F190" s="137">
        <f>+IFERROR(VLOOKUP(A190,Totalidad!$A$3:$M$356,3,FALSE), "No encontrado")</f>
        <v>116124213.06999999</v>
      </c>
      <c r="G190" s="137">
        <f>+IFERROR(VLOOKUP(A190,Totalidad!$A$3:$M$356,4,FALSE), "No encontrado")</f>
        <v>1515752167.49</v>
      </c>
      <c r="H190" s="137">
        <f>+IFERROR(VLOOKUP(A190,Totalidad!$A$3:$M$356,5,FALSE), "No encontrado")</f>
        <v>104087490.64</v>
      </c>
      <c r="I190" s="137">
        <f>+IFERROR(VLOOKUP(A190,Totalidad!$A$3:$M$356,6,FALSE), "No encontrado")</f>
        <v>569471718.82000005</v>
      </c>
      <c r="J190" s="137">
        <f>+IFERROR(VLOOKUP(A190,Totalidad!$A$3:$M$356,7,FALSE), "No encontrado")</f>
        <v>4282324666.5500002</v>
      </c>
      <c r="K190" s="137">
        <f>+IFERROR(VLOOKUP(A190,Totalidad!$A$3:$M$356,8,FALSE), "No encontrado")</f>
        <v>179462861.72999999</v>
      </c>
      <c r="L190" s="137">
        <f>+IFERROR(VLOOKUP(A190,Totalidad!$A$3:$M$356,9,FALSE), "No encontrado")</f>
        <v>234494915.31999999</v>
      </c>
      <c r="M190" s="137">
        <f>+IFERROR(VLOOKUP(A190,Totalidad!$A$3:$M$356,10,FALSE), "No encontrado")</f>
        <v>184686752.06999999</v>
      </c>
      <c r="N190" s="137">
        <f>+IFERROR(VLOOKUP(A190,Totalidad!$A$3:$M$356,11,FALSE), "No encontrado")</f>
        <v>176572969.81</v>
      </c>
      <c r="O190" s="137">
        <f>+IFERROR(VLOOKUP(A190,Totalidad!$A$3:$M$356,12,FALSE), "No encontrado")</f>
        <v>238894719.19999999</v>
      </c>
      <c r="P190" s="137">
        <f>+IFERROR(VLOOKUP(A190,Totalidad!$A$3:$M$356,13,FALSE), "No encontrado")</f>
        <v>272285432.20999998</v>
      </c>
      <c r="Q190" s="135">
        <f t="shared" si="71"/>
        <v>8109332674.0099993</v>
      </c>
      <c r="R190" s="135">
        <f t="shared" si="72"/>
        <v>-2759332674.0099993</v>
      </c>
      <c r="S190" s="136">
        <f t="shared" si="73"/>
        <v>1.5157631166373831</v>
      </c>
      <c r="T190" s="136" t="e">
        <f t="shared" si="70"/>
        <v>#VALUE!</v>
      </c>
    </row>
    <row r="191" spans="1:20" x14ac:dyDescent="0.25">
      <c r="A191" s="133" t="s">
        <v>142</v>
      </c>
      <c r="B191" s="133" t="s">
        <v>141</v>
      </c>
      <c r="C191" s="137" t="s">
        <v>954</v>
      </c>
      <c r="D191" s="137">
        <v>4017000000</v>
      </c>
      <c r="E191" s="137">
        <f>+IFERROR(VLOOKUP(A191,Totalidad!$A$3:$M$356,2,FALSE), "No encontrado")</f>
        <v>832599842.87</v>
      </c>
      <c r="F191" s="137">
        <f>+IFERROR(VLOOKUP(A191,Totalidad!$A$3:$M$356,3,FALSE), "No encontrado")</f>
        <v>1045979010.5700001</v>
      </c>
      <c r="G191" s="137">
        <f>+IFERROR(VLOOKUP(A191,Totalidad!$A$3:$M$356,4,FALSE), "No encontrado")</f>
        <v>956215988.83000004</v>
      </c>
      <c r="H191" s="137">
        <f>+IFERROR(VLOOKUP(A191,Totalidad!$A$3:$M$356,5,FALSE), "No encontrado")</f>
        <v>832598973.67999995</v>
      </c>
      <c r="I191" s="137">
        <f>+IFERROR(VLOOKUP(A191,Totalidad!$A$3:$M$356,6,FALSE), "No encontrado")</f>
        <v>2118296137.9100001</v>
      </c>
      <c r="J191" s="137">
        <f>+IFERROR(VLOOKUP(A191,Totalidad!$A$3:$M$356,7,FALSE), "No encontrado")</f>
        <v>-148019827.68000001</v>
      </c>
      <c r="K191" s="137">
        <f>+IFERROR(VLOOKUP(A191,Totalidad!$A$3:$M$356,8,FALSE), "No encontrado")</f>
        <v>-256830083.34</v>
      </c>
      <c r="L191" s="137">
        <f>+IFERROR(VLOOKUP(A191,Totalidad!$A$3:$M$356,9,FALSE), "No encontrado")</f>
        <v>468966896.50999999</v>
      </c>
      <c r="M191" s="137">
        <f>+IFERROR(VLOOKUP(A191,Totalidad!$A$3:$M$356,10,FALSE), "No encontrado")</f>
        <v>841816887.38</v>
      </c>
      <c r="N191" s="137">
        <f>+IFERROR(VLOOKUP(A191,Totalidad!$A$3:$M$356,11,FALSE), "No encontrado")</f>
        <v>2077524884.8599999</v>
      </c>
      <c r="O191" s="137">
        <f>+IFERROR(VLOOKUP(A191,Totalidad!$A$3:$M$356,12,FALSE), "No encontrado")</f>
        <v>1273060504.6199999</v>
      </c>
      <c r="P191" s="137">
        <f>+IFERROR(VLOOKUP(A191,Totalidad!$A$3:$M$356,13,FALSE), "No encontrado")</f>
        <v>1310736637.55</v>
      </c>
      <c r="Q191" s="135">
        <f t="shared" si="71"/>
        <v>11352945853.759998</v>
      </c>
      <c r="R191" s="135">
        <f t="shared" si="72"/>
        <v>-7335945853.7599983</v>
      </c>
      <c r="S191" s="136">
        <f t="shared" si="73"/>
        <v>2.8262250071595716</v>
      </c>
      <c r="T191" s="136" t="e">
        <f t="shared" si="70"/>
        <v>#VALUE!</v>
      </c>
    </row>
    <row r="192" spans="1:20" x14ac:dyDescent="0.25">
      <c r="A192" s="141" t="s">
        <v>627</v>
      </c>
      <c r="B192" s="141" t="s">
        <v>626</v>
      </c>
      <c r="C192" s="142">
        <f>+C193</f>
        <v>218295393915.01001</v>
      </c>
      <c r="D192" s="142">
        <f>+D193</f>
        <v>218450468254</v>
      </c>
      <c r="E192" s="142">
        <f t="shared" ref="E192:P192" si="89">+E193+E243</f>
        <v>1065424547.01</v>
      </c>
      <c r="F192" s="142">
        <f t="shared" si="89"/>
        <v>12035981562.859999</v>
      </c>
      <c r="G192" s="142">
        <f t="shared" si="89"/>
        <v>20676700498.379997</v>
      </c>
      <c r="H192" s="142">
        <f t="shared" si="89"/>
        <v>3469191340.8400002</v>
      </c>
      <c r="I192" s="142">
        <f t="shared" si="89"/>
        <v>51438980939.049995</v>
      </c>
      <c r="J192" s="142">
        <f t="shared" si="89"/>
        <v>9171908807.9200001</v>
      </c>
      <c r="K192" s="142">
        <f t="shared" si="89"/>
        <v>9893785066.7299995</v>
      </c>
      <c r="L192" s="142">
        <f t="shared" si="89"/>
        <v>43454728087.419998</v>
      </c>
      <c r="M192" s="142">
        <f t="shared" si="89"/>
        <v>6754673624.3499994</v>
      </c>
      <c r="N192" s="142">
        <f t="shared" si="89"/>
        <v>8211640441.1000004</v>
      </c>
      <c r="O192" s="142">
        <f t="shared" si="89"/>
        <v>24929425513.619995</v>
      </c>
      <c r="P192" s="142">
        <f t="shared" si="89"/>
        <v>15549984118.42</v>
      </c>
      <c r="Q192" s="143">
        <f t="shared" si="71"/>
        <v>206652424547.69998</v>
      </c>
      <c r="R192" s="143">
        <f t="shared" si="72"/>
        <v>11798043706.300018</v>
      </c>
      <c r="S192" s="144">
        <f t="shared" si="73"/>
        <v>0.94599213359166612</v>
      </c>
      <c r="T192" s="144">
        <f t="shared" si="70"/>
        <v>0.94666415466446785</v>
      </c>
    </row>
    <row r="193" spans="1:20" x14ac:dyDescent="0.25">
      <c r="A193" s="141" t="s">
        <v>625</v>
      </c>
      <c r="B193" s="141" t="s">
        <v>624</v>
      </c>
      <c r="C193" s="142">
        <f>+C194+C208+C226+C228+C236</f>
        <v>218295393915.01001</v>
      </c>
      <c r="D193" s="142">
        <f>+D194+D208+D226+D228+D236</f>
        <v>218450468254</v>
      </c>
      <c r="E193" s="142">
        <f t="shared" ref="E193:P193" si="90">+E194+E208+E226+E228+E236</f>
        <v>1065424547.01</v>
      </c>
      <c r="F193" s="142">
        <f t="shared" si="90"/>
        <v>12035981562.859999</v>
      </c>
      <c r="G193" s="142">
        <f t="shared" si="90"/>
        <v>20676700498.379997</v>
      </c>
      <c r="H193" s="142">
        <f t="shared" si="90"/>
        <v>3469191340.8400002</v>
      </c>
      <c r="I193" s="142">
        <f t="shared" si="90"/>
        <v>51438980939.049995</v>
      </c>
      <c r="J193" s="142">
        <f t="shared" si="90"/>
        <v>9171908807.9200001</v>
      </c>
      <c r="K193" s="142">
        <f t="shared" si="90"/>
        <v>9893785066.7299995</v>
      </c>
      <c r="L193" s="142">
        <f t="shared" si="90"/>
        <v>43454728087.419998</v>
      </c>
      <c r="M193" s="142">
        <f t="shared" si="90"/>
        <v>6730244424.3499994</v>
      </c>
      <c r="N193" s="142">
        <f t="shared" si="90"/>
        <v>8211640441.1000004</v>
      </c>
      <c r="O193" s="142">
        <f t="shared" si="90"/>
        <v>24929425513.619995</v>
      </c>
      <c r="P193" s="142">
        <f t="shared" si="90"/>
        <v>15549984118.42</v>
      </c>
      <c r="Q193" s="143">
        <f t="shared" si="71"/>
        <v>206627995347.69998</v>
      </c>
      <c r="R193" s="143">
        <f t="shared" si="72"/>
        <v>11822472906.300018</v>
      </c>
      <c r="S193" s="144">
        <f t="shared" si="73"/>
        <v>0.94588030412206026</v>
      </c>
      <c r="T193" s="144">
        <f t="shared" si="70"/>
        <v>0.94655224575259456</v>
      </c>
    </row>
    <row r="194" spans="1:20" x14ac:dyDescent="0.25">
      <c r="A194" s="141" t="s">
        <v>622</v>
      </c>
      <c r="B194" s="141" t="s">
        <v>116</v>
      </c>
      <c r="C194" s="142">
        <f>+C195+C205+C206+C207</f>
        <v>207776489380.01001</v>
      </c>
      <c r="D194" s="142">
        <f>+D195+D205+D206+D207</f>
        <v>208135263719</v>
      </c>
      <c r="E194" s="142">
        <f t="shared" ref="E194:P194" si="91">+E195+E205+E206+E207</f>
        <v>233446278.16</v>
      </c>
      <c r="F194" s="142">
        <f t="shared" si="91"/>
        <v>11832011837.889999</v>
      </c>
      <c r="G194" s="142">
        <f t="shared" si="91"/>
        <v>20253658836.429996</v>
      </c>
      <c r="H194" s="142">
        <f t="shared" si="91"/>
        <v>232918848.61000001</v>
      </c>
      <c r="I194" s="142">
        <f t="shared" si="91"/>
        <v>47736924470.07</v>
      </c>
      <c r="J194" s="142">
        <f t="shared" si="91"/>
        <v>9019353247.0699997</v>
      </c>
      <c r="K194" s="142">
        <f t="shared" si="91"/>
        <v>9729049927.1800003</v>
      </c>
      <c r="L194" s="142">
        <f t="shared" si="91"/>
        <v>43375842714.099998</v>
      </c>
      <c r="M194" s="142">
        <f t="shared" si="91"/>
        <v>6529830389.1499996</v>
      </c>
      <c r="N194" s="142">
        <f t="shared" si="91"/>
        <v>8027991045.0600004</v>
      </c>
      <c r="O194" s="142">
        <f t="shared" si="91"/>
        <v>24794909960.029995</v>
      </c>
      <c r="P194" s="142">
        <f t="shared" si="91"/>
        <v>14343539295.960001</v>
      </c>
      <c r="Q194" s="143">
        <f t="shared" si="71"/>
        <v>196109476849.70999</v>
      </c>
      <c r="R194" s="143">
        <f t="shared" si="72"/>
        <v>12025786869.290009</v>
      </c>
      <c r="S194" s="144">
        <f t="shared" si="73"/>
        <v>0.94222129083553174</v>
      </c>
      <c r="T194" s="144">
        <f t="shared" si="70"/>
        <v>0.9438482546070851</v>
      </c>
    </row>
    <row r="195" spans="1:20" x14ac:dyDescent="0.25">
      <c r="A195" s="141" t="s">
        <v>621</v>
      </c>
      <c r="B195" s="141" t="s">
        <v>620</v>
      </c>
      <c r="C195" s="142">
        <f>+C196+C197+C198+C199+C200+C201+C202+C203+C204</f>
        <v>203323040119</v>
      </c>
      <c r="D195" s="142">
        <f>+D196+D197+D198+D199+D200+D201+D202+D203+D204</f>
        <v>203323385268</v>
      </c>
      <c r="E195" s="142">
        <f>+E196+E197+E199+E200+E201+E202+E203</f>
        <v>0</v>
      </c>
      <c r="F195" s="142">
        <f t="shared" ref="F195:P195" si="92">+F196+F197+F199+F200+F201+F202+F203</f>
        <v>11598521364.58</v>
      </c>
      <c r="G195" s="142">
        <f t="shared" si="92"/>
        <v>19917667266.529999</v>
      </c>
      <c r="H195" s="142">
        <f t="shared" si="92"/>
        <v>0</v>
      </c>
      <c r="I195" s="142">
        <f t="shared" si="92"/>
        <v>47458114931.580002</v>
      </c>
      <c r="J195" s="142">
        <f t="shared" si="92"/>
        <v>8693147270.4200001</v>
      </c>
      <c r="K195" s="142">
        <f t="shared" si="92"/>
        <v>8728771616.0799999</v>
      </c>
      <c r="L195" s="142">
        <f t="shared" si="92"/>
        <v>43146367675.900002</v>
      </c>
      <c r="M195" s="142">
        <f t="shared" si="92"/>
        <v>6293984373.9799995</v>
      </c>
      <c r="N195" s="142">
        <f t="shared" si="92"/>
        <v>7803417721.5</v>
      </c>
      <c r="O195" s="142">
        <f t="shared" si="92"/>
        <v>24430192664.169998</v>
      </c>
      <c r="P195" s="142">
        <f t="shared" si="92"/>
        <v>13684895212.810001</v>
      </c>
      <c r="Q195" s="143">
        <f t="shared" si="71"/>
        <v>191755080097.54999</v>
      </c>
      <c r="R195" s="143">
        <f t="shared" si="72"/>
        <v>11568305170.450012</v>
      </c>
      <c r="S195" s="144">
        <f t="shared" si="73"/>
        <v>0.94310391224697609</v>
      </c>
      <c r="T195" s="144">
        <f t="shared" si="70"/>
        <v>0.94310551320362135</v>
      </c>
    </row>
    <row r="196" spans="1:20" x14ac:dyDescent="0.25">
      <c r="A196" s="141" t="s">
        <v>140</v>
      </c>
      <c r="B196" s="141" t="s">
        <v>139</v>
      </c>
      <c r="C196" s="145">
        <v>32731041084</v>
      </c>
      <c r="D196" s="145">
        <v>32731041084</v>
      </c>
      <c r="E196" s="145">
        <f>+IFERROR(VLOOKUP(A196,Totalidad!$A$3:$M$356,2,FALSE), "No encontrado")</f>
        <v>0</v>
      </c>
      <c r="F196" s="145">
        <f>+IFERROR(VLOOKUP(A196,Totalidad!$A$3:$M$356,3,FALSE), "No encontrado")</f>
        <v>0</v>
      </c>
      <c r="G196" s="145">
        <f>+IFERROR(VLOOKUP(A196,Totalidad!$A$3:$M$356,4,FALSE), "No encontrado")</f>
        <v>642510949</v>
      </c>
      <c r="H196" s="145">
        <f>+IFERROR(VLOOKUP(A196,Totalidad!$A$3:$M$356,5,FALSE), "No encontrado")</f>
        <v>0</v>
      </c>
      <c r="I196" s="145">
        <f>+IFERROR(VLOOKUP(A196,Totalidad!$A$3:$M$356,6,FALSE), "No encontrado")</f>
        <v>11907576997.129999</v>
      </c>
      <c r="J196" s="145">
        <f>+IFERROR(VLOOKUP(A196,Totalidad!$A$3:$M$356,7,FALSE), "No encontrado")</f>
        <v>0</v>
      </c>
      <c r="K196" s="145">
        <f>+IFERROR(VLOOKUP(A196,Totalidad!$A$3:$M$356,8,FALSE), "No encontrado")</f>
        <v>0</v>
      </c>
      <c r="L196" s="145">
        <f>+IFERROR(VLOOKUP(A196,Totalidad!$A$3:$M$356,9,FALSE), "No encontrado")</f>
        <v>20180953137.669998</v>
      </c>
      <c r="M196" s="145">
        <f>+IFERROR(VLOOKUP(A196,Totalidad!$A$3:$M$356,10,FALSE), "No encontrado")</f>
        <v>0</v>
      </c>
      <c r="N196" s="145">
        <f>+IFERROR(VLOOKUP(A196,Totalidad!$A$3:$M$356,11,FALSE), "No encontrado")</f>
        <v>0</v>
      </c>
      <c r="O196" s="145">
        <f>+IFERROR(VLOOKUP(A196,Totalidad!$A$3:$M$356,12,FALSE), "No encontrado")</f>
        <v>0</v>
      </c>
      <c r="P196" s="145">
        <f>+IFERROR(VLOOKUP(A196,Totalidad!$A$3:$M$356,13,FALSE), "No encontrado")</f>
        <v>0</v>
      </c>
      <c r="Q196" s="143">
        <f t="shared" si="71"/>
        <v>32731041083.799995</v>
      </c>
      <c r="R196" s="143">
        <f t="shared" si="72"/>
        <v>0.20000457763671875</v>
      </c>
      <c r="S196" s="144">
        <f t="shared" si="73"/>
        <v>0.99999999999388944</v>
      </c>
      <c r="T196" s="144">
        <f t="shared" si="70"/>
        <v>0.99999999999388944</v>
      </c>
    </row>
    <row r="197" spans="1:20" x14ac:dyDescent="0.25">
      <c r="A197" s="141" t="s">
        <v>138</v>
      </c>
      <c r="B197" s="141" t="s">
        <v>137</v>
      </c>
      <c r="C197" s="145">
        <v>12453000000</v>
      </c>
      <c r="D197" s="145">
        <v>12453308774</v>
      </c>
      <c r="E197" s="145">
        <f>+IFERROR(VLOOKUP(A197,Totalidad!$A$3:$M$356,2,FALSE), "No encontrado")</f>
        <v>0</v>
      </c>
      <c r="F197" s="145">
        <f>+IFERROR(VLOOKUP(A197,Totalidad!$A$3:$M$356,3,FALSE), "No encontrado")</f>
        <v>0</v>
      </c>
      <c r="G197" s="145">
        <f>+IFERROR(VLOOKUP(A197,Totalidad!$A$3:$M$356,4,FALSE), "No encontrado")</f>
        <v>0</v>
      </c>
      <c r="H197" s="145">
        <f>+IFERROR(VLOOKUP(A197,Totalidad!$A$3:$M$356,5,FALSE), "No encontrado")</f>
        <v>0</v>
      </c>
      <c r="I197" s="145">
        <f>+IFERROR(VLOOKUP(A197,Totalidad!$A$3:$M$356,6,FALSE), "No encontrado")</f>
        <v>1884670000</v>
      </c>
      <c r="J197" s="145">
        <f>+IFERROR(VLOOKUP(A197,Totalidad!$A$3:$M$356,7,FALSE), "No encontrado")</f>
        <v>1091265000</v>
      </c>
      <c r="K197" s="145">
        <f>+IFERROR(VLOOKUP(A197,Totalidad!$A$3:$M$356,8,FALSE), "No encontrado")</f>
        <v>1235712500</v>
      </c>
      <c r="L197" s="145">
        <f>+IFERROR(VLOOKUP(A197,Totalidad!$A$3:$M$356,9,FALSE), "No encontrado")</f>
        <v>1261362500</v>
      </c>
      <c r="M197" s="145">
        <f>+IFERROR(VLOOKUP(A197,Totalidad!$A$3:$M$356,10,FALSE), "No encontrado")</f>
        <v>1178237500</v>
      </c>
      <c r="N197" s="145">
        <f>+IFERROR(VLOOKUP(A197,Totalidad!$A$3:$M$356,11,FALSE), "No encontrado")</f>
        <v>991990000</v>
      </c>
      <c r="O197" s="145">
        <f>+IFERROR(VLOOKUP(A197,Totalidad!$A$3:$M$356,12,FALSE), "No encontrado")</f>
        <v>899513500</v>
      </c>
      <c r="P197" s="145">
        <f>+IFERROR(VLOOKUP(A197,Totalidad!$A$3:$M$356,13,FALSE), "No encontrado")</f>
        <v>851342500</v>
      </c>
      <c r="Q197" s="143">
        <f t="shared" si="71"/>
        <v>9394093500</v>
      </c>
      <c r="R197" s="143">
        <f t="shared" si="72"/>
        <v>3059215274</v>
      </c>
      <c r="S197" s="144">
        <f t="shared" si="73"/>
        <v>0.75434518411789286</v>
      </c>
      <c r="T197" s="144">
        <f t="shared" si="70"/>
        <v>0.75436388821970612</v>
      </c>
    </row>
    <row r="198" spans="1:20" x14ac:dyDescent="0.25">
      <c r="A198" s="141" t="s">
        <v>136</v>
      </c>
      <c r="B198" s="141" t="s">
        <v>135</v>
      </c>
      <c r="C198" s="145">
        <v>0</v>
      </c>
      <c r="D198" s="145">
        <v>0</v>
      </c>
      <c r="E198" s="145" t="str">
        <f>+IFERROR(VLOOKUP(A198,Totalidad!$A$3:$M$356,2,FALSE), "No encontrado")</f>
        <v>No encontrado</v>
      </c>
      <c r="F198" s="145" t="str">
        <f>+IFERROR(VLOOKUP(A198,Totalidad!$A$3:$M$356,3,FALSE), "No encontrado")</f>
        <v>No encontrado</v>
      </c>
      <c r="G198" s="145" t="str">
        <f>+IFERROR(VLOOKUP(A198,Totalidad!$A$3:$M$356,4,FALSE), "No encontrado")</f>
        <v>No encontrado</v>
      </c>
      <c r="H198" s="145" t="str">
        <f>+IFERROR(VLOOKUP(A198,Totalidad!$A$3:$M$356,5,FALSE), "No encontrado")</f>
        <v>No encontrado</v>
      </c>
      <c r="I198" s="145" t="str">
        <f>+IFERROR(VLOOKUP(A198,Totalidad!$A$3:$M$356,6,FALSE), "No encontrado")</f>
        <v>No encontrado</v>
      </c>
      <c r="J198" s="145" t="str">
        <f>+IFERROR(VLOOKUP(A198,Totalidad!$A$3:$M$356,7,FALSE), "No encontrado")</f>
        <v>No encontrado</v>
      </c>
      <c r="K198" s="145" t="str">
        <f>+IFERROR(VLOOKUP(A198,Totalidad!$A$3:$M$356,8,FALSE), "No encontrado")</f>
        <v>No encontrado</v>
      </c>
      <c r="L198" s="145" t="str">
        <f>+IFERROR(VLOOKUP(A198,Totalidad!$A$3:$M$356,9,FALSE), "No encontrado")</f>
        <v>No encontrado</v>
      </c>
      <c r="M198" s="145" t="str">
        <f>+IFERROR(VLOOKUP(A198,Totalidad!$A$3:$M$356,10,FALSE), "No encontrado")</f>
        <v>No encontrado</v>
      </c>
      <c r="N198" s="145" t="str">
        <f>+IFERROR(VLOOKUP(A198,Totalidad!$A$3:$M$356,11,FALSE), "No encontrado")</f>
        <v>No encontrado</v>
      </c>
      <c r="O198" s="145" t="str">
        <f>+IFERROR(VLOOKUP(A198,Totalidad!$A$3:$M$356,12,FALSE), "No encontrado")</f>
        <v>No encontrado</v>
      </c>
      <c r="P198" s="145" t="str">
        <f>+IFERROR(VLOOKUP(A198,Totalidad!$A$3:$M$356,13,FALSE), "No encontrado")</f>
        <v>No encontrado</v>
      </c>
      <c r="Q198" s="143">
        <f t="shared" si="71"/>
        <v>0</v>
      </c>
      <c r="R198" s="143">
        <f t="shared" si="72"/>
        <v>0</v>
      </c>
      <c r="S198" s="144" t="e">
        <f t="shared" si="73"/>
        <v>#DIV/0!</v>
      </c>
      <c r="T198" s="144" t="e">
        <f t="shared" si="70"/>
        <v>#DIV/0!</v>
      </c>
    </row>
    <row r="199" spans="1:20" x14ac:dyDescent="0.25">
      <c r="A199" s="141" t="s">
        <v>134</v>
      </c>
      <c r="B199" s="141" t="s">
        <v>133</v>
      </c>
      <c r="C199" s="145">
        <v>80344600000</v>
      </c>
      <c r="D199" s="145">
        <v>80344636375</v>
      </c>
      <c r="E199" s="145">
        <f>+IFERROR(VLOOKUP(A199,Totalidad!$A$3:$M$356,2,FALSE), "No encontrado")</f>
        <v>0</v>
      </c>
      <c r="F199" s="145">
        <f>+IFERROR(VLOOKUP(A199,Totalidad!$A$3:$M$356,3,FALSE), "No encontrado")</f>
        <v>6695386364.5799999</v>
      </c>
      <c r="G199" s="145">
        <f>+IFERROR(VLOOKUP(A199,Totalidad!$A$3:$M$356,4,FALSE), "No encontrado")</f>
        <v>6695386364.5799999</v>
      </c>
      <c r="H199" s="145">
        <f>+IFERROR(VLOOKUP(A199,Totalidad!$A$3:$M$356,5,FALSE), "No encontrado")</f>
        <v>0</v>
      </c>
      <c r="I199" s="145">
        <f>+IFERROR(VLOOKUP(A199,Totalidad!$A$3:$M$356,6,FALSE), "No encontrado")</f>
        <v>13390772729.34</v>
      </c>
      <c r="J199" s="145">
        <f>+IFERROR(VLOOKUP(A199,Totalidad!$A$3:$M$356,7,FALSE), "No encontrado")</f>
        <v>6695386364.4200001</v>
      </c>
      <c r="K199" s="145">
        <f>+IFERROR(VLOOKUP(A199,Totalidad!$A$3:$M$356,8,FALSE), "No encontrado")</f>
        <v>6695386364.0799999</v>
      </c>
      <c r="L199" s="145">
        <f>+IFERROR(VLOOKUP(A199,Totalidad!$A$3:$M$356,9,FALSE), "No encontrado")</f>
        <v>6695386365.0799999</v>
      </c>
      <c r="M199" s="145">
        <f>+IFERROR(VLOOKUP(A199,Totalidad!$A$3:$M$356,10,FALSE), "No encontrado")</f>
        <v>0</v>
      </c>
      <c r="N199" s="145">
        <f>+IFERROR(VLOOKUP(A199,Totalidad!$A$3:$M$356,11,FALSE), "No encontrado")</f>
        <v>6695386364.5</v>
      </c>
      <c r="O199" s="145">
        <f>+IFERROR(VLOOKUP(A199,Totalidad!$A$3:$M$356,12,FALSE), "No encontrado")</f>
        <v>13390772405.17</v>
      </c>
      <c r="P199" s="145">
        <f>+IFERROR(VLOOKUP(A199,Totalidad!$A$3:$M$356,13,FALSE), "No encontrado")</f>
        <v>6695300000</v>
      </c>
      <c r="Q199" s="143">
        <f t="shared" si="71"/>
        <v>73649163321.75</v>
      </c>
      <c r="R199" s="143">
        <f t="shared" si="72"/>
        <v>6695473053.25</v>
      </c>
      <c r="S199" s="144">
        <f t="shared" si="73"/>
        <v>0.91666558770644513</v>
      </c>
      <c r="T199" s="144">
        <f t="shared" si="70"/>
        <v>0.9166660027151794</v>
      </c>
    </row>
    <row r="200" spans="1:20" x14ac:dyDescent="0.25">
      <c r="A200" s="141" t="s">
        <v>132</v>
      </c>
      <c r="B200" s="141" t="s">
        <v>131</v>
      </c>
      <c r="C200" s="145">
        <v>17738274829</v>
      </c>
      <c r="D200" s="145">
        <v>17738274829</v>
      </c>
      <c r="E200" s="145">
        <f>+IFERROR(VLOOKUP(A200,Totalidad!$A$3:$M$356,2,FALSE), "No encontrado")</f>
        <v>0</v>
      </c>
      <c r="F200" s="145">
        <f>+IFERROR(VLOOKUP(A200,Totalidad!$A$3:$M$356,3,FALSE), "No encontrado")</f>
        <v>0</v>
      </c>
      <c r="G200" s="145">
        <f>+IFERROR(VLOOKUP(A200,Totalidad!$A$3:$M$356,4,FALSE), "No encontrado")</f>
        <v>7960529344.0600004</v>
      </c>
      <c r="H200" s="145">
        <f>+IFERROR(VLOOKUP(A200,Totalidad!$A$3:$M$356,5,FALSE), "No encontrado")</f>
        <v>0</v>
      </c>
      <c r="I200" s="145">
        <f>+IFERROR(VLOOKUP(A200,Totalidad!$A$3:$M$356,6,FALSE), "No encontrado")</f>
        <v>9777745484.9400005</v>
      </c>
      <c r="J200" s="145">
        <f>+IFERROR(VLOOKUP(A200,Totalidad!$A$3:$M$356,7,FALSE), "No encontrado")</f>
        <v>0</v>
      </c>
      <c r="K200" s="145">
        <f>+IFERROR(VLOOKUP(A200,Totalidad!$A$3:$M$356,8,FALSE), "No encontrado")</f>
        <v>0</v>
      </c>
      <c r="L200" s="145">
        <f>+IFERROR(VLOOKUP(A200,Totalidad!$A$3:$M$356,9,FALSE), "No encontrado")</f>
        <v>0</v>
      </c>
      <c r="M200" s="145">
        <f>+IFERROR(VLOOKUP(A200,Totalidad!$A$3:$M$356,10,FALSE), "No encontrado")</f>
        <v>0</v>
      </c>
      <c r="N200" s="145">
        <f>+IFERROR(VLOOKUP(A200,Totalidad!$A$3:$M$356,11,FALSE), "No encontrado")</f>
        <v>0</v>
      </c>
      <c r="O200" s="145">
        <f>+IFERROR(VLOOKUP(A200,Totalidad!$A$3:$M$356,12,FALSE), "No encontrado")</f>
        <v>0</v>
      </c>
      <c r="P200" s="145">
        <f>+IFERROR(VLOOKUP(A200,Totalidad!$A$3:$M$356,13,FALSE), "No encontrado")</f>
        <v>0</v>
      </c>
      <c r="Q200" s="143">
        <f t="shared" si="71"/>
        <v>17738274829</v>
      </c>
      <c r="R200" s="143">
        <f t="shared" si="72"/>
        <v>0</v>
      </c>
      <c r="S200" s="144">
        <f t="shared" si="73"/>
        <v>1</v>
      </c>
      <c r="T200" s="144">
        <f t="shared" si="70"/>
        <v>1</v>
      </c>
    </row>
    <row r="201" spans="1:20" x14ac:dyDescent="0.25">
      <c r="A201" s="141" t="s">
        <v>130</v>
      </c>
      <c r="B201" s="141" t="s">
        <v>129</v>
      </c>
      <c r="C201" s="145">
        <v>50000000000</v>
      </c>
      <c r="D201" s="145">
        <v>50000000000</v>
      </c>
      <c r="E201" s="145">
        <f>+IFERROR(VLOOKUP(A201,Totalidad!$A$3:$M$356,2,FALSE), "No encontrado")</f>
        <v>0</v>
      </c>
      <c r="F201" s="145">
        <f>+IFERROR(VLOOKUP(A201,Totalidad!$A$3:$M$356,3,FALSE), "No encontrado")</f>
        <v>4305035000</v>
      </c>
      <c r="G201" s="145">
        <f>+IFERROR(VLOOKUP(A201,Totalidad!$A$3:$M$356,4,FALSE), "No encontrado")</f>
        <v>4448426228.8900003</v>
      </c>
      <c r="H201" s="145">
        <f>+IFERROR(VLOOKUP(A201,Totalidad!$A$3:$M$356,5,FALSE), "No encontrado")</f>
        <v>0</v>
      </c>
      <c r="I201" s="145">
        <f>+IFERROR(VLOOKUP(A201,Totalidad!$A$3:$M$356,6,FALSE), "No encontrado")</f>
        <v>8794219364.1700001</v>
      </c>
      <c r="J201" s="145">
        <f>+IFERROR(VLOOKUP(A201,Totalidad!$A$3:$M$356,7,FALSE), "No encontrado")</f>
        <v>0</v>
      </c>
      <c r="K201" s="145">
        <f>+IFERROR(VLOOKUP(A201,Totalidad!$A$3:$M$356,8,FALSE), "No encontrado")</f>
        <v>0</v>
      </c>
      <c r="L201" s="145">
        <f>+IFERROR(VLOOKUP(A201,Totalidad!$A$3:$M$356,9,FALSE), "No encontrado")</f>
        <v>14239065200.15</v>
      </c>
      <c r="M201" s="145">
        <f>+IFERROR(VLOOKUP(A201,Totalidad!$A$3:$M$356,10,FALSE), "No encontrado")</f>
        <v>4311514351.9799995</v>
      </c>
      <c r="N201" s="145">
        <f>+IFERROR(VLOOKUP(A201,Totalidad!$A$3:$M$356,11,FALSE), "No encontrado")</f>
        <v>0</v>
      </c>
      <c r="O201" s="145">
        <f>+IFERROR(VLOOKUP(A201,Totalidad!$A$3:$M$356,12,FALSE), "No encontrado")</f>
        <v>8752350000</v>
      </c>
      <c r="P201" s="145">
        <f>+IFERROR(VLOOKUP(A201,Totalidad!$A$3:$M$356,13,FALSE), "No encontrado")</f>
        <v>5149389854.8100004</v>
      </c>
      <c r="Q201" s="143">
        <f t="shared" si="71"/>
        <v>50000000000</v>
      </c>
      <c r="R201" s="143">
        <f t="shared" si="72"/>
        <v>0</v>
      </c>
      <c r="S201" s="144">
        <f t="shared" si="73"/>
        <v>1</v>
      </c>
      <c r="T201" s="144">
        <f t="shared" si="70"/>
        <v>1</v>
      </c>
    </row>
    <row r="202" spans="1:20" x14ac:dyDescent="0.25">
      <c r="A202" s="141" t="s">
        <v>128</v>
      </c>
      <c r="B202" s="141" t="s">
        <v>127</v>
      </c>
      <c r="C202" s="145">
        <v>7177242240</v>
      </c>
      <c r="D202" s="145">
        <v>7177242240</v>
      </c>
      <c r="E202" s="145">
        <f>+IFERROR(VLOOKUP(A202,Totalidad!$A$3:$M$356,2,FALSE), "No encontrado")</f>
        <v>0</v>
      </c>
      <c r="F202" s="145">
        <f>+IFERROR(VLOOKUP(A202,Totalidad!$A$3:$M$356,3,FALSE), "No encontrado")</f>
        <v>598100000</v>
      </c>
      <c r="G202" s="145">
        <f>+IFERROR(VLOOKUP(A202,Totalidad!$A$3:$M$356,4,FALSE), "No encontrado")</f>
        <v>0</v>
      </c>
      <c r="H202" s="145">
        <f>+IFERROR(VLOOKUP(A202,Totalidad!$A$3:$M$356,5,FALSE), "No encontrado")</f>
        <v>0</v>
      </c>
      <c r="I202" s="145">
        <f>+IFERROR(VLOOKUP(A202,Totalidad!$A$3:$M$356,6,FALSE), "No encontrado")</f>
        <v>1474828340</v>
      </c>
      <c r="J202" s="145">
        <f>+IFERROR(VLOOKUP(A202,Totalidad!$A$3:$M$356,7,FALSE), "No encontrado")</f>
        <v>675795520</v>
      </c>
      <c r="K202" s="145">
        <f>+IFERROR(VLOOKUP(A202,Totalidad!$A$3:$M$356,8,FALSE), "No encontrado")</f>
        <v>681396550</v>
      </c>
      <c r="L202" s="145">
        <f>+IFERROR(VLOOKUP(A202,Totalidad!$A$3:$M$356,9,FALSE), "No encontrado")</f>
        <v>675011925</v>
      </c>
      <c r="M202" s="145">
        <f>+IFERROR(VLOOKUP(A202,Totalidad!$A$3:$M$356,10,FALSE), "No encontrado")</f>
        <v>676217973</v>
      </c>
      <c r="N202" s="145">
        <f>+IFERROR(VLOOKUP(A202,Totalidad!$A$3:$M$356,11,FALSE), "No encontrado")</f>
        <v>0</v>
      </c>
      <c r="O202" s="145">
        <f>+IFERROR(VLOOKUP(A202,Totalidad!$A$3:$M$356,12,FALSE), "No encontrado")</f>
        <v>1199685292</v>
      </c>
      <c r="P202" s="145">
        <f>+IFERROR(VLOOKUP(A202,Totalidad!$A$3:$M$356,13,FALSE), "No encontrado")</f>
        <v>598103520</v>
      </c>
      <c r="Q202" s="143">
        <f t="shared" si="71"/>
        <v>6579139120</v>
      </c>
      <c r="R202" s="143">
        <f t="shared" si="72"/>
        <v>598103120</v>
      </c>
      <c r="S202" s="144">
        <f t="shared" si="73"/>
        <v>0.91666672239837899</v>
      </c>
      <c r="T202" s="144">
        <f t="shared" si="70"/>
        <v>0.91666672239837899</v>
      </c>
    </row>
    <row r="203" spans="1:20" x14ac:dyDescent="0.25">
      <c r="A203" s="141" t="s">
        <v>126</v>
      </c>
      <c r="B203" s="141" t="s">
        <v>125</v>
      </c>
      <c r="C203" s="145">
        <v>2878881966</v>
      </c>
      <c r="D203" s="145">
        <v>2878881966</v>
      </c>
      <c r="E203" s="145">
        <f>+IFERROR(VLOOKUP(A203,Totalidad!$A$3:$M$356,2,FALSE), "No encontrado")</f>
        <v>0</v>
      </c>
      <c r="F203" s="145">
        <f>+IFERROR(VLOOKUP(A203,Totalidad!$A$3:$M$356,3,FALSE), "No encontrado")</f>
        <v>0</v>
      </c>
      <c r="G203" s="145">
        <f>+IFERROR(VLOOKUP(A203,Totalidad!$A$3:$M$356,4,FALSE), "No encontrado")</f>
        <v>170814380</v>
      </c>
      <c r="H203" s="145">
        <f>+IFERROR(VLOOKUP(A203,Totalidad!$A$3:$M$356,5,FALSE), "No encontrado")</f>
        <v>0</v>
      </c>
      <c r="I203" s="145">
        <f>+IFERROR(VLOOKUP(A203,Totalidad!$A$3:$M$356,6,FALSE), "No encontrado")</f>
        <v>228302016</v>
      </c>
      <c r="J203" s="145">
        <f>+IFERROR(VLOOKUP(A203,Totalidad!$A$3:$M$356,7,FALSE), "No encontrado")</f>
        <v>230700386</v>
      </c>
      <c r="K203" s="145">
        <f>+IFERROR(VLOOKUP(A203,Totalidad!$A$3:$M$356,8,FALSE), "No encontrado")</f>
        <v>116276202</v>
      </c>
      <c r="L203" s="145">
        <f>+IFERROR(VLOOKUP(A203,Totalidad!$A$3:$M$356,9,FALSE), "No encontrado")</f>
        <v>94588548</v>
      </c>
      <c r="M203" s="145">
        <f>+IFERROR(VLOOKUP(A203,Totalidad!$A$3:$M$356,10,FALSE), "No encontrado")</f>
        <v>128014549</v>
      </c>
      <c r="N203" s="145">
        <f>+IFERROR(VLOOKUP(A203,Totalidad!$A$3:$M$356,11,FALSE), "No encontrado")</f>
        <v>116041357</v>
      </c>
      <c r="O203" s="145">
        <f>+IFERROR(VLOOKUP(A203,Totalidad!$A$3:$M$356,12,FALSE), "No encontrado")</f>
        <v>187871467</v>
      </c>
      <c r="P203" s="145">
        <f>+IFERROR(VLOOKUP(A203,Totalidad!$A$3:$M$356,13,FALSE), "No encontrado")</f>
        <v>390759338</v>
      </c>
      <c r="Q203" s="143">
        <f t="shared" si="71"/>
        <v>1663368243</v>
      </c>
      <c r="R203" s="143">
        <f t="shared" si="72"/>
        <v>1215513723</v>
      </c>
      <c r="S203" s="144">
        <f t="shared" si="73"/>
        <v>0.57778271657004776</v>
      </c>
      <c r="T203" s="144">
        <f t="shared" si="70"/>
        <v>0.57778271657004776</v>
      </c>
    </row>
    <row r="204" spans="1:20" x14ac:dyDescent="0.25">
      <c r="A204" s="141" t="s">
        <v>124</v>
      </c>
      <c r="B204" s="141" t="s">
        <v>123</v>
      </c>
      <c r="C204" s="145">
        <v>0</v>
      </c>
      <c r="D204" s="145">
        <v>0</v>
      </c>
      <c r="E204" s="145" t="str">
        <f>+IFERROR(VLOOKUP(A204,Totalidad!$A$3:$M$356,2,FALSE), "No encontrado")</f>
        <v>No encontrado</v>
      </c>
      <c r="F204" s="145" t="str">
        <f>+IFERROR(VLOOKUP(A204,Totalidad!$A$3:$M$356,3,FALSE), "No encontrado")</f>
        <v>No encontrado</v>
      </c>
      <c r="G204" s="145" t="str">
        <f>+IFERROR(VLOOKUP(A204,Totalidad!$A$3:$M$356,4,FALSE), "No encontrado")</f>
        <v>No encontrado</v>
      </c>
      <c r="H204" s="145" t="str">
        <f>+IFERROR(VLOOKUP(A204,Totalidad!$A$3:$M$356,5,FALSE), "No encontrado")</f>
        <v>No encontrado</v>
      </c>
      <c r="I204" s="145" t="str">
        <f>+IFERROR(VLOOKUP(A204,Totalidad!$A$3:$M$356,6,FALSE), "No encontrado")</f>
        <v>No encontrado</v>
      </c>
      <c r="J204" s="145" t="str">
        <f>+IFERROR(VLOOKUP(A204,Totalidad!$A$3:$M$356,7,FALSE), "No encontrado")</f>
        <v>No encontrado</v>
      </c>
      <c r="K204" s="145" t="str">
        <f>+IFERROR(VLOOKUP(A204,Totalidad!$A$3:$M$356,8,FALSE), "No encontrado")</f>
        <v>No encontrado</v>
      </c>
      <c r="L204" s="145" t="str">
        <f>+IFERROR(VLOOKUP(A204,Totalidad!$A$3:$M$356,9,FALSE), "No encontrado")</f>
        <v>No encontrado</v>
      </c>
      <c r="M204" s="145" t="str">
        <f>+IFERROR(VLOOKUP(A204,Totalidad!$A$3:$M$356,10,FALSE), "No encontrado")</f>
        <v>No encontrado</v>
      </c>
      <c r="N204" s="145" t="str">
        <f>+IFERROR(VLOOKUP(A204,Totalidad!$A$3:$M$356,11,FALSE), "No encontrado")</f>
        <v>No encontrado</v>
      </c>
      <c r="O204" s="145" t="str">
        <f>+IFERROR(VLOOKUP(A204,Totalidad!$A$3:$M$356,12,FALSE), "No encontrado")</f>
        <v>No encontrado</v>
      </c>
      <c r="P204" s="145" t="str">
        <f>+IFERROR(VLOOKUP(A204,Totalidad!$A$3:$M$356,13,FALSE), "No encontrado")</f>
        <v>No encontrado</v>
      </c>
      <c r="Q204" s="143">
        <f t="shared" si="71"/>
        <v>0</v>
      </c>
      <c r="R204" s="143">
        <f t="shared" si="72"/>
        <v>0</v>
      </c>
      <c r="S204" s="144" t="e">
        <f t="shared" si="73"/>
        <v>#DIV/0!</v>
      </c>
      <c r="T204" s="144" t="e">
        <f t="shared" si="70"/>
        <v>#DIV/0!</v>
      </c>
    </row>
    <row r="205" spans="1:20" x14ac:dyDescent="0.25">
      <c r="A205" s="141" t="s">
        <v>122</v>
      </c>
      <c r="B205" s="141" t="s">
        <v>121</v>
      </c>
      <c r="C205" s="145">
        <v>3195554668.0100002</v>
      </c>
      <c r="D205" s="145">
        <v>3602083858</v>
      </c>
      <c r="E205" s="145">
        <f>+IFERROR(VLOOKUP(A205,Totalidad!$A$3:$M$356,2,FALSE), "No encontrado")</f>
        <v>233446278.16</v>
      </c>
      <c r="F205" s="145">
        <f>+IFERROR(VLOOKUP(A205,Totalidad!$A$3:$M$356,3,FALSE), "No encontrado")</f>
        <v>233490473.31</v>
      </c>
      <c r="G205" s="145">
        <f>+IFERROR(VLOOKUP(A205,Totalidad!$A$3:$M$356,4,FALSE), "No encontrado")</f>
        <v>233470210.62</v>
      </c>
      <c r="H205" s="145">
        <f>+IFERROR(VLOOKUP(A205,Totalidad!$A$3:$M$356,5,FALSE), "No encontrado")</f>
        <v>232918848.61000001</v>
      </c>
      <c r="I205" s="145">
        <f>+IFERROR(VLOOKUP(A205,Totalidad!$A$3:$M$356,6,FALSE), "No encontrado")</f>
        <v>232052414.88999999</v>
      </c>
      <c r="J205" s="145">
        <f>+IFERROR(VLOOKUP(A205,Totalidad!$A$3:$M$356,7,FALSE), "No encontrado")</f>
        <v>229134513.34999999</v>
      </c>
      <c r="K205" s="145">
        <f>+IFERROR(VLOOKUP(A205,Totalidad!$A$3:$M$356,8,FALSE), "No encontrado")</f>
        <v>229037083.81999999</v>
      </c>
      <c r="L205" s="145">
        <f>+IFERROR(VLOOKUP(A205,Totalidad!$A$3:$M$356,9,FALSE), "No encontrado")</f>
        <v>229475038.19999999</v>
      </c>
      <c r="M205" s="145">
        <f>+IFERROR(VLOOKUP(A205,Totalidad!$A$3:$M$356,10,FALSE), "No encontrado")</f>
        <v>235846015.16999999</v>
      </c>
      <c r="N205" s="145">
        <f>+IFERROR(VLOOKUP(A205,Totalidad!$A$3:$M$356,11,FALSE), "No encontrado")</f>
        <v>224573323.56</v>
      </c>
      <c r="O205" s="145">
        <f>+IFERROR(VLOOKUP(A205,Totalidad!$A$3:$M$356,12,FALSE), "No encontrado")</f>
        <v>226700100.00999999</v>
      </c>
      <c r="P205" s="145">
        <f>+IFERROR(VLOOKUP(A205,Totalidad!$A$3:$M$356,13,FALSE), "No encontrado")</f>
        <v>658644083.14999998</v>
      </c>
      <c r="Q205" s="143">
        <f t="shared" si="71"/>
        <v>3198788382.8499999</v>
      </c>
      <c r="R205" s="143">
        <f t="shared" si="72"/>
        <v>403295475.1500001</v>
      </c>
      <c r="S205" s="144">
        <f t="shared" si="73"/>
        <v>0.88803828809973251</v>
      </c>
      <c r="T205" s="144">
        <f t="shared" si="70"/>
        <v>1.0010119416426737</v>
      </c>
    </row>
    <row r="206" spans="1:20" x14ac:dyDescent="0.25">
      <c r="A206" s="141" t="s">
        <v>120</v>
      </c>
      <c r="B206" s="141" t="s">
        <v>119</v>
      </c>
      <c r="C206" s="145">
        <v>728100000</v>
      </c>
      <c r="D206" s="145">
        <v>680000000</v>
      </c>
      <c r="E206" s="145">
        <f>+IFERROR(VLOOKUP(A206,Totalidad!$A$3:$M$356,2,FALSE), "No encontrado")</f>
        <v>0</v>
      </c>
      <c r="F206" s="145">
        <f>+IFERROR(VLOOKUP(A206,Totalidad!$A$3:$M$356,3,FALSE), "No encontrado")</f>
        <v>0</v>
      </c>
      <c r="G206" s="145">
        <f>+IFERROR(VLOOKUP(A206,Totalidad!$A$3:$M$356,4,FALSE), "No encontrado")</f>
        <v>0</v>
      </c>
      <c r="H206" s="145">
        <f>+IFERROR(VLOOKUP(A206,Totalidad!$A$3:$M$356,5,FALSE), "No encontrado")</f>
        <v>0</v>
      </c>
      <c r="I206" s="145">
        <f>+IFERROR(VLOOKUP(A206,Totalidad!$A$3:$M$356,6,FALSE), "No encontrado")</f>
        <v>0</v>
      </c>
      <c r="J206" s="145">
        <f>+IFERROR(VLOOKUP(A206,Totalidad!$A$3:$M$356,7,FALSE), "No encontrado")</f>
        <v>0</v>
      </c>
      <c r="K206" s="145">
        <f>+IFERROR(VLOOKUP(A206,Totalidad!$A$3:$M$356,8,FALSE), "No encontrado")</f>
        <v>728114998.16999996</v>
      </c>
      <c r="L206" s="145">
        <f>+IFERROR(VLOOKUP(A206,Totalidad!$A$3:$M$356,9,FALSE), "No encontrado")</f>
        <v>0</v>
      </c>
      <c r="M206" s="145">
        <f>+IFERROR(VLOOKUP(A206,Totalidad!$A$3:$M$356,10,FALSE), "No encontrado")</f>
        <v>0</v>
      </c>
      <c r="N206" s="145">
        <f>+IFERROR(VLOOKUP(A206,Totalidad!$A$3:$M$356,11,FALSE), "No encontrado")</f>
        <v>0</v>
      </c>
      <c r="O206" s="145">
        <f>+IFERROR(VLOOKUP(A206,Totalidad!$A$3:$M$356,12,FALSE), "No encontrado")</f>
        <v>0</v>
      </c>
      <c r="P206" s="145">
        <f>+IFERROR(VLOOKUP(A206,Totalidad!$A$3:$M$356,13,FALSE), "No encontrado")</f>
        <v>0</v>
      </c>
      <c r="Q206" s="143">
        <f t="shared" si="71"/>
        <v>728114998.16999996</v>
      </c>
      <c r="R206" s="143">
        <f t="shared" si="72"/>
        <v>-48114998.169999957</v>
      </c>
      <c r="S206" s="144">
        <f t="shared" si="73"/>
        <v>1.0707573502499999</v>
      </c>
      <c r="T206" s="144">
        <f t="shared" si="70"/>
        <v>1.0000205990523279</v>
      </c>
    </row>
    <row r="207" spans="1:20" x14ac:dyDescent="0.25">
      <c r="A207" s="141" t="s">
        <v>118</v>
      </c>
      <c r="B207" s="141" t="s">
        <v>117</v>
      </c>
      <c r="C207" s="145">
        <v>529794593</v>
      </c>
      <c r="D207" s="145">
        <v>529794593</v>
      </c>
      <c r="E207" s="145">
        <f>+IFERROR(VLOOKUP(A207,Totalidad!$A$3:$M$356,2,FALSE), "No encontrado")</f>
        <v>0</v>
      </c>
      <c r="F207" s="145">
        <f>+IFERROR(VLOOKUP(A207,Totalidad!$A$3:$M$356,3,FALSE), "No encontrado")</f>
        <v>0</v>
      </c>
      <c r="G207" s="145">
        <f>+IFERROR(VLOOKUP(A207,Totalidad!$A$3:$M$356,4,FALSE), "No encontrado")</f>
        <v>102521359.28</v>
      </c>
      <c r="H207" s="145">
        <f>+IFERROR(VLOOKUP(A207,Totalidad!$A$3:$M$356,5,FALSE), "No encontrado")</f>
        <v>0</v>
      </c>
      <c r="I207" s="145">
        <f>+IFERROR(VLOOKUP(A207,Totalidad!$A$3:$M$356,6,FALSE), "No encontrado")</f>
        <v>46757123.600000001</v>
      </c>
      <c r="J207" s="145">
        <f>+IFERROR(VLOOKUP(A207,Totalidad!$A$3:$M$356,7,FALSE), "No encontrado")</f>
        <v>97071463.299999997</v>
      </c>
      <c r="K207" s="145">
        <f>+IFERROR(VLOOKUP(A207,Totalidad!$A$3:$M$356,8,FALSE), "No encontrado")</f>
        <v>43126229.109999999</v>
      </c>
      <c r="L207" s="145">
        <f>+IFERROR(VLOOKUP(A207,Totalidad!$A$3:$M$356,9,FALSE), "No encontrado")</f>
        <v>0</v>
      </c>
      <c r="M207" s="145">
        <f>+IFERROR(VLOOKUP(A207,Totalidad!$A$3:$M$356,10,FALSE), "No encontrado")</f>
        <v>0</v>
      </c>
      <c r="N207" s="145">
        <f>+IFERROR(VLOOKUP(A207,Totalidad!$A$3:$M$356,11,FALSE), "No encontrado")</f>
        <v>0</v>
      </c>
      <c r="O207" s="145">
        <f>+IFERROR(VLOOKUP(A207,Totalidad!$A$3:$M$356,12,FALSE), "No encontrado")</f>
        <v>138017195.84999999</v>
      </c>
      <c r="P207" s="145">
        <f>+IFERROR(VLOOKUP(A207,Totalidad!$A$3:$M$356,13,FALSE), "No encontrado")</f>
        <v>0</v>
      </c>
      <c r="Q207" s="143">
        <f t="shared" si="71"/>
        <v>427493371.13999999</v>
      </c>
      <c r="R207" s="143">
        <f t="shared" si="72"/>
        <v>102301221.86000001</v>
      </c>
      <c r="S207" s="144">
        <f t="shared" si="73"/>
        <v>0.80690399031686599</v>
      </c>
      <c r="T207" s="144">
        <f t="shared" si="70"/>
        <v>0.80690399031686599</v>
      </c>
    </row>
    <row r="208" spans="1:20" x14ac:dyDescent="0.25">
      <c r="A208" s="141" t="s">
        <v>618</v>
      </c>
      <c r="B208" s="141" t="s">
        <v>617</v>
      </c>
      <c r="C208" s="142">
        <f>+C209+C222+C223+C224+C225</f>
        <v>7369004535</v>
      </c>
      <c r="D208" s="142">
        <f>+D209+D222+D223+D224+D225</f>
        <v>7369004535</v>
      </c>
      <c r="E208" s="142">
        <f>+E209+E222+E223+E224+E225</f>
        <v>0</v>
      </c>
      <c r="F208" s="142">
        <f>+F209+F222+F223+F224+F225</f>
        <v>33054268.75</v>
      </c>
      <c r="G208" s="142">
        <f t="shared" ref="G208:P208" si="93">+G209+G222+G223+G224+G225</f>
        <v>398108537.5</v>
      </c>
      <c r="H208" s="142">
        <f t="shared" si="93"/>
        <v>3035931744.1999998</v>
      </c>
      <c r="I208" s="142">
        <f t="shared" si="93"/>
        <v>3564019603.1999998</v>
      </c>
      <c r="J208" s="142">
        <f t="shared" si="93"/>
        <v>45754268.75</v>
      </c>
      <c r="K208" s="142">
        <f t="shared" si="93"/>
        <v>38154268.75</v>
      </c>
      <c r="L208" s="142">
        <f t="shared" si="93"/>
        <v>0</v>
      </c>
      <c r="M208" s="142">
        <f t="shared" si="93"/>
        <v>115799672.25</v>
      </c>
      <c r="N208" s="142">
        <f t="shared" si="93"/>
        <v>33054268.75</v>
      </c>
      <c r="O208" s="142">
        <f t="shared" si="93"/>
        <v>36010500.5</v>
      </c>
      <c r="P208" s="142">
        <f t="shared" si="93"/>
        <v>72308537.5</v>
      </c>
      <c r="Q208" s="143">
        <f t="shared" si="71"/>
        <v>7372195670.1499996</v>
      </c>
      <c r="R208" s="143">
        <f t="shared" si="72"/>
        <v>-3191135.1499996185</v>
      </c>
      <c r="S208" s="144">
        <f t="shared" si="73"/>
        <v>1.0004330483357478</v>
      </c>
      <c r="T208" s="144">
        <f t="shared" si="70"/>
        <v>1.0004330483357478</v>
      </c>
    </row>
    <row r="209" spans="1:20" x14ac:dyDescent="0.25">
      <c r="A209" s="141" t="s">
        <v>616</v>
      </c>
      <c r="B209" s="141" t="s">
        <v>609</v>
      </c>
      <c r="C209" s="145">
        <v>406109000</v>
      </c>
      <c r="D209" s="145">
        <v>406109000</v>
      </c>
      <c r="E209" s="145">
        <f>+SUM(E210:E221)</f>
        <v>0</v>
      </c>
      <c r="F209" s="145">
        <f t="shared" ref="F209:P209" si="94">+SUM(F210:F221)</f>
        <v>0</v>
      </c>
      <c r="G209" s="145">
        <f t="shared" si="94"/>
        <v>332000000</v>
      </c>
      <c r="H209" s="145">
        <f t="shared" si="94"/>
        <v>0</v>
      </c>
      <c r="I209" s="145">
        <f t="shared" si="94"/>
        <v>38609000</v>
      </c>
      <c r="J209" s="145">
        <f t="shared" si="94"/>
        <v>12700000</v>
      </c>
      <c r="K209" s="145">
        <f t="shared" si="94"/>
        <v>5100000</v>
      </c>
      <c r="L209" s="145">
        <f t="shared" si="94"/>
        <v>6066763488.3999996</v>
      </c>
      <c r="M209" s="145">
        <f t="shared" si="94"/>
        <v>6200000</v>
      </c>
      <c r="N209" s="145">
        <f t="shared" si="94"/>
        <v>0</v>
      </c>
      <c r="O209" s="145">
        <f t="shared" si="94"/>
        <v>-6071863488.3999996</v>
      </c>
      <c r="P209" s="145">
        <f t="shared" si="94"/>
        <v>11300000</v>
      </c>
      <c r="Q209" s="143">
        <f t="shared" si="71"/>
        <v>400809000</v>
      </c>
      <c r="R209" s="143">
        <f t="shared" si="72"/>
        <v>5300000</v>
      </c>
      <c r="S209" s="144">
        <f t="shared" si="73"/>
        <v>0.98694931656279472</v>
      </c>
      <c r="T209" s="144">
        <f t="shared" si="70"/>
        <v>0.98694931656279472</v>
      </c>
    </row>
    <row r="210" spans="1:20" x14ac:dyDescent="0.25">
      <c r="A210" s="141" t="s">
        <v>115</v>
      </c>
      <c r="B210" s="141" t="s">
        <v>114</v>
      </c>
      <c r="C210" s="146"/>
      <c r="D210" s="146"/>
      <c r="E210" s="145">
        <f>+IFERROR(VLOOKUP(A210,Totalidad!$A$3:$M$356,2,FALSE), "No encontrado")</f>
        <v>0</v>
      </c>
      <c r="F210" s="145">
        <f>+IFERROR(VLOOKUP(A210,Totalidad!$A$3:$M$356,3,FALSE), "No encontrado")</f>
        <v>0</v>
      </c>
      <c r="G210" s="145">
        <f>+IFERROR(VLOOKUP(A210,Totalidad!$A$3:$M$356,4,FALSE), "No encontrado")</f>
        <v>4200000</v>
      </c>
      <c r="H210" s="145">
        <f>+IFERROR(VLOOKUP(A210,Totalidad!$A$3:$M$356,5,FALSE), "No encontrado")</f>
        <v>0</v>
      </c>
      <c r="I210" s="145">
        <f>+IFERROR(VLOOKUP(A210,Totalidad!$A$3:$M$356,6,FALSE), "No encontrado")</f>
        <v>0</v>
      </c>
      <c r="J210" s="145">
        <f>+IFERROR(VLOOKUP(A210,Totalidad!$A$3:$M$356,7,FALSE), "No encontrado")</f>
        <v>0</v>
      </c>
      <c r="K210" s="145">
        <f>+IFERROR(VLOOKUP(A210,Totalidad!$A$3:$M$356,8,FALSE), "No encontrado")</f>
        <v>0</v>
      </c>
      <c r="L210" s="145">
        <f>+IFERROR(VLOOKUP(A210,Totalidad!$A$3:$M$356,9,FALSE), "No encontrado")</f>
        <v>0</v>
      </c>
      <c r="M210" s="145">
        <f>+IFERROR(VLOOKUP(A210,Totalidad!$A$3:$M$356,10,FALSE), "No encontrado")</f>
        <v>0</v>
      </c>
      <c r="N210" s="145">
        <f>+IFERROR(VLOOKUP(A210,Totalidad!$A$3:$M$356,11,FALSE), "No encontrado")</f>
        <v>0</v>
      </c>
      <c r="O210" s="145">
        <f>+IFERROR(VLOOKUP(A210,Totalidad!$A$3:$M$356,12,FALSE), "No encontrado")</f>
        <v>0</v>
      </c>
      <c r="P210" s="145">
        <f>+IFERROR(VLOOKUP(A210,Totalidad!$A$3:$M$356,13,FALSE), "No encontrado")</f>
        <v>0</v>
      </c>
      <c r="Q210" s="143">
        <f t="shared" si="71"/>
        <v>4200000</v>
      </c>
      <c r="R210" s="143">
        <f t="shared" si="72"/>
        <v>-4200000</v>
      </c>
      <c r="S210" s="144" t="e">
        <f t="shared" si="73"/>
        <v>#DIV/0!</v>
      </c>
      <c r="T210" s="144" t="e">
        <f t="shared" ref="T210:T252" si="95">+Q210/C210</f>
        <v>#DIV/0!</v>
      </c>
    </row>
    <row r="211" spans="1:20" x14ac:dyDescent="0.25">
      <c r="A211" s="141" t="s">
        <v>113</v>
      </c>
      <c r="B211" s="141" t="s">
        <v>112</v>
      </c>
      <c r="C211" s="146"/>
      <c r="D211" s="146"/>
      <c r="E211" s="145">
        <f>+IFERROR(VLOOKUP(A211,Totalidad!$A$3:$M$356,2,FALSE), "No encontrado")</f>
        <v>0</v>
      </c>
      <c r="F211" s="145">
        <f>+IFERROR(VLOOKUP(A211,Totalidad!$A$3:$M$356,3,FALSE), "No encontrado")</f>
        <v>0</v>
      </c>
      <c r="G211" s="145">
        <f>+IFERROR(VLOOKUP(A211,Totalidad!$A$3:$M$356,4,FALSE), "No encontrado")</f>
        <v>0</v>
      </c>
      <c r="H211" s="145">
        <f>+IFERROR(VLOOKUP(A211,Totalidad!$A$3:$M$356,5,FALSE), "No encontrado")</f>
        <v>0</v>
      </c>
      <c r="I211" s="145">
        <f>+IFERROR(VLOOKUP(A211,Totalidad!$A$3:$M$356,6,FALSE), "No encontrado")</f>
        <v>309000</v>
      </c>
      <c r="J211" s="145">
        <f>+IFERROR(VLOOKUP(A211,Totalidad!$A$3:$M$356,7,FALSE), "No encontrado")</f>
        <v>0</v>
      </c>
      <c r="K211" s="145">
        <f>+IFERROR(VLOOKUP(A211,Totalidad!$A$3:$M$356,8,FALSE), "No encontrado")</f>
        <v>0</v>
      </c>
      <c r="L211" s="145">
        <f>+IFERROR(VLOOKUP(A211,Totalidad!$A$3:$M$356,9,FALSE), "No encontrado")</f>
        <v>0</v>
      </c>
      <c r="M211" s="145">
        <f>+IFERROR(VLOOKUP(A211,Totalidad!$A$3:$M$356,10,FALSE), "No encontrado")</f>
        <v>0</v>
      </c>
      <c r="N211" s="145">
        <f>+IFERROR(VLOOKUP(A211,Totalidad!$A$3:$M$356,11,FALSE), "No encontrado")</f>
        <v>0</v>
      </c>
      <c r="O211" s="145">
        <f>+IFERROR(VLOOKUP(A211,Totalidad!$A$3:$M$356,12,FALSE), "No encontrado")</f>
        <v>0</v>
      </c>
      <c r="P211" s="145">
        <f>+IFERROR(VLOOKUP(A211,Totalidad!$A$3:$M$356,13,FALSE), "No encontrado")</f>
        <v>0</v>
      </c>
      <c r="Q211" s="143">
        <f t="shared" ref="Q211:Q252" si="96">+SUM(E211:P211)</f>
        <v>309000</v>
      </c>
      <c r="R211" s="143">
        <f t="shared" ref="R211:R252" si="97">+D211-Q211</f>
        <v>-309000</v>
      </c>
      <c r="S211" s="144" t="e">
        <f t="shared" ref="S211:S252" si="98">+Q211/D211</f>
        <v>#DIV/0!</v>
      </c>
      <c r="T211" s="144" t="e">
        <f t="shared" si="95"/>
        <v>#DIV/0!</v>
      </c>
    </row>
    <row r="212" spans="1:20" x14ac:dyDescent="0.25">
      <c r="A212" s="141" t="s">
        <v>111</v>
      </c>
      <c r="B212" s="141" t="s">
        <v>110</v>
      </c>
      <c r="C212" s="146"/>
      <c r="D212" s="146"/>
      <c r="E212" s="145">
        <f>+IFERROR(VLOOKUP(A212,Totalidad!$A$3:$M$356,2,FALSE), "No encontrado")</f>
        <v>0</v>
      </c>
      <c r="F212" s="145">
        <f>+IFERROR(VLOOKUP(A212,Totalidad!$A$3:$M$356,3,FALSE), "No encontrado")</f>
        <v>0</v>
      </c>
      <c r="G212" s="145">
        <f>+IFERROR(VLOOKUP(A212,Totalidad!$A$3:$M$356,4,FALSE), "No encontrado")</f>
        <v>29100000</v>
      </c>
      <c r="H212" s="145">
        <f>+IFERROR(VLOOKUP(A212,Totalidad!$A$3:$M$356,5,FALSE), "No encontrado")</f>
        <v>0</v>
      </c>
      <c r="I212" s="145">
        <f>+IFERROR(VLOOKUP(A212,Totalidad!$A$3:$M$356,6,FALSE), "No encontrado")</f>
        <v>0</v>
      </c>
      <c r="J212" s="145">
        <f>+IFERROR(VLOOKUP(A212,Totalidad!$A$3:$M$356,7,FALSE), "No encontrado")</f>
        <v>0</v>
      </c>
      <c r="K212" s="145">
        <f>+IFERROR(VLOOKUP(A212,Totalidad!$A$3:$M$356,8,FALSE), "No encontrado")</f>
        <v>0</v>
      </c>
      <c r="L212" s="145">
        <f>+IFERROR(VLOOKUP(A212,Totalidad!$A$3:$M$356,9,FALSE), "No encontrado")</f>
        <v>0</v>
      </c>
      <c r="M212" s="145">
        <f>+IFERROR(VLOOKUP(A212,Totalidad!$A$3:$M$356,10,FALSE), "No encontrado")</f>
        <v>0</v>
      </c>
      <c r="N212" s="145">
        <f>+IFERROR(VLOOKUP(A212,Totalidad!$A$3:$M$356,11,FALSE), "No encontrado")</f>
        <v>0</v>
      </c>
      <c r="O212" s="145">
        <f>+IFERROR(VLOOKUP(A212,Totalidad!$A$3:$M$356,12,FALSE), "No encontrado")</f>
        <v>0</v>
      </c>
      <c r="P212" s="145">
        <f>+IFERROR(VLOOKUP(A212,Totalidad!$A$3:$M$356,13,FALSE), "No encontrado")</f>
        <v>0</v>
      </c>
      <c r="Q212" s="143">
        <f t="shared" si="96"/>
        <v>29100000</v>
      </c>
      <c r="R212" s="143">
        <f t="shared" si="97"/>
        <v>-29100000</v>
      </c>
      <c r="S212" s="144" t="e">
        <f t="shared" si="98"/>
        <v>#DIV/0!</v>
      </c>
      <c r="T212" s="144" t="e">
        <f t="shared" si="95"/>
        <v>#DIV/0!</v>
      </c>
    </row>
    <row r="213" spans="1:20" x14ac:dyDescent="0.25">
      <c r="A213" s="141" t="s">
        <v>109</v>
      </c>
      <c r="B213" s="141" t="s">
        <v>108</v>
      </c>
      <c r="C213" s="146"/>
      <c r="D213" s="146"/>
      <c r="E213" s="145">
        <f>+IFERROR(VLOOKUP(A213,Totalidad!$A$3:$M$356,2,FALSE), "No encontrado")</f>
        <v>0</v>
      </c>
      <c r="F213" s="145">
        <f>+IFERROR(VLOOKUP(A213,Totalidad!$A$3:$M$356,3,FALSE), "No encontrado")</f>
        <v>0</v>
      </c>
      <c r="G213" s="145">
        <f>+IFERROR(VLOOKUP(A213,Totalidad!$A$3:$M$356,4,FALSE), "No encontrado")</f>
        <v>0</v>
      </c>
      <c r="H213" s="145">
        <f>+IFERROR(VLOOKUP(A213,Totalidad!$A$3:$M$356,5,FALSE), "No encontrado")</f>
        <v>0</v>
      </c>
      <c r="I213" s="145">
        <f>+IFERROR(VLOOKUP(A213,Totalidad!$A$3:$M$356,6,FALSE), "No encontrado")</f>
        <v>0</v>
      </c>
      <c r="J213" s="145">
        <f>+IFERROR(VLOOKUP(A213,Totalidad!$A$3:$M$356,7,FALSE), "No encontrado")</f>
        <v>0</v>
      </c>
      <c r="K213" s="145">
        <f>+IFERROR(VLOOKUP(A213,Totalidad!$A$3:$M$356,8,FALSE), "No encontrado")</f>
        <v>5100000</v>
      </c>
      <c r="L213" s="145">
        <f>+IFERROR(VLOOKUP(A213,Totalidad!$A$3:$M$356,9,FALSE), "No encontrado")</f>
        <v>-5100000</v>
      </c>
      <c r="M213" s="145">
        <f>+IFERROR(VLOOKUP(A213,Totalidad!$A$3:$M$356,10,FALSE), "No encontrado")</f>
        <v>0</v>
      </c>
      <c r="N213" s="145">
        <f>+IFERROR(VLOOKUP(A213,Totalidad!$A$3:$M$356,11,FALSE), "No encontrado")</f>
        <v>0</v>
      </c>
      <c r="O213" s="145">
        <f>+IFERROR(VLOOKUP(A213,Totalidad!$A$3:$M$356,12,FALSE), "No encontrado")</f>
        <v>0</v>
      </c>
      <c r="P213" s="145">
        <f>+IFERROR(VLOOKUP(A213,Totalidad!$A$3:$M$356,13,FALSE), "No encontrado")</f>
        <v>5100000</v>
      </c>
      <c r="Q213" s="143">
        <f t="shared" si="96"/>
        <v>5100000</v>
      </c>
      <c r="R213" s="143">
        <f t="shared" si="97"/>
        <v>-5100000</v>
      </c>
      <c r="S213" s="144" t="e">
        <f t="shared" si="98"/>
        <v>#DIV/0!</v>
      </c>
      <c r="T213" s="144" t="e">
        <f t="shared" si="95"/>
        <v>#DIV/0!</v>
      </c>
    </row>
    <row r="214" spans="1:20" x14ac:dyDescent="0.25">
      <c r="A214" s="141" t="s">
        <v>107</v>
      </c>
      <c r="B214" s="141" t="s">
        <v>106</v>
      </c>
      <c r="C214" s="146"/>
      <c r="D214" s="146"/>
      <c r="E214" s="145">
        <f>+IFERROR(VLOOKUP(A214,Totalidad!$A$3:$M$356,2,FALSE), "No encontrado")</f>
        <v>0</v>
      </c>
      <c r="F214" s="145">
        <f>+IFERROR(VLOOKUP(A214,Totalidad!$A$3:$M$356,3,FALSE), "No encontrado")</f>
        <v>0</v>
      </c>
      <c r="G214" s="145">
        <f>+IFERROR(VLOOKUP(A214,Totalidad!$A$3:$M$356,4,FALSE), "No encontrado")</f>
        <v>42400000</v>
      </c>
      <c r="H214" s="145">
        <f>+IFERROR(VLOOKUP(A214,Totalidad!$A$3:$M$356,5,FALSE), "No encontrado")</f>
        <v>0</v>
      </c>
      <c r="I214" s="145">
        <f>+IFERROR(VLOOKUP(A214,Totalidad!$A$3:$M$356,6,FALSE), "No encontrado")</f>
        <v>0</v>
      </c>
      <c r="J214" s="145">
        <f>+IFERROR(VLOOKUP(A214,Totalidad!$A$3:$M$356,7,FALSE), "No encontrado")</f>
        <v>0</v>
      </c>
      <c r="K214" s="145">
        <f>+IFERROR(VLOOKUP(A214,Totalidad!$A$3:$M$356,8,FALSE), "No encontrado")</f>
        <v>0</v>
      </c>
      <c r="L214" s="145">
        <f>+IFERROR(VLOOKUP(A214,Totalidad!$A$3:$M$356,9,FALSE), "No encontrado")</f>
        <v>0</v>
      </c>
      <c r="M214" s="145">
        <f>+IFERROR(VLOOKUP(A214,Totalidad!$A$3:$M$356,10,FALSE), "No encontrado")</f>
        <v>0</v>
      </c>
      <c r="N214" s="145">
        <f>+IFERROR(VLOOKUP(A214,Totalidad!$A$3:$M$356,11,FALSE), "No encontrado")</f>
        <v>0</v>
      </c>
      <c r="O214" s="145">
        <f>+IFERROR(VLOOKUP(A214,Totalidad!$A$3:$M$356,12,FALSE), "No encontrado")</f>
        <v>0</v>
      </c>
      <c r="P214" s="145">
        <f>+IFERROR(VLOOKUP(A214,Totalidad!$A$3:$M$356,13,FALSE), "No encontrado")</f>
        <v>0</v>
      </c>
      <c r="Q214" s="143">
        <f t="shared" si="96"/>
        <v>42400000</v>
      </c>
      <c r="R214" s="143">
        <f t="shared" si="97"/>
        <v>-42400000</v>
      </c>
      <c r="S214" s="144" t="e">
        <f t="shared" si="98"/>
        <v>#DIV/0!</v>
      </c>
      <c r="T214" s="144" t="e">
        <f t="shared" si="95"/>
        <v>#DIV/0!</v>
      </c>
    </row>
    <row r="215" spans="1:20" x14ac:dyDescent="0.25">
      <c r="A215" s="141" t="s">
        <v>105</v>
      </c>
      <c r="B215" s="141" t="s">
        <v>104</v>
      </c>
      <c r="C215" s="146"/>
      <c r="D215" s="146"/>
      <c r="E215" s="145">
        <f>+IFERROR(VLOOKUP(A215,Totalidad!$A$3:$M$356,2,FALSE), "No encontrado")</f>
        <v>0</v>
      </c>
      <c r="F215" s="145">
        <f>+IFERROR(VLOOKUP(A215,Totalidad!$A$3:$M$356,3,FALSE), "No encontrado")</f>
        <v>0</v>
      </c>
      <c r="G215" s="145">
        <f>+IFERROR(VLOOKUP(A215,Totalidad!$A$3:$M$356,4,FALSE), "No encontrado")</f>
        <v>0</v>
      </c>
      <c r="H215" s="145">
        <f>+IFERROR(VLOOKUP(A215,Totalidad!$A$3:$M$356,5,FALSE), "No encontrado")</f>
        <v>0</v>
      </c>
      <c r="I215" s="145">
        <f>+IFERROR(VLOOKUP(A215,Totalidad!$A$3:$M$356,6,FALSE), "No encontrado")</f>
        <v>38300000</v>
      </c>
      <c r="J215" s="145">
        <f>+IFERROR(VLOOKUP(A215,Totalidad!$A$3:$M$356,7,FALSE), "No encontrado")</f>
        <v>0</v>
      </c>
      <c r="K215" s="145">
        <f>+IFERROR(VLOOKUP(A215,Totalidad!$A$3:$M$356,8,FALSE), "No encontrado")</f>
        <v>0</v>
      </c>
      <c r="L215" s="145">
        <f>+IFERROR(VLOOKUP(A215,Totalidad!$A$3:$M$356,9,FALSE), "No encontrado")</f>
        <v>0</v>
      </c>
      <c r="M215" s="145">
        <f>+IFERROR(VLOOKUP(A215,Totalidad!$A$3:$M$356,10,FALSE), "No encontrado")</f>
        <v>0</v>
      </c>
      <c r="N215" s="145">
        <f>+IFERROR(VLOOKUP(A215,Totalidad!$A$3:$M$356,11,FALSE), "No encontrado")</f>
        <v>0</v>
      </c>
      <c r="O215" s="145">
        <f>+IFERROR(VLOOKUP(A215,Totalidad!$A$3:$M$356,12,FALSE), "No encontrado")</f>
        <v>0</v>
      </c>
      <c r="P215" s="145">
        <f>+IFERROR(VLOOKUP(A215,Totalidad!$A$3:$M$356,13,FALSE), "No encontrado")</f>
        <v>0</v>
      </c>
      <c r="Q215" s="143">
        <f t="shared" si="96"/>
        <v>38300000</v>
      </c>
      <c r="R215" s="143">
        <f t="shared" si="97"/>
        <v>-38300000</v>
      </c>
      <c r="S215" s="144" t="e">
        <f t="shared" si="98"/>
        <v>#DIV/0!</v>
      </c>
      <c r="T215" s="144" t="e">
        <f t="shared" si="95"/>
        <v>#DIV/0!</v>
      </c>
    </row>
    <row r="216" spans="1:20" x14ac:dyDescent="0.25">
      <c r="A216" s="141" t="s">
        <v>103</v>
      </c>
      <c r="B216" s="141" t="s">
        <v>102</v>
      </c>
      <c r="C216" s="146"/>
      <c r="D216" s="146"/>
      <c r="E216" s="145">
        <f>+IFERROR(VLOOKUP(A216,Totalidad!$A$3:$M$356,2,FALSE), "No encontrado")</f>
        <v>0</v>
      </c>
      <c r="F216" s="145">
        <f>+IFERROR(VLOOKUP(A216,Totalidad!$A$3:$M$356,3,FALSE), "No encontrado")</f>
        <v>0</v>
      </c>
      <c r="G216" s="145">
        <f>+IFERROR(VLOOKUP(A216,Totalidad!$A$3:$M$356,4,FALSE), "No encontrado")</f>
        <v>80000000</v>
      </c>
      <c r="H216" s="145">
        <f>+IFERROR(VLOOKUP(A216,Totalidad!$A$3:$M$356,5,FALSE), "No encontrado")</f>
        <v>0</v>
      </c>
      <c r="I216" s="145">
        <f>+IFERROR(VLOOKUP(A216,Totalidad!$A$3:$M$356,6,FALSE), "No encontrado")</f>
        <v>0</v>
      </c>
      <c r="J216" s="145">
        <f>+IFERROR(VLOOKUP(A216,Totalidad!$A$3:$M$356,7,FALSE), "No encontrado")</f>
        <v>6500000</v>
      </c>
      <c r="K216" s="145">
        <f>+IFERROR(VLOOKUP(A216,Totalidad!$A$3:$M$356,8,FALSE), "No encontrado")</f>
        <v>0</v>
      </c>
      <c r="L216" s="145">
        <f>+IFERROR(VLOOKUP(A216,Totalidad!$A$3:$M$356,9,FALSE), "No encontrado")</f>
        <v>0</v>
      </c>
      <c r="M216" s="145">
        <f>+IFERROR(VLOOKUP(A216,Totalidad!$A$3:$M$356,10,FALSE), "No encontrado")</f>
        <v>0</v>
      </c>
      <c r="N216" s="145">
        <f>+IFERROR(VLOOKUP(A216,Totalidad!$A$3:$M$356,11,FALSE), "No encontrado")</f>
        <v>0</v>
      </c>
      <c r="O216" s="145">
        <f>+IFERROR(VLOOKUP(A216,Totalidad!$A$3:$M$356,12,FALSE), "No encontrado")</f>
        <v>0</v>
      </c>
      <c r="P216" s="145">
        <f>+IFERROR(VLOOKUP(A216,Totalidad!$A$3:$M$356,13,FALSE), "No encontrado")</f>
        <v>0</v>
      </c>
      <c r="Q216" s="143">
        <f t="shared" si="96"/>
        <v>86500000</v>
      </c>
      <c r="R216" s="143">
        <f t="shared" si="97"/>
        <v>-86500000</v>
      </c>
      <c r="S216" s="144" t="e">
        <f t="shared" si="98"/>
        <v>#DIV/0!</v>
      </c>
      <c r="T216" s="144" t="e">
        <f t="shared" si="95"/>
        <v>#DIV/0!</v>
      </c>
    </row>
    <row r="217" spans="1:20" x14ac:dyDescent="0.25">
      <c r="A217" s="141" t="s">
        <v>101</v>
      </c>
      <c r="B217" s="141" t="s">
        <v>100</v>
      </c>
      <c r="C217" s="146"/>
      <c r="D217" s="146"/>
      <c r="E217" s="145">
        <f>+IFERROR(VLOOKUP(A217,Totalidad!$A$3:$M$356,2,FALSE), "No encontrado")</f>
        <v>0</v>
      </c>
      <c r="F217" s="145">
        <f>+IFERROR(VLOOKUP(A217,Totalidad!$A$3:$M$356,3,FALSE), "No encontrado")</f>
        <v>0</v>
      </c>
      <c r="G217" s="145">
        <f>+IFERROR(VLOOKUP(A217,Totalidad!$A$3:$M$356,4,FALSE), "No encontrado")</f>
        <v>6700000</v>
      </c>
      <c r="H217" s="145">
        <f>+IFERROR(VLOOKUP(A217,Totalidad!$A$3:$M$356,5,FALSE), "No encontrado")</f>
        <v>0</v>
      </c>
      <c r="I217" s="145">
        <f>+IFERROR(VLOOKUP(A217,Totalidad!$A$3:$M$356,6,FALSE), "No encontrado")</f>
        <v>0</v>
      </c>
      <c r="J217" s="145">
        <f>+IFERROR(VLOOKUP(A217,Totalidad!$A$3:$M$356,7,FALSE), "No encontrado")</f>
        <v>0</v>
      </c>
      <c r="K217" s="145">
        <f>+IFERROR(VLOOKUP(A217,Totalidad!$A$3:$M$356,8,FALSE), "No encontrado")</f>
        <v>0</v>
      </c>
      <c r="L217" s="145">
        <f>+IFERROR(VLOOKUP(A217,Totalidad!$A$3:$M$356,9,FALSE), "No encontrado")</f>
        <v>0</v>
      </c>
      <c r="M217" s="145">
        <f>+IFERROR(VLOOKUP(A217,Totalidad!$A$3:$M$356,10,FALSE), "No encontrado")</f>
        <v>0</v>
      </c>
      <c r="N217" s="145">
        <f>+IFERROR(VLOOKUP(A217,Totalidad!$A$3:$M$356,11,FALSE), "No encontrado")</f>
        <v>0</v>
      </c>
      <c r="O217" s="145">
        <f>+IFERROR(VLOOKUP(A217,Totalidad!$A$3:$M$356,12,FALSE), "No encontrado")</f>
        <v>0</v>
      </c>
      <c r="P217" s="145">
        <f>+IFERROR(VLOOKUP(A217,Totalidad!$A$3:$M$356,13,FALSE), "No encontrado")</f>
        <v>0</v>
      </c>
      <c r="Q217" s="143">
        <f t="shared" si="96"/>
        <v>6700000</v>
      </c>
      <c r="R217" s="143">
        <f t="shared" si="97"/>
        <v>-6700000</v>
      </c>
      <c r="S217" s="144" t="e">
        <f t="shared" si="98"/>
        <v>#DIV/0!</v>
      </c>
      <c r="T217" s="144" t="e">
        <f t="shared" si="95"/>
        <v>#DIV/0!</v>
      </c>
    </row>
    <row r="218" spans="1:20" x14ac:dyDescent="0.25">
      <c r="A218" s="141" t="s">
        <v>99</v>
      </c>
      <c r="B218" s="141" t="s">
        <v>98</v>
      </c>
      <c r="C218" s="146"/>
      <c r="D218" s="146"/>
      <c r="E218" s="145">
        <f>+IFERROR(VLOOKUP(A218,Totalidad!$A$3:$M$356,2,FALSE), "No encontrado")</f>
        <v>0</v>
      </c>
      <c r="F218" s="145">
        <f>+IFERROR(VLOOKUP(A218,Totalidad!$A$3:$M$356,3,FALSE), "No encontrado")</f>
        <v>0</v>
      </c>
      <c r="G218" s="145">
        <f>+IFERROR(VLOOKUP(A218,Totalidad!$A$3:$M$356,4,FALSE), "No encontrado")</f>
        <v>37900000</v>
      </c>
      <c r="H218" s="145">
        <f>+IFERROR(VLOOKUP(A218,Totalidad!$A$3:$M$356,5,FALSE), "No encontrado")</f>
        <v>0</v>
      </c>
      <c r="I218" s="145">
        <f>+IFERROR(VLOOKUP(A218,Totalidad!$A$3:$M$356,6,FALSE), "No encontrado")</f>
        <v>0</v>
      </c>
      <c r="J218" s="145">
        <f>+IFERROR(VLOOKUP(A218,Totalidad!$A$3:$M$356,7,FALSE), "No encontrado")</f>
        <v>0</v>
      </c>
      <c r="K218" s="145">
        <f>+IFERROR(VLOOKUP(A218,Totalidad!$A$3:$M$356,8,FALSE), "No encontrado")</f>
        <v>0</v>
      </c>
      <c r="L218" s="145">
        <f>+IFERROR(VLOOKUP(A218,Totalidad!$A$3:$M$356,9,FALSE), "No encontrado")</f>
        <v>0</v>
      </c>
      <c r="M218" s="145">
        <f>+IFERROR(VLOOKUP(A218,Totalidad!$A$3:$M$356,10,FALSE), "No encontrado")</f>
        <v>0</v>
      </c>
      <c r="N218" s="145">
        <f>+IFERROR(VLOOKUP(A218,Totalidad!$A$3:$M$356,11,FALSE), "No encontrado")</f>
        <v>0</v>
      </c>
      <c r="O218" s="145">
        <f>+IFERROR(VLOOKUP(A218,Totalidad!$A$3:$M$356,12,FALSE), "No encontrado")</f>
        <v>0</v>
      </c>
      <c r="P218" s="145">
        <f>+IFERROR(VLOOKUP(A218,Totalidad!$A$3:$M$356,13,FALSE), "No encontrado")</f>
        <v>0</v>
      </c>
      <c r="Q218" s="143">
        <f t="shared" si="96"/>
        <v>37900000</v>
      </c>
      <c r="R218" s="143">
        <f t="shared" si="97"/>
        <v>-37900000</v>
      </c>
      <c r="S218" s="144" t="e">
        <f t="shared" si="98"/>
        <v>#DIV/0!</v>
      </c>
      <c r="T218" s="144" t="e">
        <f t="shared" si="95"/>
        <v>#DIV/0!</v>
      </c>
    </row>
    <row r="219" spans="1:20" x14ac:dyDescent="0.25">
      <c r="A219" s="141" t="s">
        <v>97</v>
      </c>
      <c r="B219" s="141" t="s">
        <v>96</v>
      </c>
      <c r="C219" s="146"/>
      <c r="D219" s="146"/>
      <c r="E219" s="145">
        <f>+IFERROR(VLOOKUP(A219,Totalidad!$A$3:$M$356,2,FALSE), "No encontrado")</f>
        <v>0</v>
      </c>
      <c r="F219" s="145">
        <f>+IFERROR(VLOOKUP(A219,Totalidad!$A$3:$M$356,3,FALSE), "No encontrado")</f>
        <v>0</v>
      </c>
      <c r="G219" s="145">
        <f>+IFERROR(VLOOKUP(A219,Totalidad!$A$3:$M$356,4,FALSE), "No encontrado")</f>
        <v>0</v>
      </c>
      <c r="H219" s="145">
        <f>+IFERROR(VLOOKUP(A219,Totalidad!$A$3:$M$356,5,FALSE), "No encontrado")</f>
        <v>0</v>
      </c>
      <c r="I219" s="145">
        <f>+IFERROR(VLOOKUP(A219,Totalidad!$A$3:$M$356,6,FALSE), "No encontrado")</f>
        <v>0</v>
      </c>
      <c r="J219" s="145">
        <f>+IFERROR(VLOOKUP(A219,Totalidad!$A$3:$M$356,7,FALSE), "No encontrado")</f>
        <v>0</v>
      </c>
      <c r="K219" s="145">
        <f>+IFERROR(VLOOKUP(A219,Totalidad!$A$3:$M$356,8,FALSE), "No encontrado")</f>
        <v>0</v>
      </c>
      <c r="L219" s="145">
        <f>+IFERROR(VLOOKUP(A219,Totalidad!$A$3:$M$356,9,FALSE), "No encontrado")</f>
        <v>0</v>
      </c>
      <c r="M219" s="145">
        <f>+IFERROR(VLOOKUP(A219,Totalidad!$A$3:$M$356,10,FALSE), "No encontrado")</f>
        <v>0</v>
      </c>
      <c r="N219" s="145">
        <f>+IFERROR(VLOOKUP(A219,Totalidad!$A$3:$M$356,11,FALSE), "No encontrado")</f>
        <v>0</v>
      </c>
      <c r="O219" s="145">
        <f>+IFERROR(VLOOKUP(A219,Totalidad!$A$3:$M$356,12,FALSE), "No encontrado")</f>
        <v>0</v>
      </c>
      <c r="P219" s="145">
        <f>+IFERROR(VLOOKUP(A219,Totalidad!$A$3:$M$356,13,FALSE), "No encontrado")</f>
        <v>0</v>
      </c>
      <c r="Q219" s="143">
        <f t="shared" si="96"/>
        <v>0</v>
      </c>
      <c r="R219" s="143">
        <f t="shared" si="97"/>
        <v>0</v>
      </c>
      <c r="S219" s="144" t="e">
        <f t="shared" si="98"/>
        <v>#DIV/0!</v>
      </c>
      <c r="T219" s="144" t="e">
        <f t="shared" si="95"/>
        <v>#DIV/0!</v>
      </c>
    </row>
    <row r="220" spans="1:20" x14ac:dyDescent="0.25">
      <c r="A220" s="141" t="s">
        <v>95</v>
      </c>
      <c r="B220" s="141" t="s">
        <v>94</v>
      </c>
      <c r="C220" s="146"/>
      <c r="D220" s="146"/>
      <c r="E220" s="145">
        <f>+IFERROR(VLOOKUP(A220,Totalidad!$A$3:$M$356,2,FALSE), "No encontrado")</f>
        <v>0</v>
      </c>
      <c r="F220" s="145">
        <f>+IFERROR(VLOOKUP(A220,Totalidad!$A$3:$M$356,3,FALSE), "No encontrado")</f>
        <v>0</v>
      </c>
      <c r="G220" s="145">
        <f>+IFERROR(VLOOKUP(A220,Totalidad!$A$3:$M$356,4,FALSE), "No encontrado")</f>
        <v>125500000</v>
      </c>
      <c r="H220" s="145">
        <f>+IFERROR(VLOOKUP(A220,Totalidad!$A$3:$M$356,5,FALSE), "No encontrado")</f>
        <v>0</v>
      </c>
      <c r="I220" s="145">
        <f>+IFERROR(VLOOKUP(A220,Totalidad!$A$3:$M$356,6,FALSE), "No encontrado")</f>
        <v>0</v>
      </c>
      <c r="J220" s="145">
        <f>+IFERROR(VLOOKUP(A220,Totalidad!$A$3:$M$356,7,FALSE), "No encontrado")</f>
        <v>0</v>
      </c>
      <c r="K220" s="145">
        <f>+IFERROR(VLOOKUP(A220,Totalidad!$A$3:$M$356,8,FALSE), "No encontrado")</f>
        <v>0</v>
      </c>
      <c r="L220" s="145">
        <f>+IFERROR(VLOOKUP(A220,Totalidad!$A$3:$M$356,9,FALSE), "No encontrado")</f>
        <v>6071863488.3999996</v>
      </c>
      <c r="M220" s="145">
        <f>+IFERROR(VLOOKUP(A220,Totalidad!$A$3:$M$356,10,FALSE), "No encontrado")</f>
        <v>0</v>
      </c>
      <c r="N220" s="145">
        <f>+IFERROR(VLOOKUP(A220,Totalidad!$A$3:$M$356,11,FALSE), "No encontrado")</f>
        <v>0</v>
      </c>
      <c r="O220" s="145">
        <f>+IFERROR(VLOOKUP(A220,Totalidad!$A$3:$M$356,12,FALSE), "No encontrado")</f>
        <v>-6071863488.3999996</v>
      </c>
      <c r="P220" s="145">
        <f>+IFERROR(VLOOKUP(A220,Totalidad!$A$3:$M$356,13,FALSE), "No encontrado")</f>
        <v>0</v>
      </c>
      <c r="Q220" s="143">
        <f t="shared" si="96"/>
        <v>125500000</v>
      </c>
      <c r="R220" s="143">
        <f t="shared" si="97"/>
        <v>-125500000</v>
      </c>
      <c r="S220" s="144" t="e">
        <f t="shared" si="98"/>
        <v>#DIV/0!</v>
      </c>
      <c r="T220" s="144" t="e">
        <f t="shared" si="95"/>
        <v>#DIV/0!</v>
      </c>
    </row>
    <row r="221" spans="1:20" x14ac:dyDescent="0.25">
      <c r="A221" s="141" t="s">
        <v>93</v>
      </c>
      <c r="B221" s="141" t="s">
        <v>92</v>
      </c>
      <c r="C221" s="146"/>
      <c r="D221" s="146"/>
      <c r="E221" s="145">
        <f>+IFERROR(VLOOKUP(A221,Totalidad!$A$3:$M$356,2,FALSE), "No encontrado")</f>
        <v>0</v>
      </c>
      <c r="F221" s="145">
        <f>+IFERROR(VLOOKUP(A221,Totalidad!$A$3:$M$356,3,FALSE), "No encontrado")</f>
        <v>0</v>
      </c>
      <c r="G221" s="145">
        <f>+IFERROR(VLOOKUP(A221,Totalidad!$A$3:$M$356,4,FALSE), "No encontrado")</f>
        <v>6200000</v>
      </c>
      <c r="H221" s="145">
        <f>+IFERROR(VLOOKUP(A221,Totalidad!$A$3:$M$356,5,FALSE), "No encontrado")</f>
        <v>0</v>
      </c>
      <c r="I221" s="145">
        <f>+IFERROR(VLOOKUP(A221,Totalidad!$A$3:$M$356,6,FALSE), "No encontrado")</f>
        <v>0</v>
      </c>
      <c r="J221" s="145">
        <f>+IFERROR(VLOOKUP(A221,Totalidad!$A$3:$M$356,7,FALSE), "No encontrado")</f>
        <v>6200000</v>
      </c>
      <c r="K221" s="145">
        <f>+IFERROR(VLOOKUP(A221,Totalidad!$A$3:$M$356,8,FALSE), "No encontrado")</f>
        <v>0</v>
      </c>
      <c r="L221" s="145">
        <f>+IFERROR(VLOOKUP(A221,Totalidad!$A$3:$M$356,9,FALSE), "No encontrado")</f>
        <v>0</v>
      </c>
      <c r="M221" s="145">
        <f>+IFERROR(VLOOKUP(A221,Totalidad!$A$3:$M$356,10,FALSE), "No encontrado")</f>
        <v>6200000</v>
      </c>
      <c r="N221" s="145">
        <f>+IFERROR(VLOOKUP(A221,Totalidad!$A$3:$M$356,11,FALSE), "No encontrado")</f>
        <v>0</v>
      </c>
      <c r="O221" s="145">
        <f>+IFERROR(VLOOKUP(A221,Totalidad!$A$3:$M$356,12,FALSE), "No encontrado")</f>
        <v>0</v>
      </c>
      <c r="P221" s="145">
        <f>+IFERROR(VLOOKUP(A221,Totalidad!$A$3:$M$356,13,FALSE), "No encontrado")</f>
        <v>6200000</v>
      </c>
      <c r="Q221" s="143">
        <f t="shared" si="96"/>
        <v>24800000</v>
      </c>
      <c r="R221" s="143">
        <f t="shared" si="97"/>
        <v>-24800000</v>
      </c>
      <c r="S221" s="144" t="e">
        <f t="shared" si="98"/>
        <v>#DIV/0!</v>
      </c>
      <c r="T221" s="144" t="e">
        <f t="shared" si="95"/>
        <v>#DIV/0!</v>
      </c>
    </row>
    <row r="222" spans="1:20" x14ac:dyDescent="0.25">
      <c r="A222" s="141" t="s">
        <v>91</v>
      </c>
      <c r="B222" s="141" t="s">
        <v>1232</v>
      </c>
      <c r="C222" s="145">
        <v>6071863488</v>
      </c>
      <c r="D222" s="145">
        <v>6071863488</v>
      </c>
      <c r="E222" s="145">
        <f>+IFERROR(VLOOKUP(A222,Totalidad!$A$3:$M$356,2,FALSE), "No encontrado")</f>
        <v>0</v>
      </c>
      <c r="F222" s="145">
        <f>+IFERROR(VLOOKUP(A222,Totalidad!$A$3:$M$356,3,FALSE), "No encontrado")</f>
        <v>0</v>
      </c>
      <c r="G222" s="145">
        <f>+IFERROR(VLOOKUP(A222,Totalidad!$A$3:$M$356,4,FALSE), "No encontrado")</f>
        <v>0</v>
      </c>
      <c r="H222" s="145">
        <f>+IFERROR(VLOOKUP(A222,Totalidad!$A$3:$M$356,5,FALSE), "No encontrado")</f>
        <v>3035931744.1999998</v>
      </c>
      <c r="I222" s="145">
        <f>+IFERROR(VLOOKUP(A222,Totalidad!$A$3:$M$356,6,FALSE), "No encontrado")</f>
        <v>3035931744.1999998</v>
      </c>
      <c r="J222" s="145">
        <f>+IFERROR(VLOOKUP(A222,Totalidad!$A$3:$M$356,7,FALSE), "No encontrado")</f>
        <v>0</v>
      </c>
      <c r="K222" s="145">
        <f>+IFERROR(VLOOKUP(A222,Totalidad!$A$3:$M$356,8,FALSE), "No encontrado")</f>
        <v>0</v>
      </c>
      <c r="L222" s="145">
        <f>+IFERROR(VLOOKUP(A222,Totalidad!$A$3:$M$356,9,FALSE), "No encontrado")</f>
        <v>-6071863488.3999996</v>
      </c>
      <c r="M222" s="145">
        <f>+IFERROR(VLOOKUP(A222,Totalidad!$A$3:$M$356,10,FALSE), "No encontrado")</f>
        <v>0</v>
      </c>
      <c r="N222" s="145">
        <f>+IFERROR(VLOOKUP(A222,Totalidad!$A$3:$M$356,11,FALSE), "No encontrado")</f>
        <v>0</v>
      </c>
      <c r="O222" s="145">
        <f>+IFERROR(VLOOKUP(A222,Totalidad!$A$3:$M$356,12,FALSE), "No encontrado")</f>
        <v>6071863488.3999996</v>
      </c>
      <c r="P222" s="145">
        <f>+IFERROR(VLOOKUP(A222,Totalidad!$A$3:$M$356,13,FALSE), "No encontrado")</f>
        <v>0</v>
      </c>
      <c r="Q222" s="143">
        <f t="shared" si="96"/>
        <v>6071863488.3999996</v>
      </c>
      <c r="R222" s="143">
        <f t="shared" si="97"/>
        <v>-0.39999961853027344</v>
      </c>
      <c r="S222" s="144">
        <f t="shared" si="98"/>
        <v>1.0000000000658775</v>
      </c>
      <c r="T222" s="144">
        <f t="shared" si="95"/>
        <v>1.0000000000658775</v>
      </c>
    </row>
    <row r="223" spans="1:20" x14ac:dyDescent="0.25">
      <c r="A223" s="141" t="s">
        <v>89</v>
      </c>
      <c r="B223" s="141" t="s">
        <v>88</v>
      </c>
      <c r="C223" s="145">
        <v>396651225</v>
      </c>
      <c r="D223" s="145">
        <v>396651225</v>
      </c>
      <c r="E223" s="145">
        <f>+IFERROR(VLOOKUP(A223,Totalidad!$A$3:$M$356,2,FALSE), "No encontrado")</f>
        <v>0</v>
      </c>
      <c r="F223" s="145">
        <f>+IFERROR(VLOOKUP(A223,Totalidad!$A$3:$M$356,3,FALSE), "No encontrado")</f>
        <v>33054268.75</v>
      </c>
      <c r="G223" s="145">
        <f>+IFERROR(VLOOKUP(A223,Totalidad!$A$3:$M$356,4,FALSE), "No encontrado")</f>
        <v>66108537.5</v>
      </c>
      <c r="H223" s="145">
        <f>+IFERROR(VLOOKUP(A223,Totalidad!$A$3:$M$356,5,FALSE), "No encontrado")</f>
        <v>0</v>
      </c>
      <c r="I223" s="145">
        <f>+IFERROR(VLOOKUP(A223,Totalidad!$A$3:$M$356,6,FALSE), "No encontrado")</f>
        <v>66108537.5</v>
      </c>
      <c r="J223" s="145">
        <f>+IFERROR(VLOOKUP(A223,Totalidad!$A$3:$M$356,7,FALSE), "No encontrado")</f>
        <v>33054268.75</v>
      </c>
      <c r="K223" s="145">
        <f>+IFERROR(VLOOKUP(A223,Totalidad!$A$3:$M$356,8,FALSE), "No encontrado")</f>
        <v>33054268.75</v>
      </c>
      <c r="L223" s="145">
        <f>+IFERROR(VLOOKUP(A223,Totalidad!$A$3:$M$356,9,FALSE), "No encontrado")</f>
        <v>0</v>
      </c>
      <c r="M223" s="145">
        <f>+IFERROR(VLOOKUP(A223,Totalidad!$A$3:$M$356,10,FALSE), "No encontrado")</f>
        <v>66108537.5</v>
      </c>
      <c r="N223" s="145">
        <f>+IFERROR(VLOOKUP(A223,Totalidad!$A$3:$M$356,11,FALSE), "No encontrado")</f>
        <v>33054268.75</v>
      </c>
      <c r="O223" s="145">
        <f>+IFERROR(VLOOKUP(A223,Totalidad!$A$3:$M$356,12,FALSE), "No encontrado")</f>
        <v>0</v>
      </c>
      <c r="P223" s="145">
        <f>+IFERROR(VLOOKUP(A223,Totalidad!$A$3:$M$356,13,FALSE), "No encontrado")</f>
        <v>66108537.5</v>
      </c>
      <c r="Q223" s="143">
        <f t="shared" si="96"/>
        <v>396651225</v>
      </c>
      <c r="R223" s="143">
        <f t="shared" si="97"/>
        <v>0</v>
      </c>
      <c r="S223" s="144">
        <f t="shared" si="98"/>
        <v>1</v>
      </c>
      <c r="T223" s="144">
        <f t="shared" si="95"/>
        <v>1</v>
      </c>
    </row>
    <row r="224" spans="1:20" x14ac:dyDescent="0.25">
      <c r="A224" s="141" t="s">
        <v>87</v>
      </c>
      <c r="B224" s="141" t="s">
        <v>86</v>
      </c>
      <c r="C224" s="145">
        <v>459380822</v>
      </c>
      <c r="D224" s="145">
        <v>459380822</v>
      </c>
      <c r="E224" s="145">
        <f>+IFERROR(VLOOKUP(A224,Totalidad!$A$3:$M$356,2,FALSE), "No encontrado")</f>
        <v>0</v>
      </c>
      <c r="F224" s="145">
        <f>+IFERROR(VLOOKUP(A224,Totalidad!$A$3:$M$356,3,FALSE), "No encontrado")</f>
        <v>0</v>
      </c>
      <c r="G224" s="145">
        <f>+IFERROR(VLOOKUP(A224,Totalidad!$A$3:$M$356,4,FALSE), "No encontrado")</f>
        <v>0</v>
      </c>
      <c r="H224" s="145">
        <f>+IFERROR(VLOOKUP(A224,Totalidad!$A$3:$M$356,5,FALSE), "No encontrado")</f>
        <v>0</v>
      </c>
      <c r="I224" s="145">
        <f>+IFERROR(VLOOKUP(A224,Totalidad!$A$3:$M$356,6,FALSE), "No encontrado")</f>
        <v>423370321.5</v>
      </c>
      <c r="J224" s="145">
        <f>+IFERROR(VLOOKUP(A224,Totalidad!$A$3:$M$356,7,FALSE), "No encontrado")</f>
        <v>0</v>
      </c>
      <c r="K224" s="145">
        <f>+IFERROR(VLOOKUP(A224,Totalidad!$A$3:$M$356,8,FALSE), "No encontrado")</f>
        <v>0</v>
      </c>
      <c r="L224" s="145">
        <f>+IFERROR(VLOOKUP(A224,Totalidad!$A$3:$M$356,9,FALSE), "No encontrado")</f>
        <v>5100000</v>
      </c>
      <c r="M224" s="145">
        <f>+IFERROR(VLOOKUP(A224,Totalidad!$A$3:$M$356,10,FALSE), "No encontrado")</f>
        <v>0</v>
      </c>
      <c r="N224" s="145">
        <f>+IFERROR(VLOOKUP(A224,Totalidad!$A$3:$M$356,11,FALSE), "No encontrado")</f>
        <v>0</v>
      </c>
      <c r="O224" s="145">
        <f>+IFERROR(VLOOKUP(A224,Totalidad!$A$3:$M$356,12,FALSE), "No encontrado")</f>
        <v>36010500.5</v>
      </c>
      <c r="P224" s="145">
        <f>+IFERROR(VLOOKUP(A224,Totalidad!$A$3:$M$356,13,FALSE), "No encontrado")</f>
        <v>-5100000</v>
      </c>
      <c r="Q224" s="143">
        <f t="shared" si="96"/>
        <v>459380822</v>
      </c>
      <c r="R224" s="143">
        <f t="shared" si="97"/>
        <v>0</v>
      </c>
      <c r="S224" s="144">
        <f t="shared" si="98"/>
        <v>1</v>
      </c>
      <c r="T224" s="144">
        <f t="shared" si="95"/>
        <v>1</v>
      </c>
    </row>
    <row r="225" spans="1:20" x14ac:dyDescent="0.25">
      <c r="A225" s="141" t="s">
        <v>85</v>
      </c>
      <c r="B225" s="141" t="s">
        <v>84</v>
      </c>
      <c r="C225" s="145">
        <v>35000000</v>
      </c>
      <c r="D225" s="145">
        <v>35000000</v>
      </c>
      <c r="E225" s="145">
        <f>+IFERROR(VLOOKUP(A225,Totalidad!$A$3:$M$356,2,FALSE), "No encontrado")</f>
        <v>0</v>
      </c>
      <c r="F225" s="145">
        <f>+IFERROR(VLOOKUP(A225,Totalidad!$A$3:$M$356,3,FALSE), "No encontrado")</f>
        <v>0</v>
      </c>
      <c r="G225" s="145">
        <f>+IFERROR(VLOOKUP(A225,Totalidad!$A$3:$M$356,4,FALSE), "No encontrado")</f>
        <v>0</v>
      </c>
      <c r="H225" s="145">
        <f>+IFERROR(VLOOKUP(A225,Totalidad!$A$3:$M$356,5,FALSE), "No encontrado")</f>
        <v>0</v>
      </c>
      <c r="I225" s="145">
        <f>+IFERROR(VLOOKUP(A225,Totalidad!$A$3:$M$356,6,FALSE), "No encontrado")</f>
        <v>0</v>
      </c>
      <c r="J225" s="145">
        <f>+IFERROR(VLOOKUP(A225,Totalidad!$A$3:$M$356,7,FALSE), "No encontrado")</f>
        <v>0</v>
      </c>
      <c r="K225" s="145">
        <f>+IFERROR(VLOOKUP(A225,Totalidad!$A$3:$M$356,8,FALSE), "No encontrado")</f>
        <v>0</v>
      </c>
      <c r="L225" s="145">
        <f>+IFERROR(VLOOKUP(A225,Totalidad!$A$3:$M$356,9,FALSE), "No encontrado")</f>
        <v>0</v>
      </c>
      <c r="M225" s="145">
        <f>+IFERROR(VLOOKUP(A225,Totalidad!$A$3:$M$356,10,FALSE), "No encontrado")</f>
        <v>43491134.75</v>
      </c>
      <c r="N225" s="145">
        <f>+IFERROR(VLOOKUP(A225,Totalidad!$A$3:$M$356,11,FALSE), "No encontrado")</f>
        <v>0</v>
      </c>
      <c r="O225" s="145">
        <f>+IFERROR(VLOOKUP(A225,Totalidad!$A$3:$M$356,12,FALSE), "No encontrado")</f>
        <v>0</v>
      </c>
      <c r="P225" s="145">
        <f>+IFERROR(VLOOKUP(A225,Totalidad!$A$3:$M$356,13,FALSE), "No encontrado")</f>
        <v>0</v>
      </c>
      <c r="Q225" s="143">
        <f t="shared" si="96"/>
        <v>43491134.75</v>
      </c>
      <c r="R225" s="143">
        <f t="shared" si="97"/>
        <v>-8491134.75</v>
      </c>
      <c r="S225" s="144">
        <f t="shared" si="98"/>
        <v>1.2426038500000001</v>
      </c>
      <c r="T225" s="144">
        <f t="shared" si="95"/>
        <v>1.2426038500000001</v>
      </c>
    </row>
    <row r="226" spans="1:20" x14ac:dyDescent="0.25">
      <c r="A226" s="141" t="s">
        <v>615</v>
      </c>
      <c r="B226" s="141" t="s">
        <v>81</v>
      </c>
      <c r="C226" s="142">
        <f>+C227</f>
        <v>1125000000</v>
      </c>
      <c r="D226" s="142">
        <f>+D227</f>
        <v>1125000000</v>
      </c>
      <c r="E226" s="142">
        <f t="shared" ref="E226:P226" si="99">+E227</f>
        <v>20778268.850000001</v>
      </c>
      <c r="F226" s="142">
        <f t="shared" si="99"/>
        <v>40915456.219999999</v>
      </c>
      <c r="G226" s="142">
        <f t="shared" si="99"/>
        <v>9033124.4499999993</v>
      </c>
      <c r="H226" s="142">
        <f t="shared" si="99"/>
        <v>200340748.03</v>
      </c>
      <c r="I226" s="142">
        <f t="shared" si="99"/>
        <v>138036865.78</v>
      </c>
      <c r="J226" s="142">
        <f t="shared" si="99"/>
        <v>106801292.09999999</v>
      </c>
      <c r="K226" s="142">
        <f t="shared" si="99"/>
        <v>126580870.8</v>
      </c>
      <c r="L226" s="142">
        <f t="shared" si="99"/>
        <v>78885373.319999993</v>
      </c>
      <c r="M226" s="142">
        <f t="shared" si="99"/>
        <v>84614362.950000003</v>
      </c>
      <c r="N226" s="142">
        <f t="shared" si="99"/>
        <v>150595127.28999999</v>
      </c>
      <c r="O226" s="142">
        <f t="shared" si="99"/>
        <v>98505053.090000004</v>
      </c>
      <c r="P226" s="142">
        <f t="shared" si="99"/>
        <v>93936284.959999993</v>
      </c>
      <c r="Q226" s="143">
        <f t="shared" si="96"/>
        <v>1149022827.8399999</v>
      </c>
      <c r="R226" s="143">
        <f t="shared" si="97"/>
        <v>-24022827.839999914</v>
      </c>
      <c r="S226" s="144">
        <f t="shared" si="98"/>
        <v>1.0213536247466666</v>
      </c>
      <c r="T226" s="144">
        <f t="shared" si="95"/>
        <v>1.0213536247466666</v>
      </c>
    </row>
    <row r="227" spans="1:20" x14ac:dyDescent="0.25">
      <c r="A227" s="141" t="s">
        <v>83</v>
      </c>
      <c r="B227" s="141" t="s">
        <v>82</v>
      </c>
      <c r="C227" s="145">
        <v>1125000000</v>
      </c>
      <c r="D227" s="145">
        <v>1125000000</v>
      </c>
      <c r="E227" s="145">
        <f>+IFERROR(VLOOKUP(A227,Totalidad!$A$3:$M$356,2,FALSE), "No encontrado")</f>
        <v>20778268.850000001</v>
      </c>
      <c r="F227" s="145">
        <f>+IFERROR(VLOOKUP(A227,Totalidad!$A$3:$M$356,3,FALSE), "No encontrado")</f>
        <v>40915456.219999999</v>
      </c>
      <c r="G227" s="145">
        <f>+IFERROR(VLOOKUP(A227,Totalidad!$A$3:$M$356,4,FALSE), "No encontrado")</f>
        <v>9033124.4499999993</v>
      </c>
      <c r="H227" s="145">
        <f>+IFERROR(VLOOKUP(A227,Totalidad!$A$3:$M$356,5,FALSE), "No encontrado")</f>
        <v>200340748.03</v>
      </c>
      <c r="I227" s="145">
        <f>+IFERROR(VLOOKUP(A227,Totalidad!$A$3:$M$356,6,FALSE), "No encontrado")</f>
        <v>138036865.78</v>
      </c>
      <c r="J227" s="145">
        <f>+IFERROR(VLOOKUP(A227,Totalidad!$A$3:$M$356,7,FALSE), "No encontrado")</f>
        <v>106801292.09999999</v>
      </c>
      <c r="K227" s="145">
        <f>+IFERROR(VLOOKUP(A227,Totalidad!$A$3:$M$356,8,FALSE), "No encontrado")</f>
        <v>126580870.8</v>
      </c>
      <c r="L227" s="145">
        <f>+IFERROR(VLOOKUP(A227,Totalidad!$A$3:$M$356,9,FALSE), "No encontrado")</f>
        <v>78885373.319999993</v>
      </c>
      <c r="M227" s="145">
        <f>+IFERROR(VLOOKUP(A227,Totalidad!$A$3:$M$356,10,FALSE), "No encontrado")</f>
        <v>84614362.950000003</v>
      </c>
      <c r="N227" s="145">
        <f>+IFERROR(VLOOKUP(A227,Totalidad!$A$3:$M$356,11,FALSE), "No encontrado")</f>
        <v>150595127.28999999</v>
      </c>
      <c r="O227" s="145">
        <f>+IFERROR(VLOOKUP(A227,Totalidad!$A$3:$M$356,12,FALSE), "No encontrado")</f>
        <v>98505053.090000004</v>
      </c>
      <c r="P227" s="145">
        <f>+IFERROR(VLOOKUP(A227,Totalidad!$A$3:$M$356,13,FALSE), "No encontrado")</f>
        <v>93936284.959999993</v>
      </c>
      <c r="Q227" s="143">
        <f t="shared" si="96"/>
        <v>1149022827.8399999</v>
      </c>
      <c r="R227" s="143">
        <f t="shared" si="97"/>
        <v>-24022827.839999914</v>
      </c>
      <c r="S227" s="144">
        <f t="shared" si="98"/>
        <v>1.0213536247466666</v>
      </c>
      <c r="T227" s="144">
        <f t="shared" si="95"/>
        <v>1.0213536247466666</v>
      </c>
    </row>
    <row r="228" spans="1:20" x14ac:dyDescent="0.25">
      <c r="A228" s="141" t="s">
        <v>614</v>
      </c>
      <c r="B228" s="141" t="s">
        <v>613</v>
      </c>
      <c r="C228" s="142">
        <f>+C229</f>
        <v>417100000</v>
      </c>
      <c r="D228" s="142">
        <f>+D229</f>
        <v>417100000</v>
      </c>
      <c r="E228" s="142">
        <f t="shared" ref="E228:P228" si="100">+E229</f>
        <v>0</v>
      </c>
      <c r="F228" s="142">
        <f t="shared" si="100"/>
        <v>115200000</v>
      </c>
      <c r="G228" s="142">
        <f t="shared" si="100"/>
        <v>0</v>
      </c>
      <c r="H228" s="142">
        <f t="shared" si="100"/>
        <v>0</v>
      </c>
      <c r="I228" s="142">
        <f t="shared" si="100"/>
        <v>0</v>
      </c>
      <c r="J228" s="142">
        <f t="shared" si="100"/>
        <v>0</v>
      </c>
      <c r="K228" s="142">
        <f t="shared" si="100"/>
        <v>0</v>
      </c>
      <c r="L228" s="142">
        <f t="shared" si="100"/>
        <v>0</v>
      </c>
      <c r="M228" s="142">
        <f t="shared" si="100"/>
        <v>0</v>
      </c>
      <c r="N228" s="142">
        <f t="shared" si="100"/>
        <v>0</v>
      </c>
      <c r="O228" s="142">
        <f t="shared" si="100"/>
        <v>0</v>
      </c>
      <c r="P228" s="142">
        <f t="shared" si="100"/>
        <v>274300000</v>
      </c>
      <c r="Q228" s="143">
        <f t="shared" si="96"/>
        <v>389500000</v>
      </c>
      <c r="R228" s="143">
        <f t="shared" si="97"/>
        <v>27600000</v>
      </c>
      <c r="S228" s="144">
        <f t="shared" si="98"/>
        <v>0.93382881802924955</v>
      </c>
      <c r="T228" s="144">
        <f t="shared" si="95"/>
        <v>0.93382881802924955</v>
      </c>
    </row>
    <row r="229" spans="1:20" x14ac:dyDescent="0.25">
      <c r="A229" s="141" t="s">
        <v>612</v>
      </c>
      <c r="B229" s="141" t="s">
        <v>609</v>
      </c>
      <c r="C229" s="145">
        <v>417100000</v>
      </c>
      <c r="D229" s="145">
        <v>417100000</v>
      </c>
      <c r="E229" s="145">
        <f>+SUM(E230:E235)</f>
        <v>0</v>
      </c>
      <c r="F229" s="145">
        <f>+SUM(F230:F235)</f>
        <v>115200000</v>
      </c>
      <c r="G229" s="145">
        <f t="shared" ref="G229:P229" si="101">+SUM(G230:G235)</f>
        <v>0</v>
      </c>
      <c r="H229" s="145">
        <f t="shared" si="101"/>
        <v>0</v>
      </c>
      <c r="I229" s="145">
        <f t="shared" si="101"/>
        <v>0</v>
      </c>
      <c r="J229" s="145">
        <f t="shared" si="101"/>
        <v>0</v>
      </c>
      <c r="K229" s="145">
        <f t="shared" si="101"/>
        <v>0</v>
      </c>
      <c r="L229" s="145">
        <f t="shared" si="101"/>
        <v>0</v>
      </c>
      <c r="M229" s="145">
        <f t="shared" si="101"/>
        <v>0</v>
      </c>
      <c r="N229" s="145">
        <f t="shared" si="101"/>
        <v>0</v>
      </c>
      <c r="O229" s="145">
        <f t="shared" si="101"/>
        <v>0</v>
      </c>
      <c r="P229" s="145">
        <f t="shared" si="101"/>
        <v>274300000</v>
      </c>
      <c r="Q229" s="143">
        <f t="shared" si="96"/>
        <v>389500000</v>
      </c>
      <c r="R229" s="143">
        <f t="shared" si="97"/>
        <v>27600000</v>
      </c>
      <c r="S229" s="144">
        <f t="shared" si="98"/>
        <v>0.93382881802924955</v>
      </c>
      <c r="T229" s="144">
        <f t="shared" si="95"/>
        <v>0.93382881802924955</v>
      </c>
    </row>
    <row r="230" spans="1:20" x14ac:dyDescent="0.25">
      <c r="A230" s="141" t="s">
        <v>80</v>
      </c>
      <c r="B230" s="141" t="s">
        <v>79</v>
      </c>
      <c r="C230" s="146"/>
      <c r="D230" s="146"/>
      <c r="E230" s="145">
        <f>+IFERROR(VLOOKUP(A230,Totalidad!$A$3:$M$356,2,FALSE), "No encontrado")</f>
        <v>0</v>
      </c>
      <c r="F230" s="145">
        <f>+IFERROR(VLOOKUP(A230,Totalidad!$A$3:$M$356,3,FALSE), "No encontrado")</f>
        <v>115200000</v>
      </c>
      <c r="G230" s="145">
        <f>+IFERROR(VLOOKUP(A230,Totalidad!$A$3:$M$356,4,FALSE), "No encontrado")</f>
        <v>0</v>
      </c>
      <c r="H230" s="145">
        <f>+IFERROR(VLOOKUP(A230,Totalidad!$A$3:$M$356,5,FALSE), "No encontrado")</f>
        <v>0</v>
      </c>
      <c r="I230" s="145">
        <f>+IFERROR(VLOOKUP(A230,Totalidad!$A$3:$M$356,6,FALSE), "No encontrado")</f>
        <v>0</v>
      </c>
      <c r="J230" s="145">
        <f>+IFERROR(VLOOKUP(A230,Totalidad!$A$3:$M$356,7,FALSE), "No encontrado")</f>
        <v>0</v>
      </c>
      <c r="K230" s="145">
        <f>+IFERROR(VLOOKUP(A230,Totalidad!$A$3:$M$356,8,FALSE), "No encontrado")</f>
        <v>0</v>
      </c>
      <c r="L230" s="145">
        <f>+IFERROR(VLOOKUP(A230,Totalidad!$A$3:$M$356,9,FALSE), "No encontrado")</f>
        <v>0</v>
      </c>
      <c r="M230" s="145">
        <f>+IFERROR(VLOOKUP(A230,Totalidad!$A$3:$M$356,10,FALSE), "No encontrado")</f>
        <v>0</v>
      </c>
      <c r="N230" s="145">
        <f>+IFERROR(VLOOKUP(A230,Totalidad!$A$3:$M$356,11,FALSE), "No encontrado")</f>
        <v>0</v>
      </c>
      <c r="O230" s="145">
        <f>+IFERROR(VLOOKUP(A230,Totalidad!$A$3:$M$356,12,FALSE), "No encontrado")</f>
        <v>0</v>
      </c>
      <c r="P230" s="145">
        <f>+IFERROR(VLOOKUP(A230,Totalidad!$A$3:$M$356,13,FALSE), "No encontrado")</f>
        <v>0</v>
      </c>
      <c r="Q230" s="143">
        <f t="shared" si="96"/>
        <v>115200000</v>
      </c>
      <c r="R230" s="143">
        <f t="shared" si="97"/>
        <v>-115200000</v>
      </c>
      <c r="S230" s="144" t="e">
        <f t="shared" si="98"/>
        <v>#DIV/0!</v>
      </c>
      <c r="T230" s="144" t="e">
        <f t="shared" si="95"/>
        <v>#DIV/0!</v>
      </c>
    </row>
    <row r="231" spans="1:20" x14ac:dyDescent="0.25">
      <c r="A231" s="141" t="s">
        <v>78</v>
      </c>
      <c r="B231" s="141" t="s">
        <v>77</v>
      </c>
      <c r="C231" s="146"/>
      <c r="D231" s="146"/>
      <c r="E231" s="145">
        <f>+IFERROR(VLOOKUP(A231,Totalidad!$A$3:$M$356,2,FALSE), "No encontrado")</f>
        <v>0</v>
      </c>
      <c r="F231" s="145">
        <f>+IFERROR(VLOOKUP(A231,Totalidad!$A$3:$M$356,3,FALSE), "No encontrado")</f>
        <v>0</v>
      </c>
      <c r="G231" s="145">
        <f>+IFERROR(VLOOKUP(A231,Totalidad!$A$3:$M$356,4,FALSE), "No encontrado")</f>
        <v>0</v>
      </c>
      <c r="H231" s="145">
        <f>+IFERROR(VLOOKUP(A231,Totalidad!$A$3:$M$356,5,FALSE), "No encontrado")</f>
        <v>0</v>
      </c>
      <c r="I231" s="145">
        <f>+IFERROR(VLOOKUP(A231,Totalidad!$A$3:$M$356,6,FALSE), "No encontrado")</f>
        <v>0</v>
      </c>
      <c r="J231" s="145">
        <f>+IFERROR(VLOOKUP(A231,Totalidad!$A$3:$M$356,7,FALSE), "No encontrado")</f>
        <v>0</v>
      </c>
      <c r="K231" s="145">
        <f>+IFERROR(VLOOKUP(A231,Totalidad!$A$3:$M$356,8,FALSE), "No encontrado")</f>
        <v>0</v>
      </c>
      <c r="L231" s="145">
        <f>+IFERROR(VLOOKUP(A231,Totalidad!$A$3:$M$356,9,FALSE), "No encontrado")</f>
        <v>0</v>
      </c>
      <c r="M231" s="145">
        <f>+IFERROR(VLOOKUP(A231,Totalidad!$A$3:$M$356,10,FALSE), "No encontrado")</f>
        <v>0</v>
      </c>
      <c r="N231" s="145">
        <f>+IFERROR(VLOOKUP(A231,Totalidad!$A$3:$M$356,11,FALSE), "No encontrado")</f>
        <v>0</v>
      </c>
      <c r="O231" s="145">
        <f>+IFERROR(VLOOKUP(A231,Totalidad!$A$3:$M$356,12,FALSE), "No encontrado")</f>
        <v>0</v>
      </c>
      <c r="P231" s="145">
        <f>+IFERROR(VLOOKUP(A231,Totalidad!$A$3:$M$356,13,FALSE), "No encontrado")</f>
        <v>226100000</v>
      </c>
      <c r="Q231" s="143">
        <f t="shared" si="96"/>
        <v>226100000</v>
      </c>
      <c r="R231" s="143">
        <f t="shared" si="97"/>
        <v>-226100000</v>
      </c>
      <c r="S231" s="144" t="e">
        <f t="shared" si="98"/>
        <v>#DIV/0!</v>
      </c>
      <c r="T231" s="144" t="e">
        <f t="shared" si="95"/>
        <v>#DIV/0!</v>
      </c>
    </row>
    <row r="232" spans="1:20" x14ac:dyDescent="0.25">
      <c r="A232" s="141" t="s">
        <v>76</v>
      </c>
      <c r="B232" s="141" t="s">
        <v>75</v>
      </c>
      <c r="C232" s="146"/>
      <c r="D232" s="146"/>
      <c r="E232" s="145">
        <f>+IFERROR(VLOOKUP(A232,Totalidad!$A$3:$M$356,2,FALSE), "No encontrado")</f>
        <v>0</v>
      </c>
      <c r="F232" s="145">
        <f>+IFERROR(VLOOKUP(A232,Totalidad!$A$3:$M$356,3,FALSE), "No encontrado")</f>
        <v>0</v>
      </c>
      <c r="G232" s="145">
        <f>+IFERROR(VLOOKUP(A232,Totalidad!$A$3:$M$356,4,FALSE), "No encontrado")</f>
        <v>0</v>
      </c>
      <c r="H232" s="145">
        <f>+IFERROR(VLOOKUP(A232,Totalidad!$A$3:$M$356,5,FALSE), "No encontrado")</f>
        <v>0</v>
      </c>
      <c r="I232" s="145">
        <f>+IFERROR(VLOOKUP(A232,Totalidad!$A$3:$M$356,6,FALSE), "No encontrado")</f>
        <v>0</v>
      </c>
      <c r="J232" s="145">
        <f>+IFERROR(VLOOKUP(A232,Totalidad!$A$3:$M$356,7,FALSE), "No encontrado")</f>
        <v>0</v>
      </c>
      <c r="K232" s="145">
        <f>+IFERROR(VLOOKUP(A232,Totalidad!$A$3:$M$356,8,FALSE), "No encontrado")</f>
        <v>0</v>
      </c>
      <c r="L232" s="145">
        <f>+IFERROR(VLOOKUP(A232,Totalidad!$A$3:$M$356,9,FALSE), "No encontrado")</f>
        <v>0</v>
      </c>
      <c r="M232" s="145">
        <f>+IFERROR(VLOOKUP(A232,Totalidad!$A$3:$M$356,10,FALSE), "No encontrado")</f>
        <v>0</v>
      </c>
      <c r="N232" s="145">
        <f>+IFERROR(VLOOKUP(A232,Totalidad!$A$3:$M$356,11,FALSE), "No encontrado")</f>
        <v>0</v>
      </c>
      <c r="O232" s="145">
        <f>+IFERROR(VLOOKUP(A232,Totalidad!$A$3:$M$356,12,FALSE), "No encontrado")</f>
        <v>0</v>
      </c>
      <c r="P232" s="145">
        <f>+IFERROR(VLOOKUP(A232,Totalidad!$A$3:$M$356,13,FALSE), "No encontrado")</f>
        <v>22300000</v>
      </c>
      <c r="Q232" s="143">
        <f t="shared" si="96"/>
        <v>22300000</v>
      </c>
      <c r="R232" s="143">
        <f t="shared" si="97"/>
        <v>-22300000</v>
      </c>
      <c r="S232" s="144" t="e">
        <f t="shared" si="98"/>
        <v>#DIV/0!</v>
      </c>
      <c r="T232" s="144" t="e">
        <f t="shared" si="95"/>
        <v>#DIV/0!</v>
      </c>
    </row>
    <row r="233" spans="1:20" x14ac:dyDescent="0.25">
      <c r="A233" s="141" t="s">
        <v>74</v>
      </c>
      <c r="B233" s="141" t="s">
        <v>73</v>
      </c>
      <c r="C233" s="146"/>
      <c r="D233" s="146"/>
      <c r="E233" s="145">
        <f>+IFERROR(VLOOKUP(A233,Totalidad!$A$3:$M$356,2,FALSE), "No encontrado")</f>
        <v>0</v>
      </c>
      <c r="F233" s="145">
        <f>+IFERROR(VLOOKUP(A233,Totalidad!$A$3:$M$356,3,FALSE), "No encontrado")</f>
        <v>0</v>
      </c>
      <c r="G233" s="145">
        <f>+IFERROR(VLOOKUP(A233,Totalidad!$A$3:$M$356,4,FALSE), "No encontrado")</f>
        <v>0</v>
      </c>
      <c r="H233" s="145">
        <f>+IFERROR(VLOOKUP(A233,Totalidad!$A$3:$M$356,5,FALSE), "No encontrado")</f>
        <v>0</v>
      </c>
      <c r="I233" s="145">
        <f>+IFERROR(VLOOKUP(A233,Totalidad!$A$3:$M$356,6,FALSE), "No encontrado")</f>
        <v>0</v>
      </c>
      <c r="J233" s="145">
        <f>+IFERROR(VLOOKUP(A233,Totalidad!$A$3:$M$356,7,FALSE), "No encontrado")</f>
        <v>0</v>
      </c>
      <c r="K233" s="145">
        <f>+IFERROR(VLOOKUP(A233,Totalidad!$A$3:$M$356,8,FALSE), "No encontrado")</f>
        <v>0</v>
      </c>
      <c r="L233" s="145">
        <f>+IFERROR(VLOOKUP(A233,Totalidad!$A$3:$M$356,9,FALSE), "No encontrado")</f>
        <v>0</v>
      </c>
      <c r="M233" s="145">
        <f>+IFERROR(VLOOKUP(A233,Totalidad!$A$3:$M$356,10,FALSE), "No encontrado")</f>
        <v>0</v>
      </c>
      <c r="N233" s="145">
        <f>+IFERROR(VLOOKUP(A233,Totalidad!$A$3:$M$356,11,FALSE), "No encontrado")</f>
        <v>0</v>
      </c>
      <c r="O233" s="145">
        <f>+IFERROR(VLOOKUP(A233,Totalidad!$A$3:$M$356,12,FALSE), "No encontrado")</f>
        <v>0</v>
      </c>
      <c r="P233" s="145">
        <f>+IFERROR(VLOOKUP(A233,Totalidad!$A$3:$M$356,13,FALSE), "No encontrado")</f>
        <v>25900000</v>
      </c>
      <c r="Q233" s="143">
        <f t="shared" si="96"/>
        <v>25900000</v>
      </c>
      <c r="R233" s="143">
        <f t="shared" si="97"/>
        <v>-25900000</v>
      </c>
      <c r="S233" s="144" t="e">
        <f t="shared" si="98"/>
        <v>#DIV/0!</v>
      </c>
      <c r="T233" s="144" t="e">
        <f t="shared" si="95"/>
        <v>#DIV/0!</v>
      </c>
    </row>
    <row r="234" spans="1:20" x14ac:dyDescent="0.25">
      <c r="A234" s="141" t="s">
        <v>72</v>
      </c>
      <c r="B234" s="141" t="s">
        <v>71</v>
      </c>
      <c r="C234" s="146"/>
      <c r="D234" s="146"/>
      <c r="E234" s="145">
        <f>+IFERROR(VLOOKUP(A234,Totalidad!$A$3:$M$356,2,FALSE), "No encontrado")</f>
        <v>0</v>
      </c>
      <c r="F234" s="145">
        <f>+IFERROR(VLOOKUP(A234,Totalidad!$A$3:$M$356,3,FALSE), "No encontrado")</f>
        <v>0</v>
      </c>
      <c r="G234" s="145">
        <f>+IFERROR(VLOOKUP(A234,Totalidad!$A$3:$M$356,4,FALSE), "No encontrado")</f>
        <v>0</v>
      </c>
      <c r="H234" s="145">
        <f>+IFERROR(VLOOKUP(A234,Totalidad!$A$3:$M$356,5,FALSE), "No encontrado")</f>
        <v>0</v>
      </c>
      <c r="I234" s="145">
        <f>+IFERROR(VLOOKUP(A234,Totalidad!$A$3:$M$356,6,FALSE), "No encontrado")</f>
        <v>0</v>
      </c>
      <c r="J234" s="145">
        <f>+IFERROR(VLOOKUP(A234,Totalidad!$A$3:$M$356,7,FALSE), "No encontrado")</f>
        <v>0</v>
      </c>
      <c r="K234" s="145">
        <f>+IFERROR(VLOOKUP(A234,Totalidad!$A$3:$M$356,8,FALSE), "No encontrado")</f>
        <v>0</v>
      </c>
      <c r="L234" s="145">
        <f>+IFERROR(VLOOKUP(A234,Totalidad!$A$3:$M$356,9,FALSE), "No encontrado")</f>
        <v>0</v>
      </c>
      <c r="M234" s="145">
        <f>+IFERROR(VLOOKUP(A234,Totalidad!$A$3:$M$356,10,FALSE), "No encontrado")</f>
        <v>0</v>
      </c>
      <c r="N234" s="145">
        <f>+IFERROR(VLOOKUP(A234,Totalidad!$A$3:$M$356,11,FALSE), "No encontrado")</f>
        <v>0</v>
      </c>
      <c r="O234" s="145">
        <f>+IFERROR(VLOOKUP(A234,Totalidad!$A$3:$M$356,12,FALSE), "No encontrado")</f>
        <v>0</v>
      </c>
      <c r="P234" s="145">
        <f>+IFERROR(VLOOKUP(A234,Totalidad!$A$3:$M$356,13,FALSE), "No encontrado")</f>
        <v>0</v>
      </c>
      <c r="Q234" s="143">
        <f t="shared" si="96"/>
        <v>0</v>
      </c>
      <c r="R234" s="143">
        <f t="shared" si="97"/>
        <v>0</v>
      </c>
      <c r="S234" s="144" t="e">
        <f t="shared" si="98"/>
        <v>#DIV/0!</v>
      </c>
      <c r="T234" s="144" t="e">
        <f t="shared" si="95"/>
        <v>#DIV/0!</v>
      </c>
    </row>
    <row r="235" spans="1:20" x14ac:dyDescent="0.25">
      <c r="A235" s="141" t="s">
        <v>70</v>
      </c>
      <c r="B235" s="141" t="s">
        <v>69</v>
      </c>
      <c r="C235" s="146"/>
      <c r="D235" s="146"/>
      <c r="E235" s="145">
        <f>+IFERROR(VLOOKUP(A235,Totalidad!$A$3:$M$356,2,FALSE), "No encontrado")</f>
        <v>0</v>
      </c>
      <c r="F235" s="145">
        <f>+IFERROR(VLOOKUP(A235,Totalidad!$A$3:$M$356,3,FALSE), "No encontrado")</f>
        <v>0</v>
      </c>
      <c r="G235" s="145">
        <f>+IFERROR(VLOOKUP(A235,Totalidad!$A$3:$M$356,4,FALSE), "No encontrado")</f>
        <v>0</v>
      </c>
      <c r="H235" s="145">
        <f>+IFERROR(VLOOKUP(A235,Totalidad!$A$3:$M$356,5,FALSE), "No encontrado")</f>
        <v>0</v>
      </c>
      <c r="I235" s="145">
        <f>+IFERROR(VLOOKUP(A235,Totalidad!$A$3:$M$356,6,FALSE), "No encontrado")</f>
        <v>0</v>
      </c>
      <c r="J235" s="145">
        <f>+IFERROR(VLOOKUP(A235,Totalidad!$A$3:$M$356,7,FALSE), "No encontrado")</f>
        <v>0</v>
      </c>
      <c r="K235" s="145">
        <f>+IFERROR(VLOOKUP(A235,Totalidad!$A$3:$M$356,8,FALSE), "No encontrado")</f>
        <v>0</v>
      </c>
      <c r="L235" s="145">
        <f>+IFERROR(VLOOKUP(A235,Totalidad!$A$3:$M$356,9,FALSE), "No encontrado")</f>
        <v>0</v>
      </c>
      <c r="M235" s="145">
        <f>+IFERROR(VLOOKUP(A235,Totalidad!$A$3:$M$356,10,FALSE), "No encontrado")</f>
        <v>0</v>
      </c>
      <c r="N235" s="145">
        <f>+IFERROR(VLOOKUP(A235,Totalidad!$A$3:$M$356,11,FALSE), "No encontrado")</f>
        <v>0</v>
      </c>
      <c r="O235" s="145">
        <f>+IFERROR(VLOOKUP(A235,Totalidad!$A$3:$M$356,12,FALSE), "No encontrado")</f>
        <v>0</v>
      </c>
      <c r="P235" s="145">
        <f>+IFERROR(VLOOKUP(A235,Totalidad!$A$3:$M$356,13,FALSE), "No encontrado")</f>
        <v>0</v>
      </c>
      <c r="Q235" s="143">
        <f t="shared" si="96"/>
        <v>0</v>
      </c>
      <c r="R235" s="143">
        <f t="shared" si="97"/>
        <v>0</v>
      </c>
      <c r="S235" s="144" t="e">
        <f t="shared" si="98"/>
        <v>#DIV/0!</v>
      </c>
      <c r="T235" s="144" t="e">
        <f t="shared" si="95"/>
        <v>#DIV/0!</v>
      </c>
    </row>
    <row r="236" spans="1:20" x14ac:dyDescent="0.25">
      <c r="A236" s="141" t="s">
        <v>611</v>
      </c>
      <c r="B236" s="141" t="s">
        <v>58</v>
      </c>
      <c r="C236" s="142">
        <f>+C237</f>
        <v>1607800000</v>
      </c>
      <c r="D236" s="142">
        <f>+D237</f>
        <v>1404100000</v>
      </c>
      <c r="E236" s="142">
        <f t="shared" ref="E236:P236" si="102">+E237</f>
        <v>811200000</v>
      </c>
      <c r="F236" s="142">
        <f t="shared" si="102"/>
        <v>14800000</v>
      </c>
      <c r="G236" s="142">
        <f t="shared" si="102"/>
        <v>15900000</v>
      </c>
      <c r="H236" s="142">
        <f t="shared" si="102"/>
        <v>0</v>
      </c>
      <c r="I236" s="142">
        <f t="shared" si="102"/>
        <v>0</v>
      </c>
      <c r="J236" s="142">
        <f t="shared" si="102"/>
        <v>0</v>
      </c>
      <c r="K236" s="142">
        <f t="shared" si="102"/>
        <v>0</v>
      </c>
      <c r="L236" s="142">
        <f t="shared" si="102"/>
        <v>0</v>
      </c>
      <c r="M236" s="142">
        <f t="shared" si="102"/>
        <v>0</v>
      </c>
      <c r="N236" s="142">
        <f t="shared" si="102"/>
        <v>0</v>
      </c>
      <c r="O236" s="142">
        <f t="shared" si="102"/>
        <v>0</v>
      </c>
      <c r="P236" s="142">
        <f t="shared" si="102"/>
        <v>765900000</v>
      </c>
      <c r="Q236" s="143">
        <f t="shared" si="96"/>
        <v>1607800000</v>
      </c>
      <c r="R236" s="143">
        <f t="shared" si="97"/>
        <v>-203700000</v>
      </c>
      <c r="S236" s="144">
        <f t="shared" si="98"/>
        <v>1.1450751370984973</v>
      </c>
      <c r="T236" s="144">
        <f t="shared" si="95"/>
        <v>1</v>
      </c>
    </row>
    <row r="237" spans="1:20" x14ac:dyDescent="0.25">
      <c r="A237" s="141" t="s">
        <v>610</v>
      </c>
      <c r="B237" s="141" t="s">
        <v>609</v>
      </c>
      <c r="C237" s="145">
        <v>1607800000</v>
      </c>
      <c r="D237" s="145">
        <v>1404100000</v>
      </c>
      <c r="E237" s="145">
        <f>+SUM(E238:E242)</f>
        <v>811200000</v>
      </c>
      <c r="F237" s="145">
        <f>+SUM(F238:F242)</f>
        <v>14800000</v>
      </c>
      <c r="G237" s="145">
        <f t="shared" ref="G237:P237" si="103">+SUM(G238:G242)</f>
        <v>15900000</v>
      </c>
      <c r="H237" s="145">
        <f t="shared" si="103"/>
        <v>0</v>
      </c>
      <c r="I237" s="145">
        <f t="shared" si="103"/>
        <v>0</v>
      </c>
      <c r="J237" s="145">
        <f t="shared" si="103"/>
        <v>0</v>
      </c>
      <c r="K237" s="145">
        <f t="shared" si="103"/>
        <v>0</v>
      </c>
      <c r="L237" s="145">
        <f t="shared" si="103"/>
        <v>0</v>
      </c>
      <c r="M237" s="145">
        <f t="shared" si="103"/>
        <v>0</v>
      </c>
      <c r="N237" s="145">
        <f t="shared" si="103"/>
        <v>0</v>
      </c>
      <c r="O237" s="145">
        <f t="shared" si="103"/>
        <v>0</v>
      </c>
      <c r="P237" s="145">
        <f t="shared" si="103"/>
        <v>765900000</v>
      </c>
      <c r="Q237" s="143">
        <f t="shared" si="96"/>
        <v>1607800000</v>
      </c>
      <c r="R237" s="143">
        <f t="shared" si="97"/>
        <v>-203700000</v>
      </c>
      <c r="S237" s="144">
        <f t="shared" si="98"/>
        <v>1.1450751370984973</v>
      </c>
      <c r="T237" s="144">
        <f t="shared" si="95"/>
        <v>1</v>
      </c>
    </row>
    <row r="238" spans="1:20" x14ac:dyDescent="0.25">
      <c r="A238" s="141" t="s">
        <v>68</v>
      </c>
      <c r="B238" s="141" t="s">
        <v>67</v>
      </c>
      <c r="C238" s="146"/>
      <c r="D238" s="146"/>
      <c r="E238" s="145">
        <f>+IFERROR(VLOOKUP(A238,Totalidad!$A$3:$M$356,2,FALSE), "No encontrado")</f>
        <v>811200000</v>
      </c>
      <c r="F238" s="145">
        <f>+IFERROR(VLOOKUP(A238,Totalidad!$A$3:$M$356,3,FALSE), "No encontrado")</f>
        <v>0</v>
      </c>
      <c r="G238" s="145">
        <f>+IFERROR(VLOOKUP(A238,Totalidad!$A$3:$M$356,4,FALSE), "No encontrado")</f>
        <v>0</v>
      </c>
      <c r="H238" s="145">
        <f>+IFERROR(VLOOKUP(A238,Totalidad!$A$3:$M$356,5,FALSE), "No encontrado")</f>
        <v>0</v>
      </c>
      <c r="I238" s="145">
        <f>+IFERROR(VLOOKUP(A238,Totalidad!$A$3:$M$356,6,FALSE), "No encontrado")</f>
        <v>0</v>
      </c>
      <c r="J238" s="145">
        <f>+IFERROR(VLOOKUP(A238,Totalidad!$A$3:$M$356,7,FALSE), "No encontrado")</f>
        <v>0</v>
      </c>
      <c r="K238" s="145">
        <f>+IFERROR(VLOOKUP(A238,Totalidad!$A$3:$M$356,8,FALSE), "No encontrado")</f>
        <v>0</v>
      </c>
      <c r="L238" s="145">
        <f>+IFERROR(VLOOKUP(A238,Totalidad!$A$3:$M$356,9,FALSE), "No encontrado")</f>
        <v>0</v>
      </c>
      <c r="M238" s="145">
        <f>+IFERROR(VLOOKUP(A238,Totalidad!$A$3:$M$356,10,FALSE), "No encontrado")</f>
        <v>0</v>
      </c>
      <c r="N238" s="145">
        <f>+IFERROR(VLOOKUP(A238,Totalidad!$A$3:$M$356,11,FALSE), "No encontrado")</f>
        <v>0</v>
      </c>
      <c r="O238" s="145">
        <f>+IFERROR(VLOOKUP(A238,Totalidad!$A$3:$M$356,12,FALSE), "No encontrado")</f>
        <v>0</v>
      </c>
      <c r="P238" s="145">
        <f>+IFERROR(VLOOKUP(A238,Totalidad!$A$3:$M$356,13,FALSE), "No encontrado")</f>
        <v>0</v>
      </c>
      <c r="Q238" s="143">
        <f t="shared" si="96"/>
        <v>811200000</v>
      </c>
      <c r="R238" s="143">
        <f t="shared" si="97"/>
        <v>-811200000</v>
      </c>
      <c r="S238" s="144" t="e">
        <f t="shared" si="98"/>
        <v>#DIV/0!</v>
      </c>
      <c r="T238" s="144" t="e">
        <f t="shared" si="95"/>
        <v>#DIV/0!</v>
      </c>
    </row>
    <row r="239" spans="1:20" x14ac:dyDescent="0.25">
      <c r="A239" s="141" t="s">
        <v>66</v>
      </c>
      <c r="B239" s="141" t="s">
        <v>65</v>
      </c>
      <c r="C239" s="146"/>
      <c r="D239" s="146"/>
      <c r="E239" s="145" t="str">
        <f>+IFERROR(VLOOKUP(A239,Totalidad!$A$3:$M$356,2,FALSE), "No encontrado")</f>
        <v>No encontrado</v>
      </c>
      <c r="F239" s="145" t="str">
        <f>+IFERROR(VLOOKUP(A239,Totalidad!$A$3:$M$356,3,FALSE), "No encontrado")</f>
        <v>No encontrado</v>
      </c>
      <c r="G239" s="145" t="str">
        <f>+IFERROR(VLOOKUP(A239,Totalidad!$A$3:$M$356,4,FALSE), "No encontrado")</f>
        <v>No encontrado</v>
      </c>
      <c r="H239" s="145" t="str">
        <f>+IFERROR(VLOOKUP(A239,Totalidad!$A$3:$M$356,5,FALSE), "No encontrado")</f>
        <v>No encontrado</v>
      </c>
      <c r="I239" s="145" t="str">
        <f>+IFERROR(VLOOKUP(A239,Totalidad!$A$3:$M$356,6,FALSE), "No encontrado")</f>
        <v>No encontrado</v>
      </c>
      <c r="J239" s="145" t="str">
        <f>+IFERROR(VLOOKUP(A239,Totalidad!$A$3:$M$356,7,FALSE), "No encontrado")</f>
        <v>No encontrado</v>
      </c>
      <c r="K239" s="145" t="str">
        <f>+IFERROR(VLOOKUP(A239,Totalidad!$A$3:$M$356,8,FALSE), "No encontrado")</f>
        <v>No encontrado</v>
      </c>
      <c r="L239" s="145" t="str">
        <f>+IFERROR(VLOOKUP(A239,Totalidad!$A$3:$M$356,9,FALSE), "No encontrado")</f>
        <v>No encontrado</v>
      </c>
      <c r="M239" s="145" t="str">
        <f>+IFERROR(VLOOKUP(A239,Totalidad!$A$3:$M$356,10,FALSE), "No encontrado")</f>
        <v>No encontrado</v>
      </c>
      <c r="N239" s="145" t="str">
        <f>+IFERROR(VLOOKUP(A239,Totalidad!$A$3:$M$356,11,FALSE), "No encontrado")</f>
        <v>No encontrado</v>
      </c>
      <c r="O239" s="145" t="str">
        <f>+IFERROR(VLOOKUP(A239,Totalidad!$A$3:$M$356,12,FALSE), "No encontrado")</f>
        <v>No encontrado</v>
      </c>
      <c r="P239" s="145" t="str">
        <f>+IFERROR(VLOOKUP(A239,Totalidad!$A$3:$M$356,13,FALSE), "No encontrado")</f>
        <v>No encontrado</v>
      </c>
      <c r="Q239" s="143">
        <f t="shared" si="96"/>
        <v>0</v>
      </c>
      <c r="R239" s="143">
        <f t="shared" si="97"/>
        <v>0</v>
      </c>
      <c r="S239" s="144" t="e">
        <f t="shared" si="98"/>
        <v>#DIV/0!</v>
      </c>
      <c r="T239" s="144" t="e">
        <f t="shared" si="95"/>
        <v>#DIV/0!</v>
      </c>
    </row>
    <row r="240" spans="1:20" x14ac:dyDescent="0.25">
      <c r="A240" s="141" t="s">
        <v>64</v>
      </c>
      <c r="B240" s="141" t="s">
        <v>63</v>
      </c>
      <c r="C240" s="146"/>
      <c r="D240" s="146"/>
      <c r="E240" s="145">
        <f>+IFERROR(VLOOKUP(A240,Totalidad!$A$3:$M$356,2,FALSE), "No encontrado")</f>
        <v>0</v>
      </c>
      <c r="F240" s="145">
        <f>+IFERROR(VLOOKUP(A240,Totalidad!$A$3:$M$356,3,FALSE), "No encontrado")</f>
        <v>0</v>
      </c>
      <c r="G240" s="145">
        <f>+IFERROR(VLOOKUP(A240,Totalidad!$A$3:$M$356,4,FALSE), "No encontrado")</f>
        <v>0</v>
      </c>
      <c r="H240" s="145">
        <f>+IFERROR(VLOOKUP(A240,Totalidad!$A$3:$M$356,5,FALSE), "No encontrado")</f>
        <v>0</v>
      </c>
      <c r="I240" s="145">
        <f>+IFERROR(VLOOKUP(A240,Totalidad!$A$3:$M$356,6,FALSE), "No encontrado")</f>
        <v>0</v>
      </c>
      <c r="J240" s="145">
        <f>+IFERROR(VLOOKUP(A240,Totalidad!$A$3:$M$356,7,FALSE), "No encontrado")</f>
        <v>0</v>
      </c>
      <c r="K240" s="145">
        <f>+IFERROR(VLOOKUP(A240,Totalidad!$A$3:$M$356,8,FALSE), "No encontrado")</f>
        <v>0</v>
      </c>
      <c r="L240" s="145">
        <f>+IFERROR(VLOOKUP(A240,Totalidad!$A$3:$M$356,9,FALSE), "No encontrado")</f>
        <v>0</v>
      </c>
      <c r="M240" s="145">
        <f>+IFERROR(VLOOKUP(A240,Totalidad!$A$3:$M$356,10,FALSE), "No encontrado")</f>
        <v>0</v>
      </c>
      <c r="N240" s="145">
        <f>+IFERROR(VLOOKUP(A240,Totalidad!$A$3:$M$356,11,FALSE), "No encontrado")</f>
        <v>0</v>
      </c>
      <c r="O240" s="145">
        <f>+IFERROR(VLOOKUP(A240,Totalidad!$A$3:$M$356,12,FALSE), "No encontrado")</f>
        <v>0</v>
      </c>
      <c r="P240" s="145">
        <f>+IFERROR(VLOOKUP(A240,Totalidad!$A$3:$M$356,13,FALSE), "No encontrado")</f>
        <v>765900000</v>
      </c>
      <c r="Q240" s="143">
        <f t="shared" si="96"/>
        <v>765900000</v>
      </c>
      <c r="R240" s="143">
        <f t="shared" si="97"/>
        <v>-765900000</v>
      </c>
      <c r="S240" s="144" t="e">
        <f t="shared" si="98"/>
        <v>#DIV/0!</v>
      </c>
      <c r="T240" s="144" t="e">
        <f t="shared" si="95"/>
        <v>#DIV/0!</v>
      </c>
    </row>
    <row r="241" spans="1:20" x14ac:dyDescent="0.25">
      <c r="A241" s="141" t="s">
        <v>62</v>
      </c>
      <c r="B241" s="141" t="s">
        <v>61</v>
      </c>
      <c r="C241" s="146"/>
      <c r="D241" s="146"/>
      <c r="E241" s="145">
        <f>+IFERROR(VLOOKUP(A241,Totalidad!$A$3:$M$356,2,FALSE), "No encontrado")</f>
        <v>0</v>
      </c>
      <c r="F241" s="145">
        <f>+IFERROR(VLOOKUP(A241,Totalidad!$A$3:$M$356,3,FALSE), "No encontrado")</f>
        <v>14800000</v>
      </c>
      <c r="G241" s="145">
        <f>+IFERROR(VLOOKUP(A241,Totalidad!$A$3:$M$356,4,FALSE), "No encontrado")</f>
        <v>0</v>
      </c>
      <c r="H241" s="145">
        <f>+IFERROR(VLOOKUP(A241,Totalidad!$A$3:$M$356,5,FALSE), "No encontrado")</f>
        <v>0</v>
      </c>
      <c r="I241" s="145">
        <f>+IFERROR(VLOOKUP(A241,Totalidad!$A$3:$M$356,6,FALSE), "No encontrado")</f>
        <v>0</v>
      </c>
      <c r="J241" s="145">
        <f>+IFERROR(VLOOKUP(A241,Totalidad!$A$3:$M$356,7,FALSE), "No encontrado")</f>
        <v>0</v>
      </c>
      <c r="K241" s="145">
        <f>+IFERROR(VLOOKUP(A241,Totalidad!$A$3:$M$356,8,FALSE), "No encontrado")</f>
        <v>0</v>
      </c>
      <c r="L241" s="145">
        <f>+IFERROR(VLOOKUP(A241,Totalidad!$A$3:$M$356,9,FALSE), "No encontrado")</f>
        <v>0</v>
      </c>
      <c r="M241" s="145">
        <f>+IFERROR(VLOOKUP(A241,Totalidad!$A$3:$M$356,10,FALSE), "No encontrado")</f>
        <v>0</v>
      </c>
      <c r="N241" s="145">
        <f>+IFERROR(VLOOKUP(A241,Totalidad!$A$3:$M$356,11,FALSE), "No encontrado")</f>
        <v>0</v>
      </c>
      <c r="O241" s="145">
        <f>+IFERROR(VLOOKUP(A241,Totalidad!$A$3:$M$356,12,FALSE), "No encontrado")</f>
        <v>0</v>
      </c>
      <c r="P241" s="145">
        <f>+IFERROR(VLOOKUP(A241,Totalidad!$A$3:$M$356,13,FALSE), "No encontrado")</f>
        <v>0</v>
      </c>
      <c r="Q241" s="143">
        <f t="shared" si="96"/>
        <v>14800000</v>
      </c>
      <c r="R241" s="143">
        <f t="shared" si="97"/>
        <v>-14800000</v>
      </c>
      <c r="S241" s="144" t="e">
        <f t="shared" si="98"/>
        <v>#DIV/0!</v>
      </c>
      <c r="T241" s="144" t="e">
        <f t="shared" si="95"/>
        <v>#DIV/0!</v>
      </c>
    </row>
    <row r="242" spans="1:20" x14ac:dyDescent="0.25">
      <c r="A242" s="141" t="s">
        <v>60</v>
      </c>
      <c r="B242" s="141" t="s">
        <v>59</v>
      </c>
      <c r="C242" s="146"/>
      <c r="D242" s="146"/>
      <c r="E242" s="145">
        <f>+IFERROR(VLOOKUP(A242,Totalidad!$A$3:$M$356,2,FALSE), "No encontrado")</f>
        <v>0</v>
      </c>
      <c r="F242" s="145">
        <f>+IFERROR(VLOOKUP(A242,Totalidad!$A$3:$M$356,3,FALSE), "No encontrado")</f>
        <v>0</v>
      </c>
      <c r="G242" s="145">
        <f>+IFERROR(VLOOKUP(A242,Totalidad!$A$3:$M$356,4,FALSE), "No encontrado")</f>
        <v>15900000</v>
      </c>
      <c r="H242" s="145">
        <f>+IFERROR(VLOOKUP(A242,Totalidad!$A$3:$M$356,5,FALSE), "No encontrado")</f>
        <v>0</v>
      </c>
      <c r="I242" s="145">
        <f>+IFERROR(VLOOKUP(A242,Totalidad!$A$3:$M$356,6,FALSE), "No encontrado")</f>
        <v>0</v>
      </c>
      <c r="J242" s="145">
        <f>+IFERROR(VLOOKUP(A242,Totalidad!$A$3:$M$356,7,FALSE), "No encontrado")</f>
        <v>0</v>
      </c>
      <c r="K242" s="145">
        <f>+IFERROR(VLOOKUP(A242,Totalidad!$A$3:$M$356,8,FALSE), "No encontrado")</f>
        <v>0</v>
      </c>
      <c r="L242" s="145">
        <f>+IFERROR(VLOOKUP(A242,Totalidad!$A$3:$M$356,9,FALSE), "No encontrado")</f>
        <v>0</v>
      </c>
      <c r="M242" s="145">
        <f>+IFERROR(VLOOKUP(A242,Totalidad!$A$3:$M$356,10,FALSE), "No encontrado")</f>
        <v>0</v>
      </c>
      <c r="N242" s="145">
        <f>+IFERROR(VLOOKUP(A242,Totalidad!$A$3:$M$356,11,FALSE), "No encontrado")</f>
        <v>0</v>
      </c>
      <c r="O242" s="145">
        <f>+IFERROR(VLOOKUP(A242,Totalidad!$A$3:$M$356,12,FALSE), "No encontrado")</f>
        <v>0</v>
      </c>
      <c r="P242" s="145">
        <f>+IFERROR(VLOOKUP(A242,Totalidad!$A$3:$M$356,13,FALSE), "No encontrado")</f>
        <v>0</v>
      </c>
      <c r="Q242" s="143">
        <f t="shared" si="96"/>
        <v>15900000</v>
      </c>
      <c r="R242" s="143">
        <f t="shared" si="97"/>
        <v>-15900000</v>
      </c>
      <c r="S242" s="144" t="e">
        <f t="shared" si="98"/>
        <v>#DIV/0!</v>
      </c>
      <c r="T242" s="144" t="e">
        <f t="shared" si="95"/>
        <v>#DIV/0!</v>
      </c>
    </row>
    <row r="243" spans="1:20" x14ac:dyDescent="0.25">
      <c r="A243" s="141" t="s">
        <v>608</v>
      </c>
      <c r="B243" s="141" t="s">
        <v>607</v>
      </c>
      <c r="C243" s="142" t="str">
        <f>+C244</f>
        <v xml:space="preserve"> </v>
      </c>
      <c r="D243" s="142" t="str">
        <f>+D244</f>
        <v xml:space="preserve"> </v>
      </c>
      <c r="E243" s="142">
        <f t="shared" ref="E243:P244" si="104">+E244</f>
        <v>0</v>
      </c>
      <c r="F243" s="142">
        <f t="shared" si="104"/>
        <v>0</v>
      </c>
      <c r="G243" s="142">
        <f t="shared" si="104"/>
        <v>0</v>
      </c>
      <c r="H243" s="142">
        <f t="shared" si="104"/>
        <v>0</v>
      </c>
      <c r="I243" s="142">
        <f t="shared" si="104"/>
        <v>0</v>
      </c>
      <c r="J243" s="142">
        <f t="shared" si="104"/>
        <v>0</v>
      </c>
      <c r="K243" s="142">
        <f t="shared" si="104"/>
        <v>0</v>
      </c>
      <c r="L243" s="142">
        <f t="shared" si="104"/>
        <v>0</v>
      </c>
      <c r="M243" s="142">
        <f t="shared" si="104"/>
        <v>24429200</v>
      </c>
      <c r="N243" s="142">
        <f t="shared" si="104"/>
        <v>0</v>
      </c>
      <c r="O243" s="142">
        <f t="shared" si="104"/>
        <v>0</v>
      </c>
      <c r="P243" s="142">
        <f t="shared" si="104"/>
        <v>0</v>
      </c>
      <c r="Q243" s="143">
        <f t="shared" si="96"/>
        <v>24429200</v>
      </c>
      <c r="R243" s="143" t="e">
        <f t="shared" si="97"/>
        <v>#VALUE!</v>
      </c>
      <c r="S243" s="144" t="e">
        <f t="shared" si="98"/>
        <v>#VALUE!</v>
      </c>
      <c r="T243" s="144" t="e">
        <f t="shared" si="95"/>
        <v>#VALUE!</v>
      </c>
    </row>
    <row r="244" spans="1:20" x14ac:dyDescent="0.25">
      <c r="A244" s="141" t="s">
        <v>606</v>
      </c>
      <c r="B244" s="141" t="s">
        <v>605</v>
      </c>
      <c r="C244" s="142" t="str">
        <f>+C245</f>
        <v xml:space="preserve"> </v>
      </c>
      <c r="D244" s="142" t="str">
        <f>+D245</f>
        <v xml:space="preserve"> </v>
      </c>
      <c r="E244" s="142">
        <f t="shared" si="104"/>
        <v>0</v>
      </c>
      <c r="F244" s="142">
        <f t="shared" si="104"/>
        <v>0</v>
      </c>
      <c r="G244" s="142">
        <f t="shared" si="104"/>
        <v>0</v>
      </c>
      <c r="H244" s="142">
        <f t="shared" si="104"/>
        <v>0</v>
      </c>
      <c r="I244" s="142">
        <f t="shared" si="104"/>
        <v>0</v>
      </c>
      <c r="J244" s="142">
        <f t="shared" si="104"/>
        <v>0</v>
      </c>
      <c r="K244" s="142">
        <f t="shared" si="104"/>
        <v>0</v>
      </c>
      <c r="L244" s="142">
        <f t="shared" si="104"/>
        <v>0</v>
      </c>
      <c r="M244" s="142">
        <f t="shared" si="104"/>
        <v>24429200</v>
      </c>
      <c r="N244" s="142">
        <f t="shared" si="104"/>
        <v>0</v>
      </c>
      <c r="O244" s="142">
        <f t="shared" si="104"/>
        <v>0</v>
      </c>
      <c r="P244" s="142">
        <f t="shared" si="104"/>
        <v>0</v>
      </c>
      <c r="Q244" s="143">
        <f t="shared" si="96"/>
        <v>24429200</v>
      </c>
      <c r="R244" s="143" t="e">
        <f t="shared" si="97"/>
        <v>#VALUE!</v>
      </c>
      <c r="S244" s="144" t="e">
        <f t="shared" si="98"/>
        <v>#VALUE!</v>
      </c>
      <c r="T244" s="144" t="e">
        <f t="shared" si="95"/>
        <v>#VALUE!</v>
      </c>
    </row>
    <row r="245" spans="1:20" x14ac:dyDescent="0.25">
      <c r="A245" s="141" t="s">
        <v>57</v>
      </c>
      <c r="B245" s="141" t="s">
        <v>56</v>
      </c>
      <c r="C245" s="145" t="s">
        <v>1265</v>
      </c>
      <c r="D245" s="145" t="s">
        <v>1265</v>
      </c>
      <c r="E245" s="145">
        <f>+IFERROR(VLOOKUP(A245,Totalidad!$A$3:$M$356,2,FALSE), "No encontrado")</f>
        <v>0</v>
      </c>
      <c r="F245" s="145">
        <f>+IFERROR(VLOOKUP(A245,Totalidad!$A$3:$M$356,3,FALSE), "No encontrado")</f>
        <v>0</v>
      </c>
      <c r="G245" s="145">
        <f>+IFERROR(VLOOKUP(A245,Totalidad!$A$3:$M$356,4,FALSE), "No encontrado")</f>
        <v>0</v>
      </c>
      <c r="H245" s="145">
        <f>+IFERROR(VLOOKUP(A245,Totalidad!$A$3:$M$356,5,FALSE), "No encontrado")</f>
        <v>0</v>
      </c>
      <c r="I245" s="145">
        <f>+IFERROR(VLOOKUP(A245,Totalidad!$A$3:$M$356,6,FALSE), "No encontrado")</f>
        <v>0</v>
      </c>
      <c r="J245" s="145">
        <f>+IFERROR(VLOOKUP(A245,Totalidad!$A$3:$M$356,7,FALSE), "No encontrado")</f>
        <v>0</v>
      </c>
      <c r="K245" s="145">
        <f>+IFERROR(VLOOKUP(A245,Totalidad!$A$3:$M$356,8,FALSE), "No encontrado")</f>
        <v>0</v>
      </c>
      <c r="L245" s="145">
        <f>+IFERROR(VLOOKUP(A245,Totalidad!$A$3:$M$356,9,FALSE), "No encontrado")</f>
        <v>0</v>
      </c>
      <c r="M245" s="145">
        <f>+IFERROR(VLOOKUP(A245,Totalidad!$A$3:$M$356,10,FALSE), "No encontrado")</f>
        <v>24429200</v>
      </c>
      <c r="N245" s="145">
        <f>+IFERROR(VLOOKUP(A245,Totalidad!$A$3:$M$356,11,FALSE), "No encontrado")</f>
        <v>0</v>
      </c>
      <c r="O245" s="145">
        <f>+IFERROR(VLOOKUP(A245,Totalidad!$A$3:$M$356,12,FALSE), "No encontrado")</f>
        <v>0</v>
      </c>
      <c r="P245" s="145">
        <f>+IFERROR(VLOOKUP(A245,Totalidad!$A$3:$M$356,13,FALSE), "No encontrado")</f>
        <v>0</v>
      </c>
      <c r="Q245" s="143">
        <f t="shared" si="96"/>
        <v>24429200</v>
      </c>
      <c r="R245" s="143" t="e">
        <f t="shared" si="97"/>
        <v>#VALUE!</v>
      </c>
      <c r="S245" s="144" t="e">
        <f t="shared" si="98"/>
        <v>#VALUE!</v>
      </c>
      <c r="T245" s="144" t="e">
        <f t="shared" si="95"/>
        <v>#VALUE!</v>
      </c>
    </row>
    <row r="246" spans="1:20" x14ac:dyDescent="0.25">
      <c r="A246" s="141" t="s">
        <v>603</v>
      </c>
      <c r="B246" s="141" t="s">
        <v>602</v>
      </c>
      <c r="C246" s="142">
        <f t="shared" ref="C246:D248" si="105">+C247</f>
        <v>0</v>
      </c>
      <c r="D246" s="142">
        <f t="shared" si="105"/>
        <v>0</v>
      </c>
      <c r="E246" s="142" t="e">
        <f t="shared" ref="E246:P248" si="106">+E247</f>
        <v>#VALUE!</v>
      </c>
      <c r="F246" s="142" t="e">
        <f t="shared" si="106"/>
        <v>#VALUE!</v>
      </c>
      <c r="G246" s="142" t="e">
        <f t="shared" si="106"/>
        <v>#VALUE!</v>
      </c>
      <c r="H246" s="142" t="e">
        <f t="shared" si="106"/>
        <v>#VALUE!</v>
      </c>
      <c r="I246" s="142" t="e">
        <f t="shared" si="106"/>
        <v>#VALUE!</v>
      </c>
      <c r="J246" s="142" t="e">
        <f t="shared" si="106"/>
        <v>#VALUE!</v>
      </c>
      <c r="K246" s="142" t="e">
        <f t="shared" si="106"/>
        <v>#VALUE!</v>
      </c>
      <c r="L246" s="142" t="e">
        <f t="shared" si="106"/>
        <v>#VALUE!</v>
      </c>
      <c r="M246" s="142" t="e">
        <f t="shared" si="106"/>
        <v>#VALUE!</v>
      </c>
      <c r="N246" s="142" t="e">
        <f t="shared" si="106"/>
        <v>#VALUE!</v>
      </c>
      <c r="O246" s="142" t="e">
        <f t="shared" si="106"/>
        <v>#VALUE!</v>
      </c>
      <c r="P246" s="142" t="e">
        <f t="shared" si="106"/>
        <v>#VALUE!</v>
      </c>
      <c r="Q246" s="143" t="e">
        <f t="shared" si="96"/>
        <v>#VALUE!</v>
      </c>
      <c r="R246" s="143" t="e">
        <f t="shared" si="97"/>
        <v>#VALUE!</v>
      </c>
      <c r="S246" s="144" t="e">
        <f t="shared" si="98"/>
        <v>#VALUE!</v>
      </c>
      <c r="T246" s="144" t="e">
        <f t="shared" si="95"/>
        <v>#VALUE!</v>
      </c>
    </row>
    <row r="247" spans="1:20" x14ac:dyDescent="0.25">
      <c r="A247" s="141" t="s">
        <v>601</v>
      </c>
      <c r="B247" s="141" t="s">
        <v>600</v>
      </c>
      <c r="C247" s="142">
        <f t="shared" si="105"/>
        <v>0</v>
      </c>
      <c r="D247" s="142">
        <f t="shared" si="105"/>
        <v>0</v>
      </c>
      <c r="E247" s="142" t="e">
        <f t="shared" si="106"/>
        <v>#VALUE!</v>
      </c>
      <c r="F247" s="142" t="e">
        <f t="shared" si="106"/>
        <v>#VALUE!</v>
      </c>
      <c r="G247" s="142" t="e">
        <f t="shared" si="106"/>
        <v>#VALUE!</v>
      </c>
      <c r="H247" s="142" t="e">
        <f t="shared" si="106"/>
        <v>#VALUE!</v>
      </c>
      <c r="I247" s="142" t="e">
        <f t="shared" si="106"/>
        <v>#VALUE!</v>
      </c>
      <c r="J247" s="142" t="e">
        <f t="shared" si="106"/>
        <v>#VALUE!</v>
      </c>
      <c r="K247" s="142" t="e">
        <f t="shared" si="106"/>
        <v>#VALUE!</v>
      </c>
      <c r="L247" s="142" t="e">
        <f t="shared" si="106"/>
        <v>#VALUE!</v>
      </c>
      <c r="M247" s="142" t="e">
        <f t="shared" si="106"/>
        <v>#VALUE!</v>
      </c>
      <c r="N247" s="142" t="e">
        <f t="shared" si="106"/>
        <v>#VALUE!</v>
      </c>
      <c r="O247" s="142" t="e">
        <f t="shared" si="106"/>
        <v>#VALUE!</v>
      </c>
      <c r="P247" s="142" t="e">
        <f t="shared" si="106"/>
        <v>#VALUE!</v>
      </c>
      <c r="Q247" s="143" t="e">
        <f t="shared" si="96"/>
        <v>#VALUE!</v>
      </c>
      <c r="R247" s="143" t="e">
        <f t="shared" si="97"/>
        <v>#VALUE!</v>
      </c>
      <c r="S247" s="144" t="e">
        <f t="shared" si="98"/>
        <v>#VALUE!</v>
      </c>
      <c r="T247" s="144" t="e">
        <f t="shared" si="95"/>
        <v>#VALUE!</v>
      </c>
    </row>
    <row r="248" spans="1:20" x14ac:dyDescent="0.25">
      <c r="A248" s="141" t="s">
        <v>599</v>
      </c>
      <c r="B248" s="141" t="s">
        <v>598</v>
      </c>
      <c r="C248" s="142">
        <f t="shared" si="105"/>
        <v>0</v>
      </c>
      <c r="D248" s="142">
        <f t="shared" si="105"/>
        <v>0</v>
      </c>
      <c r="E248" s="142" t="e">
        <f t="shared" si="106"/>
        <v>#VALUE!</v>
      </c>
      <c r="F248" s="142" t="e">
        <f t="shared" si="106"/>
        <v>#VALUE!</v>
      </c>
      <c r="G248" s="142" t="e">
        <f t="shared" si="106"/>
        <v>#VALUE!</v>
      </c>
      <c r="H248" s="142" t="e">
        <f t="shared" si="106"/>
        <v>#VALUE!</v>
      </c>
      <c r="I248" s="142" t="e">
        <f t="shared" si="106"/>
        <v>#VALUE!</v>
      </c>
      <c r="J248" s="142" t="e">
        <f t="shared" si="106"/>
        <v>#VALUE!</v>
      </c>
      <c r="K248" s="142" t="e">
        <f t="shared" si="106"/>
        <v>#VALUE!</v>
      </c>
      <c r="L248" s="142" t="e">
        <f t="shared" si="106"/>
        <v>#VALUE!</v>
      </c>
      <c r="M248" s="142" t="e">
        <f t="shared" si="106"/>
        <v>#VALUE!</v>
      </c>
      <c r="N248" s="142" t="e">
        <f t="shared" si="106"/>
        <v>#VALUE!</v>
      </c>
      <c r="O248" s="142" t="e">
        <f t="shared" si="106"/>
        <v>#VALUE!</v>
      </c>
      <c r="P248" s="142" t="e">
        <f t="shared" si="106"/>
        <v>#VALUE!</v>
      </c>
      <c r="Q248" s="143" t="e">
        <f t="shared" si="96"/>
        <v>#VALUE!</v>
      </c>
      <c r="R248" s="143" t="e">
        <f t="shared" si="97"/>
        <v>#VALUE!</v>
      </c>
      <c r="S248" s="144" t="e">
        <f t="shared" si="98"/>
        <v>#VALUE!</v>
      </c>
      <c r="T248" s="144" t="e">
        <f t="shared" si="95"/>
        <v>#VALUE!</v>
      </c>
    </row>
    <row r="249" spans="1:20" x14ac:dyDescent="0.25">
      <c r="A249" s="141" t="s">
        <v>597</v>
      </c>
      <c r="B249" s="141" t="s">
        <v>596</v>
      </c>
      <c r="C249" s="142">
        <f>+C250+C251+C252</f>
        <v>0</v>
      </c>
      <c r="D249" s="142">
        <f>+D250+D251+D252</f>
        <v>0</v>
      </c>
      <c r="E249" s="142" t="e">
        <f t="shared" ref="E249:P249" si="107">+E250+E251+E252</f>
        <v>#VALUE!</v>
      </c>
      <c r="F249" s="142" t="e">
        <f t="shared" si="107"/>
        <v>#VALUE!</v>
      </c>
      <c r="G249" s="142" t="e">
        <f t="shared" si="107"/>
        <v>#VALUE!</v>
      </c>
      <c r="H249" s="142" t="e">
        <f t="shared" si="107"/>
        <v>#VALUE!</v>
      </c>
      <c r="I249" s="142" t="e">
        <f t="shared" si="107"/>
        <v>#VALUE!</v>
      </c>
      <c r="J249" s="142" t="e">
        <f t="shared" si="107"/>
        <v>#VALUE!</v>
      </c>
      <c r="K249" s="142" t="e">
        <f t="shared" si="107"/>
        <v>#VALUE!</v>
      </c>
      <c r="L249" s="142" t="e">
        <f t="shared" si="107"/>
        <v>#VALUE!</v>
      </c>
      <c r="M249" s="142" t="e">
        <f t="shared" si="107"/>
        <v>#VALUE!</v>
      </c>
      <c r="N249" s="142" t="e">
        <f t="shared" si="107"/>
        <v>#VALUE!</v>
      </c>
      <c r="O249" s="142" t="e">
        <f t="shared" si="107"/>
        <v>#VALUE!</v>
      </c>
      <c r="P249" s="142" t="e">
        <f t="shared" si="107"/>
        <v>#VALUE!</v>
      </c>
      <c r="Q249" s="143" t="e">
        <f t="shared" si="96"/>
        <v>#VALUE!</v>
      </c>
      <c r="R249" s="143" t="e">
        <f t="shared" si="97"/>
        <v>#VALUE!</v>
      </c>
      <c r="S249" s="144" t="e">
        <f t="shared" si="98"/>
        <v>#VALUE!</v>
      </c>
      <c r="T249" s="144" t="e">
        <f t="shared" si="95"/>
        <v>#VALUE!</v>
      </c>
    </row>
    <row r="250" spans="1:20" x14ac:dyDescent="0.25">
      <c r="A250" s="141" t="s">
        <v>366</v>
      </c>
      <c r="B250" s="141" t="s">
        <v>384</v>
      </c>
      <c r="C250" s="145">
        <v>0</v>
      </c>
      <c r="D250" s="145">
        <v>0</v>
      </c>
      <c r="E250" s="145" t="str">
        <f>+IFERROR(VLOOKUP(A250,Totalidad!$A$3:$M$356,2,FALSE), "No encontrado")</f>
        <v>No encontrado</v>
      </c>
      <c r="F250" s="145" t="str">
        <f>+IFERROR(VLOOKUP(A250,Totalidad!$A$3:$M$356,3,FALSE), "No encontrado")</f>
        <v>No encontrado</v>
      </c>
      <c r="G250" s="145" t="str">
        <f>+IFERROR(VLOOKUP(A250,Totalidad!$A$3:$M$356,4,FALSE), "No encontrado")</f>
        <v>No encontrado</v>
      </c>
      <c r="H250" s="145" t="str">
        <f>+IFERROR(VLOOKUP(A250,Totalidad!$A$3:$M$356,5,FALSE), "No encontrado")</f>
        <v>No encontrado</v>
      </c>
      <c r="I250" s="145" t="str">
        <f>+IFERROR(VLOOKUP(A250,Totalidad!$A$3:$M$356,6,FALSE), "No encontrado")</f>
        <v>No encontrado</v>
      </c>
      <c r="J250" s="145" t="str">
        <f>+IFERROR(VLOOKUP(A250,Totalidad!$A$3:$M$356,7,FALSE), "No encontrado")</f>
        <v>No encontrado</v>
      </c>
      <c r="K250" s="145" t="str">
        <f>+IFERROR(VLOOKUP(A250,Totalidad!#REF!,8,FALSE), "No encontrado")</f>
        <v>No encontrado</v>
      </c>
      <c r="L250" s="145" t="str">
        <f>+IFERROR(VLOOKUP(A250,Totalidad!$A$3:$M$356,9,FALSE), "No encontrado")</f>
        <v>No encontrado</v>
      </c>
      <c r="M250" s="145" t="str">
        <f>+IFERROR(VLOOKUP(A250,Totalidad!$A$3:$M$356,10,FALSE), "No encontrado")</f>
        <v>No encontrado</v>
      </c>
      <c r="N250" s="145" t="str">
        <f>+IFERROR(VLOOKUP(A250,Totalidad!$A$3:$M$356,11,FALSE), "No encontrado")</f>
        <v>No encontrado</v>
      </c>
      <c r="O250" s="145" t="str">
        <f>+IFERROR(VLOOKUP(A250,Totalidad!$A$3:$M$356,12,FALSE), "No encontrado")</f>
        <v>No encontrado</v>
      </c>
      <c r="P250" s="145" t="str">
        <f>+IFERROR(VLOOKUP(A250,Totalidad!$A$3:$M$356,13,FALSE), "No encontrado")</f>
        <v>No encontrado</v>
      </c>
      <c r="Q250" s="143">
        <f t="shared" si="96"/>
        <v>0</v>
      </c>
      <c r="R250" s="143">
        <f t="shared" si="97"/>
        <v>0</v>
      </c>
      <c r="S250" s="144" t="e">
        <f t="shared" si="98"/>
        <v>#DIV/0!</v>
      </c>
      <c r="T250" s="144" t="e">
        <f t="shared" si="95"/>
        <v>#DIV/0!</v>
      </c>
    </row>
    <row r="251" spans="1:20" x14ac:dyDescent="0.25">
      <c r="A251" s="141" t="s">
        <v>54</v>
      </c>
      <c r="B251" s="141" t="s">
        <v>53</v>
      </c>
      <c r="C251" s="145">
        <v>0</v>
      </c>
      <c r="D251" s="145">
        <v>0</v>
      </c>
      <c r="E251" s="145" t="str">
        <f>+IFERROR(VLOOKUP(A251,Totalidad!$A$3:$M$356,2,FALSE), "No encontrado")</f>
        <v>No encontrado</v>
      </c>
      <c r="F251" s="145" t="str">
        <f>+IFERROR(VLOOKUP(A251,Totalidad!$A$3:$M$356,3,FALSE), "No encontrado")</f>
        <v>No encontrado</v>
      </c>
      <c r="G251" s="145" t="str">
        <f>+IFERROR(VLOOKUP(A251,Totalidad!$A$3:$M$356,4,FALSE), "No encontrado")</f>
        <v>No encontrado</v>
      </c>
      <c r="H251" s="145" t="str">
        <f>+IFERROR(VLOOKUP(A251,Totalidad!$A$3:$M$356,5,FALSE), "No encontrado")</f>
        <v>No encontrado</v>
      </c>
      <c r="I251" s="145" t="str">
        <f>+IFERROR(VLOOKUP(A251,Totalidad!$A$3:$M$356,6,FALSE), "No encontrado")</f>
        <v>No encontrado</v>
      </c>
      <c r="J251" s="145" t="str">
        <f>+IFERROR(VLOOKUP(A251,Totalidad!$A$3:$M$356,7,FALSE), "No encontrado")</f>
        <v>No encontrado</v>
      </c>
      <c r="K251" s="145" t="str">
        <f>+IFERROR(VLOOKUP(A251,Totalidad!#REF!,8,FALSE), "No encontrado")</f>
        <v>No encontrado</v>
      </c>
      <c r="L251" s="145" t="str">
        <f>+IFERROR(VLOOKUP(A251,Totalidad!$A$3:$M$356,9,FALSE), "No encontrado")</f>
        <v>No encontrado</v>
      </c>
      <c r="M251" s="145" t="str">
        <f>+IFERROR(VLOOKUP(A251,Totalidad!$A$3:$M$356,10,FALSE), "No encontrado")</f>
        <v>No encontrado</v>
      </c>
      <c r="N251" s="145" t="str">
        <f>+IFERROR(VLOOKUP(A251,Totalidad!$A$3:$M$356,11,FALSE), "No encontrado")</f>
        <v>No encontrado</v>
      </c>
      <c r="O251" s="145" t="str">
        <f>+IFERROR(VLOOKUP(A251,Totalidad!$A$3:$M$356,12,FALSE), "No encontrado")</f>
        <v>No encontrado</v>
      </c>
      <c r="P251" s="145" t="str">
        <f>+IFERROR(VLOOKUP(A251,Totalidad!$A$3:$M$356,13,FALSE), "No encontrado")</f>
        <v>No encontrado</v>
      </c>
      <c r="Q251" s="143">
        <f t="shared" si="96"/>
        <v>0</v>
      </c>
      <c r="R251" s="143">
        <f t="shared" si="97"/>
        <v>0</v>
      </c>
      <c r="S251" s="144" t="e">
        <f t="shared" si="98"/>
        <v>#DIV/0!</v>
      </c>
      <c r="T251" s="144" t="e">
        <f t="shared" si="95"/>
        <v>#DIV/0!</v>
      </c>
    </row>
    <row r="252" spans="1:20" x14ac:dyDescent="0.25">
      <c r="A252" s="141" t="s">
        <v>52</v>
      </c>
      <c r="B252" s="141" t="s">
        <v>50</v>
      </c>
      <c r="C252" s="145">
        <v>0</v>
      </c>
      <c r="D252" s="145">
        <v>0</v>
      </c>
      <c r="E252" s="145" t="str">
        <f>+IFERROR(VLOOKUP(A252,Totalidad!$A$3:$M$356,2,FALSE), "No encontrado")</f>
        <v>No encontrado</v>
      </c>
      <c r="F252" s="145" t="str">
        <f>+IFERROR(VLOOKUP(A252,Totalidad!$A$3:$M$356,3,FALSE), "No encontrado")</f>
        <v>No encontrado</v>
      </c>
      <c r="G252" s="145" t="str">
        <f>+IFERROR(VLOOKUP(A252,Totalidad!$A$3:$M$356,4,FALSE), "No encontrado")</f>
        <v>No encontrado</v>
      </c>
      <c r="H252" s="145" t="str">
        <f>+IFERROR(VLOOKUP(A252,Totalidad!$A$3:$M$356,5,FALSE), "No encontrado")</f>
        <v>No encontrado</v>
      </c>
      <c r="I252" s="145" t="str">
        <f>+IFERROR(VLOOKUP(A252,Totalidad!$A$3:$M$356,6,FALSE), "No encontrado")</f>
        <v>No encontrado</v>
      </c>
      <c r="J252" s="145" t="str">
        <f>+IFERROR(VLOOKUP(A252,Totalidad!$A$3:$M$356,7,FALSE), "No encontrado")</f>
        <v>No encontrado</v>
      </c>
      <c r="K252" s="145" t="str">
        <f>+IFERROR(VLOOKUP(A252,Totalidad!#REF!,8,FALSE), "No encontrado")</f>
        <v>No encontrado</v>
      </c>
      <c r="L252" s="145" t="str">
        <f>+IFERROR(VLOOKUP(A252,Totalidad!$A$3:$M$356,9,FALSE), "No encontrado")</f>
        <v>No encontrado</v>
      </c>
      <c r="M252" s="145" t="str">
        <f>+IFERROR(VLOOKUP(A252,Totalidad!$A$3:$M$356,10,FALSE), "No encontrado")</f>
        <v>No encontrado</v>
      </c>
      <c r="N252" s="145" t="str">
        <f>+IFERROR(VLOOKUP(A252,Totalidad!$A$3:$M$356,11,FALSE), "No encontrado")</f>
        <v>No encontrado</v>
      </c>
      <c r="O252" s="145" t="str">
        <f>+IFERROR(VLOOKUP(A252,Totalidad!$A$3:$M$356,12,FALSE), "No encontrado")</f>
        <v>No encontrado</v>
      </c>
      <c r="P252" s="145" t="str">
        <f>+IFERROR(VLOOKUP(A252,Totalidad!$A$3:$M$356,13,FALSE), "No encontrado")</f>
        <v>No encontrado</v>
      </c>
      <c r="Q252" s="143">
        <f t="shared" si="96"/>
        <v>0</v>
      </c>
      <c r="R252" s="143">
        <f t="shared" si="97"/>
        <v>0</v>
      </c>
      <c r="S252" s="144" t="e">
        <f t="shared" si="98"/>
        <v>#DIV/0!</v>
      </c>
      <c r="T252" s="144" t="e">
        <f t="shared" si="95"/>
        <v>#DIV/0!</v>
      </c>
    </row>
  </sheetData>
  <mergeCells count="5">
    <mergeCell ref="A1:E1"/>
    <mergeCell ref="A2:E2"/>
    <mergeCell ref="A3:E3"/>
    <mergeCell ref="A4:E4"/>
    <mergeCell ref="A5:E5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BJ48"/>
  <sheetViews>
    <sheetView showGridLines="0" workbookViewId="0">
      <selection activeCell="B21" sqref="B21"/>
    </sheetView>
  </sheetViews>
  <sheetFormatPr baseColWidth="10" defaultRowHeight="15" x14ac:dyDescent="0.25"/>
  <cols>
    <col min="1" max="1" width="82.7109375" customWidth="1"/>
    <col min="2" max="2" width="57.5703125" customWidth="1"/>
    <col min="3" max="9" width="16.7109375" customWidth="1"/>
    <col min="10" max="10" width="18.42578125" style="101" customWidth="1"/>
    <col min="11" max="11" width="16.7109375" customWidth="1"/>
    <col min="12" max="12" width="19.140625" customWidth="1"/>
    <col min="13" max="13" width="18.28515625" customWidth="1"/>
    <col min="14" max="14" width="5" style="181" customWidth="1"/>
    <col min="17" max="17" width="103" bestFit="1" customWidth="1"/>
    <col min="18" max="18" width="59.7109375" bestFit="1" customWidth="1"/>
    <col min="19" max="19" width="16.7109375" customWidth="1"/>
    <col min="20" max="20" width="17.7109375" customWidth="1"/>
    <col min="21" max="25" width="16.7109375" customWidth="1"/>
    <col min="26" max="26" width="18.42578125" style="101" customWidth="1"/>
    <col min="27" max="27" width="16.7109375" customWidth="1"/>
    <col min="28" max="28" width="19.140625" customWidth="1"/>
    <col min="29" max="29" width="18.28515625" customWidth="1"/>
    <col min="30" max="30" width="6.7109375" style="181" customWidth="1"/>
    <col min="31" max="31" width="14.5703125" bestFit="1" customWidth="1"/>
    <col min="32" max="32" width="43.85546875" customWidth="1"/>
    <col min="33" max="33" width="36.140625" bestFit="1" customWidth="1"/>
    <col min="34" max="34" width="16.140625" bestFit="1" customWidth="1"/>
    <col min="35" max="35" width="14.5703125" customWidth="1"/>
    <col min="36" max="36" width="13.28515625" customWidth="1"/>
    <col min="37" max="37" width="14" customWidth="1"/>
    <col min="38" max="38" width="13.7109375" customWidth="1"/>
    <col min="39" max="39" width="13.140625" customWidth="1"/>
    <col min="40" max="40" width="15.140625" customWidth="1"/>
    <col min="41" max="41" width="18.42578125" customWidth="1"/>
    <col min="42" max="42" width="16.28515625" customWidth="1"/>
    <col min="43" max="43" width="19.140625" customWidth="1"/>
    <col min="44" max="44" width="18.28515625" customWidth="1"/>
    <col min="46" max="46" width="6.28515625" style="181" customWidth="1"/>
    <col min="50" max="50" width="32.85546875" customWidth="1"/>
    <col min="51" max="51" width="36.140625" bestFit="1" customWidth="1"/>
    <col min="52" max="58" width="16.7109375" customWidth="1"/>
    <col min="59" max="59" width="18.42578125" bestFit="1" customWidth="1"/>
    <col min="60" max="60" width="16.7109375" customWidth="1"/>
    <col min="61" max="61" width="19.140625" bestFit="1" customWidth="1"/>
    <col min="62" max="62" width="18.28515625" bestFit="1" customWidth="1"/>
  </cols>
  <sheetData>
    <row r="1" spans="1:62" ht="18.75" x14ac:dyDescent="0.3">
      <c r="A1" s="39"/>
      <c r="B1" s="215" t="s">
        <v>1334</v>
      </c>
      <c r="C1" s="215"/>
      <c r="D1" s="215"/>
      <c r="E1" s="39"/>
      <c r="F1" s="39"/>
      <c r="N1" s="186"/>
      <c r="O1" s="188"/>
      <c r="Q1" s="217" t="s">
        <v>1335</v>
      </c>
      <c r="R1" s="217"/>
      <c r="AG1" s="214" t="s">
        <v>1337</v>
      </c>
      <c r="AH1" s="214"/>
      <c r="AY1" s="214" t="s">
        <v>1343</v>
      </c>
      <c r="AZ1" s="214"/>
      <c r="BA1" s="214"/>
    </row>
    <row r="2" spans="1:62" ht="18.75" x14ac:dyDescent="0.3">
      <c r="B2" s="217">
        <v>2020</v>
      </c>
      <c r="C2" s="217"/>
      <c r="D2" s="217"/>
      <c r="M2" s="187"/>
      <c r="N2" s="185"/>
      <c r="O2" s="187"/>
    </row>
    <row r="3" spans="1:62" x14ac:dyDescent="0.25">
      <c r="A3" s="182">
        <v>2020</v>
      </c>
      <c r="O3" s="101"/>
    </row>
    <row r="4" spans="1:62" x14ac:dyDescent="0.25">
      <c r="A4" s="15" t="s">
        <v>542</v>
      </c>
      <c r="B4" s="16">
        <v>2020</v>
      </c>
      <c r="O4" s="101"/>
      <c r="Q4" s="15" t="s">
        <v>542</v>
      </c>
      <c r="R4" s="16">
        <v>2020</v>
      </c>
    </row>
    <row r="5" spans="1:62" x14ac:dyDescent="0.25">
      <c r="A5" s="15" t="s">
        <v>538</v>
      </c>
      <c r="B5" t="s">
        <v>336</v>
      </c>
      <c r="Q5" s="15" t="s">
        <v>538</v>
      </c>
      <c r="R5" t="s">
        <v>336</v>
      </c>
      <c r="AF5" s="15" t="s">
        <v>542</v>
      </c>
      <c r="AG5" s="16">
        <v>2019</v>
      </c>
      <c r="AX5" s="15" t="s">
        <v>542</v>
      </c>
      <c r="AY5" s="16">
        <v>2020</v>
      </c>
    </row>
    <row r="6" spans="1:62" x14ac:dyDescent="0.25">
      <c r="A6" s="15" t="s">
        <v>537</v>
      </c>
      <c r="B6" t="s">
        <v>354</v>
      </c>
      <c r="Q6" s="15" t="s">
        <v>537</v>
      </c>
      <c r="R6" t="s">
        <v>349</v>
      </c>
      <c r="AF6" s="15" t="s">
        <v>538</v>
      </c>
      <c r="AG6" t="s">
        <v>336</v>
      </c>
      <c r="AX6" s="15" t="s">
        <v>538</v>
      </c>
      <c r="AY6" t="s">
        <v>336</v>
      </c>
    </row>
    <row r="7" spans="1:62" x14ac:dyDescent="0.25">
      <c r="AF7" s="15" t="s">
        <v>537</v>
      </c>
      <c r="AG7" t="s">
        <v>1338</v>
      </c>
      <c r="AX7" s="15" t="s">
        <v>537</v>
      </c>
      <c r="AY7" t="s">
        <v>339</v>
      </c>
    </row>
    <row r="8" spans="1:62" x14ac:dyDescent="0.25">
      <c r="A8" s="15" t="s">
        <v>794</v>
      </c>
      <c r="B8" t="s">
        <v>796</v>
      </c>
      <c r="C8" t="s">
        <v>797</v>
      </c>
      <c r="D8" t="s">
        <v>798</v>
      </c>
      <c r="E8" t="s">
        <v>807</v>
      </c>
      <c r="F8" t="s">
        <v>799</v>
      </c>
      <c r="G8" t="s">
        <v>800</v>
      </c>
      <c r="H8" t="s">
        <v>801</v>
      </c>
      <c r="Q8" s="15" t="s">
        <v>794</v>
      </c>
      <c r="R8" t="s">
        <v>796</v>
      </c>
      <c r="S8" t="s">
        <v>797</v>
      </c>
      <c r="T8" t="s">
        <v>798</v>
      </c>
      <c r="U8" t="s">
        <v>807</v>
      </c>
      <c r="V8" t="s">
        <v>799</v>
      </c>
      <c r="W8" t="s">
        <v>800</v>
      </c>
      <c r="X8" t="s">
        <v>801</v>
      </c>
    </row>
    <row r="9" spans="1:62" x14ac:dyDescent="0.25">
      <c r="A9" s="16" t="s">
        <v>1275</v>
      </c>
      <c r="B9" s="17">
        <v>214626032</v>
      </c>
      <c r="C9" s="17">
        <v>92900522</v>
      </c>
      <c r="D9" s="17">
        <v>137188627</v>
      </c>
      <c r="E9" s="17">
        <v>155654905</v>
      </c>
      <c r="F9" s="17">
        <v>118458764</v>
      </c>
      <c r="G9" s="17">
        <v>97476054</v>
      </c>
      <c r="H9" s="17">
        <v>99653142</v>
      </c>
      <c r="Q9" s="16" t="s">
        <v>838</v>
      </c>
      <c r="R9" s="17">
        <v>29746248016.610001</v>
      </c>
      <c r="S9" s="17">
        <v>13611687425.450001</v>
      </c>
      <c r="T9" s="17">
        <v>129809843971.34</v>
      </c>
      <c r="U9" s="17">
        <v>28464160244.599998</v>
      </c>
      <c r="V9" s="17">
        <v>12815525192.18</v>
      </c>
      <c r="W9" s="17">
        <v>45670860974.379997</v>
      </c>
      <c r="X9" s="17">
        <v>24300416877.610001</v>
      </c>
      <c r="AF9" s="15" t="s">
        <v>794</v>
      </c>
      <c r="AG9" t="s">
        <v>796</v>
      </c>
      <c r="AH9" t="s">
        <v>797</v>
      </c>
      <c r="AI9" t="s">
        <v>798</v>
      </c>
      <c r="AJ9" t="s">
        <v>807</v>
      </c>
      <c r="AK9" t="s">
        <v>799</v>
      </c>
      <c r="AL9" t="s">
        <v>800</v>
      </c>
      <c r="AM9" t="s">
        <v>801</v>
      </c>
      <c r="AN9" t="s">
        <v>802</v>
      </c>
      <c r="AO9" t="s">
        <v>803</v>
      </c>
      <c r="AP9" t="s">
        <v>804</v>
      </c>
      <c r="AQ9" t="s">
        <v>805</v>
      </c>
      <c r="AR9" t="s">
        <v>806</v>
      </c>
      <c r="AX9" s="15" t="s">
        <v>794</v>
      </c>
      <c r="AY9" t="s">
        <v>796</v>
      </c>
      <c r="AZ9" t="s">
        <v>797</v>
      </c>
      <c r="BA9" t="s">
        <v>798</v>
      </c>
      <c r="BB9" t="s">
        <v>807</v>
      </c>
      <c r="BC9" t="s">
        <v>799</v>
      </c>
      <c r="BD9" t="s">
        <v>800</v>
      </c>
      <c r="BE9" t="s">
        <v>801</v>
      </c>
      <c r="BF9" t="s">
        <v>802</v>
      </c>
      <c r="BG9" t="s">
        <v>803</v>
      </c>
      <c r="BH9" t="s">
        <v>804</v>
      </c>
      <c r="BI9" t="s">
        <v>805</v>
      </c>
      <c r="BJ9" t="s">
        <v>806</v>
      </c>
    </row>
    <row r="10" spans="1:62" x14ac:dyDescent="0.25">
      <c r="A10" s="16" t="s">
        <v>355</v>
      </c>
      <c r="B10" s="17">
        <v>3366224004.5799999</v>
      </c>
      <c r="C10" s="17">
        <v>1293860264.48</v>
      </c>
      <c r="D10" s="17">
        <v>6026145281.6899996</v>
      </c>
      <c r="E10" s="17">
        <v>3526813341.6100001</v>
      </c>
      <c r="F10" s="17">
        <v>1141901213.8499999</v>
      </c>
      <c r="G10" s="17">
        <v>4325968358.4200001</v>
      </c>
      <c r="H10" s="17">
        <v>1970540976.1900001</v>
      </c>
      <c r="Q10" s="16" t="s">
        <v>836</v>
      </c>
      <c r="R10" s="17">
        <v>9069166411.1700001</v>
      </c>
      <c r="S10" s="17">
        <v>4621481647.5699997</v>
      </c>
      <c r="T10" s="17">
        <v>33941565413.310001</v>
      </c>
      <c r="U10" s="17">
        <v>5284690580.21</v>
      </c>
      <c r="V10" s="17">
        <v>5863671788.9700003</v>
      </c>
      <c r="W10" s="17">
        <v>7750436478.0699997</v>
      </c>
      <c r="X10" s="17">
        <v>5850378642.3599997</v>
      </c>
      <c r="AF10" s="16" t="s">
        <v>346</v>
      </c>
      <c r="AG10" s="17">
        <v>4691731505.4499998</v>
      </c>
      <c r="AH10" s="17">
        <v>2641023481.1900001</v>
      </c>
      <c r="AI10" s="17">
        <v>2500625138.2399998</v>
      </c>
      <c r="AJ10" s="17">
        <v>2721867313</v>
      </c>
      <c r="AK10" s="17">
        <v>3197647783.9400001</v>
      </c>
      <c r="AL10" s="17">
        <v>2838312325.54</v>
      </c>
      <c r="AM10" s="17">
        <v>5697655568.8900003</v>
      </c>
      <c r="AN10" s="17">
        <v>2591672932.8600001</v>
      </c>
      <c r="AO10" s="17">
        <v>1896129315</v>
      </c>
      <c r="AP10" s="17">
        <v>3307807934.6500001</v>
      </c>
      <c r="AQ10" s="17">
        <v>5925193421</v>
      </c>
      <c r="AR10" s="17">
        <v>-19418459172.400002</v>
      </c>
      <c r="AX10" s="16" t="s">
        <v>339</v>
      </c>
      <c r="AY10" s="17">
        <v>30355160206.990002</v>
      </c>
      <c r="AZ10" s="17">
        <v>13305417263.84</v>
      </c>
      <c r="BA10" s="17">
        <v>13518377191.469999</v>
      </c>
      <c r="BB10" s="17">
        <v>10855276416.370001</v>
      </c>
      <c r="BC10" s="17">
        <v>11579858872.450001</v>
      </c>
      <c r="BD10" s="17">
        <v>14900765875.48</v>
      </c>
      <c r="BE10" s="17">
        <v>14387000822.24</v>
      </c>
      <c r="BF10" s="17">
        <v>13217573124.360001</v>
      </c>
      <c r="BG10" s="17">
        <v>10806937078.889999</v>
      </c>
      <c r="BH10" s="17">
        <v>13510641558.959999</v>
      </c>
      <c r="BI10" s="17">
        <v>142652971.08000001</v>
      </c>
      <c r="BJ10" s="17">
        <v>0</v>
      </c>
    </row>
    <row r="11" spans="1:62" x14ac:dyDescent="0.25">
      <c r="A11" s="16" t="s">
        <v>1271</v>
      </c>
      <c r="B11" s="17">
        <v>1056927930</v>
      </c>
      <c r="C11" s="17">
        <v>1080817324</v>
      </c>
      <c r="D11" s="17">
        <v>1029322468</v>
      </c>
      <c r="E11" s="17">
        <v>874119887</v>
      </c>
      <c r="F11" s="17">
        <v>773364614</v>
      </c>
      <c r="G11" s="17">
        <v>796033572</v>
      </c>
      <c r="H11" s="17">
        <v>824843576</v>
      </c>
      <c r="Q11" s="16" t="s">
        <v>1283</v>
      </c>
      <c r="R11" s="17">
        <v>650127031</v>
      </c>
      <c r="S11" s="17">
        <v>656951680</v>
      </c>
      <c r="T11" s="17">
        <v>576111699</v>
      </c>
      <c r="U11" s="17">
        <v>551089536</v>
      </c>
      <c r="V11" s="17">
        <v>523043366</v>
      </c>
      <c r="W11" s="17">
        <v>1175639191</v>
      </c>
      <c r="X11" s="17">
        <v>250593616</v>
      </c>
      <c r="AF11" s="16" t="s">
        <v>341</v>
      </c>
      <c r="AG11" s="17">
        <v>6872105893.1400003</v>
      </c>
      <c r="AH11" s="17">
        <v>5054396198.21</v>
      </c>
      <c r="AI11" s="17">
        <v>4865248563.75</v>
      </c>
      <c r="AJ11" s="17">
        <v>8973516333.7900009</v>
      </c>
      <c r="AK11" s="17">
        <v>5476148345.04</v>
      </c>
      <c r="AL11" s="17">
        <v>8569917260.75</v>
      </c>
      <c r="AM11" s="17">
        <v>7214920473.2799997</v>
      </c>
      <c r="AN11" s="17">
        <v>8099546926.29</v>
      </c>
      <c r="AO11" s="17">
        <v>5124821594.8199997</v>
      </c>
      <c r="AP11" s="17">
        <v>10839519554.27</v>
      </c>
      <c r="AQ11" s="17">
        <v>7003149304.6400003</v>
      </c>
      <c r="AR11" s="17">
        <v>-38281957853.300003</v>
      </c>
      <c r="AX11" s="16" t="s">
        <v>795</v>
      </c>
      <c r="AY11" s="17">
        <v>30355160206.990002</v>
      </c>
      <c r="AZ11" s="17">
        <v>13305417263.84</v>
      </c>
      <c r="BA11" s="17">
        <v>13518377191.469999</v>
      </c>
      <c r="BB11" s="17">
        <v>10855276416.370001</v>
      </c>
      <c r="BC11" s="17">
        <v>11579858872.450001</v>
      </c>
      <c r="BD11" s="17">
        <v>14900765875.48</v>
      </c>
      <c r="BE11" s="17">
        <v>14387000822.24</v>
      </c>
      <c r="BF11" s="17">
        <v>13217573124.360001</v>
      </c>
      <c r="BG11" s="17">
        <v>10806937078.889999</v>
      </c>
      <c r="BH11" s="17">
        <v>13510641558.959999</v>
      </c>
      <c r="BI11" s="17">
        <v>142652971.08000001</v>
      </c>
      <c r="BJ11" s="17">
        <v>0</v>
      </c>
    </row>
    <row r="12" spans="1:62" x14ac:dyDescent="0.25">
      <c r="A12" s="16" t="s">
        <v>1273</v>
      </c>
      <c r="B12" s="17">
        <v>113506333</v>
      </c>
      <c r="C12" s="17">
        <v>108564546</v>
      </c>
      <c r="D12" s="17">
        <v>114038909</v>
      </c>
      <c r="E12" s="17">
        <v>95373760</v>
      </c>
      <c r="F12" s="17">
        <v>84726809</v>
      </c>
      <c r="G12" s="17">
        <v>97144542</v>
      </c>
      <c r="H12" s="17">
        <v>88400853</v>
      </c>
      <c r="Q12" s="16" t="s">
        <v>1317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AF12" s="16" t="s">
        <v>795</v>
      </c>
      <c r="AG12" s="17">
        <v>11563837398.59</v>
      </c>
      <c r="AH12" s="17">
        <v>7695419679.3999996</v>
      </c>
      <c r="AI12" s="17">
        <v>7365873701.9899998</v>
      </c>
      <c r="AJ12" s="17">
        <v>11695383646.790001</v>
      </c>
      <c r="AK12" s="17">
        <v>8673796128.9799995</v>
      </c>
      <c r="AL12" s="17">
        <v>11408229586.290001</v>
      </c>
      <c r="AM12" s="17">
        <v>12912576042.17</v>
      </c>
      <c r="AN12" s="17">
        <v>10691219859.15</v>
      </c>
      <c r="AO12" s="17">
        <v>7020950909.8199997</v>
      </c>
      <c r="AP12" s="17">
        <v>14147327488.92</v>
      </c>
      <c r="AQ12" s="17">
        <v>12928342725.639999</v>
      </c>
      <c r="AR12" s="17">
        <v>-57700417025.700005</v>
      </c>
    </row>
    <row r="13" spans="1:62" x14ac:dyDescent="0.25">
      <c r="A13" s="16" t="s">
        <v>357</v>
      </c>
      <c r="B13" s="17">
        <v>20773703810</v>
      </c>
      <c r="C13" s="17">
        <v>19714721362.439999</v>
      </c>
      <c r="D13" s="17">
        <v>20877812014</v>
      </c>
      <c r="E13" s="17">
        <v>27730780971</v>
      </c>
      <c r="F13" s="17">
        <v>19401747392</v>
      </c>
      <c r="G13" s="17">
        <v>18276032802</v>
      </c>
      <c r="H13" s="17">
        <v>17931316447.68</v>
      </c>
      <c r="Q13" s="16" t="s">
        <v>350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AY13" t="s">
        <v>1341</v>
      </c>
      <c r="AZ13" t="s">
        <v>531</v>
      </c>
      <c r="BA13" t="s">
        <v>530</v>
      </c>
      <c r="BB13" t="s">
        <v>1342</v>
      </c>
      <c r="BC13" t="s">
        <v>528</v>
      </c>
      <c r="BD13" t="s">
        <v>527</v>
      </c>
      <c r="BE13" t="s">
        <v>526</v>
      </c>
      <c r="BF13" t="s">
        <v>525</v>
      </c>
      <c r="BG13" t="s">
        <v>1226</v>
      </c>
      <c r="BH13" t="s">
        <v>523</v>
      </c>
      <c r="BI13" t="s">
        <v>522</v>
      </c>
      <c r="BJ13" t="s">
        <v>521</v>
      </c>
    </row>
    <row r="14" spans="1:62" x14ac:dyDescent="0.25">
      <c r="A14" s="16" t="s">
        <v>359</v>
      </c>
      <c r="B14" s="17">
        <v>22868917395.080002</v>
      </c>
      <c r="C14" s="17">
        <v>23777723025.419998</v>
      </c>
      <c r="D14" s="17">
        <v>22913752446.540001</v>
      </c>
      <c r="E14" s="17">
        <v>22629863041.360001</v>
      </c>
      <c r="F14" s="17">
        <v>22311801178.09</v>
      </c>
      <c r="G14" s="17">
        <v>22692466696.950001</v>
      </c>
      <c r="H14" s="17">
        <v>23287198751.009998</v>
      </c>
      <c r="Q14" s="16" t="s">
        <v>352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AG14" t="s">
        <v>1341</v>
      </c>
      <c r="AH14" t="s">
        <v>531</v>
      </c>
      <c r="AI14" t="s">
        <v>530</v>
      </c>
      <c r="AJ14" t="s">
        <v>1342</v>
      </c>
      <c r="AK14" t="s">
        <v>528</v>
      </c>
      <c r="AL14" t="s">
        <v>527</v>
      </c>
      <c r="AM14" t="s">
        <v>526</v>
      </c>
      <c r="AN14" t="s">
        <v>525</v>
      </c>
      <c r="AO14" t="s">
        <v>1226</v>
      </c>
      <c r="AP14" t="s">
        <v>523</v>
      </c>
      <c r="AQ14" t="s">
        <v>522</v>
      </c>
      <c r="AR14" t="s">
        <v>521</v>
      </c>
    </row>
    <row r="15" spans="1:62" x14ac:dyDescent="0.25">
      <c r="A15" s="16" t="s">
        <v>795</v>
      </c>
      <c r="B15" s="17">
        <v>48393905504.660004</v>
      </c>
      <c r="C15" s="17">
        <v>46068587044.339996</v>
      </c>
      <c r="D15" s="17">
        <v>51098259746.229996</v>
      </c>
      <c r="E15" s="17">
        <v>55012605905.970001</v>
      </c>
      <c r="F15" s="17">
        <v>43831999970.940002</v>
      </c>
      <c r="G15" s="17">
        <v>46285122025.369995</v>
      </c>
      <c r="H15" s="17">
        <v>44201953745.879997</v>
      </c>
      <c r="Q15" s="16" t="s">
        <v>1279</v>
      </c>
      <c r="R15" s="17">
        <v>4672039222</v>
      </c>
      <c r="S15" s="17">
        <v>4826093314</v>
      </c>
      <c r="T15" s="17">
        <v>4685240787</v>
      </c>
      <c r="U15" s="17">
        <v>4042404522</v>
      </c>
      <c r="V15" s="17">
        <v>3480302604</v>
      </c>
      <c r="W15" s="17">
        <v>3272729107</v>
      </c>
      <c r="X15" s="17">
        <v>3446543096</v>
      </c>
      <c r="AF15" s="16" t="s">
        <v>1339</v>
      </c>
      <c r="AG15" s="54">
        <f>+AG10/1000000</f>
        <v>4691.7315054499995</v>
      </c>
      <c r="AH15" s="54">
        <f t="shared" ref="AH15:AR15" si="0">+AH10/1000000</f>
        <v>2641.02348119</v>
      </c>
      <c r="AI15" s="54">
        <f t="shared" si="0"/>
        <v>2500.6251382399996</v>
      </c>
      <c r="AJ15" s="54">
        <f t="shared" si="0"/>
        <v>2721.8673130000002</v>
      </c>
      <c r="AK15" s="54">
        <f t="shared" si="0"/>
        <v>3197.64778394</v>
      </c>
      <c r="AL15" s="54">
        <f t="shared" si="0"/>
        <v>2838.3123255400001</v>
      </c>
      <c r="AM15" s="54">
        <f t="shared" si="0"/>
        <v>5697.6555688900007</v>
      </c>
      <c r="AN15" s="54">
        <f t="shared" si="0"/>
        <v>2591.6729328599999</v>
      </c>
      <c r="AO15" s="54">
        <f t="shared" si="0"/>
        <v>1896.1293149999999</v>
      </c>
      <c r="AP15" s="54">
        <f t="shared" si="0"/>
        <v>3307.8079346499999</v>
      </c>
      <c r="AQ15" s="54">
        <f t="shared" si="0"/>
        <v>5925.1934209999999</v>
      </c>
      <c r="AR15" s="54">
        <f t="shared" si="0"/>
        <v>-19418.459172400002</v>
      </c>
      <c r="AX15" t="s">
        <v>1343</v>
      </c>
      <c r="AY15" s="54">
        <f>+AY10/1000000</f>
        <v>30355.16020699</v>
      </c>
      <c r="AZ15" s="54">
        <f t="shared" ref="AZ15:BJ15" si="1">+AZ10/1000000</f>
        <v>13305.41726384</v>
      </c>
      <c r="BA15" s="54">
        <f t="shared" si="1"/>
        <v>13518.377191469999</v>
      </c>
      <c r="BB15" s="54">
        <f t="shared" si="1"/>
        <v>10855.276416370001</v>
      </c>
      <c r="BC15" s="54">
        <f t="shared" si="1"/>
        <v>11579.85887245</v>
      </c>
      <c r="BD15" s="54">
        <f t="shared" si="1"/>
        <v>14900.76587548</v>
      </c>
      <c r="BE15" s="54">
        <f t="shared" si="1"/>
        <v>14387.000822239999</v>
      </c>
      <c r="BF15" s="54">
        <f t="shared" si="1"/>
        <v>13217.57312436</v>
      </c>
      <c r="BG15" s="54">
        <f t="shared" si="1"/>
        <v>10806.93707889</v>
      </c>
      <c r="BH15" s="54">
        <f t="shared" si="1"/>
        <v>13510.641558959998</v>
      </c>
      <c r="BI15" s="54">
        <f t="shared" si="1"/>
        <v>142.65297108000001</v>
      </c>
      <c r="BJ15" s="54">
        <f t="shared" si="1"/>
        <v>0</v>
      </c>
    </row>
    <row r="16" spans="1:62" x14ac:dyDescent="0.25">
      <c r="A16" s="183">
        <v>2020</v>
      </c>
      <c r="B16" s="184" t="s">
        <v>532</v>
      </c>
      <c r="C16" s="184" t="s">
        <v>531</v>
      </c>
      <c r="D16" s="184" t="s">
        <v>530</v>
      </c>
      <c r="E16" s="184" t="s">
        <v>529</v>
      </c>
      <c r="F16" s="184" t="s">
        <v>1333</v>
      </c>
      <c r="G16" s="184" t="s">
        <v>527</v>
      </c>
      <c r="Q16" s="16" t="s">
        <v>1277</v>
      </c>
      <c r="R16" s="17">
        <v>2285106</v>
      </c>
      <c r="S16" s="17">
        <v>5895423</v>
      </c>
      <c r="T16" s="17">
        <v>4042936</v>
      </c>
      <c r="U16" s="17">
        <v>4446093</v>
      </c>
      <c r="V16" s="17">
        <v>4173932</v>
      </c>
      <c r="W16" s="17">
        <v>1821026</v>
      </c>
      <c r="X16" s="17">
        <v>2081128</v>
      </c>
      <c r="AF16" s="16" t="s">
        <v>1340</v>
      </c>
      <c r="AG16" s="54">
        <f>+AG11/1000000</f>
        <v>6872.1058931400003</v>
      </c>
      <c r="AH16" s="54">
        <f t="shared" ref="AH16:AR16" si="2">+AH11/1000000</f>
        <v>5054.39619821</v>
      </c>
      <c r="AI16" s="54">
        <f t="shared" si="2"/>
        <v>4865.2485637500004</v>
      </c>
      <c r="AJ16" s="54">
        <f t="shared" si="2"/>
        <v>8973.5163337900012</v>
      </c>
      <c r="AK16" s="54">
        <f t="shared" si="2"/>
        <v>5476.1483450400001</v>
      </c>
      <c r="AL16" s="54">
        <f t="shared" si="2"/>
        <v>8569.9172607500004</v>
      </c>
      <c r="AM16" s="54">
        <f t="shared" si="2"/>
        <v>7214.9204732799999</v>
      </c>
      <c r="AN16" s="54">
        <f t="shared" si="2"/>
        <v>8099.5469262899996</v>
      </c>
      <c r="AO16" s="54">
        <f t="shared" si="2"/>
        <v>5124.8215948199995</v>
      </c>
      <c r="AP16" s="54">
        <f t="shared" si="2"/>
        <v>10839.51955427</v>
      </c>
      <c r="AQ16" s="54">
        <f t="shared" si="2"/>
        <v>7003.1493046400001</v>
      </c>
      <c r="AR16" s="54">
        <f t="shared" si="2"/>
        <v>-38281.957853300002</v>
      </c>
      <c r="AX16" s="16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</row>
    <row r="17" spans="1:62" x14ac:dyDescent="0.25">
      <c r="A17" s="16" t="s">
        <v>1328</v>
      </c>
      <c r="B17" s="54">
        <f>+(B13+B14)/1000000</f>
        <v>43642.621205080002</v>
      </c>
      <c r="C17" s="54">
        <f t="shared" ref="C17:G17" si="3">+(C13+C14)/1000000</f>
        <v>43492.44438786</v>
      </c>
      <c r="D17" s="54">
        <f t="shared" si="3"/>
        <v>43791.564460540001</v>
      </c>
      <c r="E17" s="54">
        <f t="shared" si="3"/>
        <v>50360.644012360004</v>
      </c>
      <c r="F17" s="54">
        <f t="shared" si="3"/>
        <v>41713.548570089995</v>
      </c>
      <c r="G17" s="54">
        <f t="shared" si="3"/>
        <v>40968.499498949997</v>
      </c>
      <c r="Q17" s="16" t="s">
        <v>1281</v>
      </c>
      <c r="R17" s="17">
        <v>9636967159.7999992</v>
      </c>
      <c r="S17" s="17">
        <v>5861649552.8599997</v>
      </c>
      <c r="T17" s="17">
        <v>4284780854.4699998</v>
      </c>
      <c r="U17" s="17">
        <v>9316575255.6800003</v>
      </c>
      <c r="V17" s="17">
        <v>6245939001.25</v>
      </c>
      <c r="W17" s="17">
        <v>3923461177.7199998</v>
      </c>
      <c r="X17" s="17">
        <v>10174941930.719999</v>
      </c>
    </row>
    <row r="18" spans="1:62" x14ac:dyDescent="0.25">
      <c r="A18" t="s">
        <v>1329</v>
      </c>
      <c r="B18" s="17">
        <f>+(B10)/1000000</f>
        <v>3366.2240045799999</v>
      </c>
      <c r="C18" s="17">
        <f t="shared" ref="C18:G18" si="4">+(C10)/1000000</f>
        <v>1293.8602644800001</v>
      </c>
      <c r="D18" s="17">
        <f t="shared" si="4"/>
        <v>6026.1452816899991</v>
      </c>
      <c r="E18" s="17">
        <f t="shared" si="4"/>
        <v>3526.81334161</v>
      </c>
      <c r="F18" s="17">
        <f t="shared" si="4"/>
        <v>1141.90121385</v>
      </c>
      <c r="G18" s="17">
        <f t="shared" si="4"/>
        <v>4325.9683584200002</v>
      </c>
      <c r="Q18" s="16" t="s">
        <v>1306</v>
      </c>
      <c r="R18" s="17">
        <v>6106197362.5200005</v>
      </c>
      <c r="S18" s="17">
        <v>4441175671.7399998</v>
      </c>
      <c r="T18" s="17">
        <v>9293275657.0499992</v>
      </c>
      <c r="U18" s="17">
        <v>8490553731.5500002</v>
      </c>
      <c r="V18" s="17">
        <v>6069794499.8000002</v>
      </c>
      <c r="W18" s="17">
        <v>6371006196.1499996</v>
      </c>
      <c r="X18" s="17">
        <v>6325312361.29</v>
      </c>
      <c r="AX18" s="15" t="s">
        <v>542</v>
      </c>
      <c r="AY18" s="16">
        <v>2019</v>
      </c>
    </row>
    <row r="19" spans="1:62" x14ac:dyDescent="0.25">
      <c r="A19" t="s">
        <v>1330</v>
      </c>
      <c r="B19" s="17">
        <f>+B11/1000000</f>
        <v>1056.9279300000001</v>
      </c>
      <c r="C19" s="17">
        <f t="shared" ref="C19:G19" si="5">+C11/1000000</f>
        <v>1080.8173240000001</v>
      </c>
      <c r="D19" s="17">
        <f t="shared" si="5"/>
        <v>1029.3224680000001</v>
      </c>
      <c r="E19" s="17">
        <f t="shared" si="5"/>
        <v>874.11988699999995</v>
      </c>
      <c r="F19" s="17">
        <f t="shared" si="5"/>
        <v>773.36461399999996</v>
      </c>
      <c r="G19" s="17">
        <f t="shared" si="5"/>
        <v>796.03357200000005</v>
      </c>
      <c r="Q19" s="16" t="s">
        <v>795</v>
      </c>
      <c r="R19" s="17">
        <v>59883030309.100006</v>
      </c>
      <c r="S19" s="17">
        <v>34024934714.620003</v>
      </c>
      <c r="T19" s="17">
        <v>182594861318.16998</v>
      </c>
      <c r="U19" s="17">
        <v>56153919963.040001</v>
      </c>
      <c r="V19" s="17">
        <v>35002450384.200005</v>
      </c>
      <c r="W19" s="17">
        <v>68165954150.32</v>
      </c>
      <c r="X19" s="17">
        <v>50350267651.980003</v>
      </c>
      <c r="AX19" s="15" t="s">
        <v>538</v>
      </c>
      <c r="AY19" t="s">
        <v>336</v>
      </c>
    </row>
    <row r="20" spans="1:62" x14ac:dyDescent="0.25">
      <c r="A20" t="s">
        <v>1331</v>
      </c>
      <c r="B20" s="54">
        <f>+B12/1000000</f>
        <v>113.506333</v>
      </c>
      <c r="C20" s="54">
        <f t="shared" ref="C20:G20" si="6">+C12/1000000</f>
        <v>108.56454600000001</v>
      </c>
      <c r="D20" s="54">
        <f t="shared" si="6"/>
        <v>114.038909</v>
      </c>
      <c r="E20" s="54">
        <f t="shared" si="6"/>
        <v>95.373760000000004</v>
      </c>
      <c r="F20" s="54">
        <f t="shared" si="6"/>
        <v>84.726809000000003</v>
      </c>
      <c r="G20" s="54">
        <f t="shared" si="6"/>
        <v>97.144542000000001</v>
      </c>
      <c r="R20" t="s">
        <v>532</v>
      </c>
      <c r="S20" t="s">
        <v>531</v>
      </c>
      <c r="T20" t="s">
        <v>530</v>
      </c>
      <c r="U20" t="s">
        <v>529</v>
      </c>
      <c r="V20" t="s">
        <v>528</v>
      </c>
      <c r="W20" t="s">
        <v>527</v>
      </c>
      <c r="AF20" s="15" t="s">
        <v>542</v>
      </c>
      <c r="AG20" s="16">
        <v>2020</v>
      </c>
      <c r="AX20" s="15" t="s">
        <v>537</v>
      </c>
      <c r="AY20" t="s">
        <v>339</v>
      </c>
    </row>
    <row r="21" spans="1:62" x14ac:dyDescent="0.25">
      <c r="A21" t="s">
        <v>1332</v>
      </c>
      <c r="B21" s="54">
        <f>+B9/1000000</f>
        <v>214.62603200000001</v>
      </c>
      <c r="C21" s="54">
        <f t="shared" ref="C21:G21" si="7">+C9/1000000</f>
        <v>92.900521999999995</v>
      </c>
      <c r="D21" s="54">
        <f t="shared" si="7"/>
        <v>137.188627</v>
      </c>
      <c r="E21" s="54">
        <f t="shared" si="7"/>
        <v>155.65490500000001</v>
      </c>
      <c r="F21" s="54">
        <f t="shared" si="7"/>
        <v>118.458764</v>
      </c>
      <c r="G21" s="54">
        <f t="shared" si="7"/>
        <v>97.476054000000005</v>
      </c>
      <c r="Q21" t="s">
        <v>1329</v>
      </c>
      <c r="R21" s="54">
        <f>+(R9+R10+R13+R14)/1000000</f>
        <v>38815.414427780001</v>
      </c>
      <c r="S21" s="54">
        <f t="shared" ref="S21:W21" si="8">+(S9+S10+S13+S14)/1000000</f>
        <v>18233.169073019999</v>
      </c>
      <c r="T21" s="54">
        <f t="shared" si="8"/>
        <v>163751.40938465</v>
      </c>
      <c r="U21" s="54">
        <f t="shared" si="8"/>
        <v>33748.850824809997</v>
      </c>
      <c r="V21" s="54">
        <f t="shared" si="8"/>
        <v>18679.196981150002</v>
      </c>
      <c r="W21" s="54">
        <f t="shared" si="8"/>
        <v>53421.297452449995</v>
      </c>
      <c r="AF21" s="15" t="s">
        <v>538</v>
      </c>
      <c r="AG21" t="s">
        <v>336</v>
      </c>
    </row>
    <row r="22" spans="1:62" x14ac:dyDescent="0.25">
      <c r="B22" s="54"/>
      <c r="C22" s="54"/>
      <c r="D22" s="54"/>
      <c r="E22" s="17"/>
      <c r="F22" s="17"/>
      <c r="G22" s="17"/>
      <c r="Q22" s="16" t="s">
        <v>1330</v>
      </c>
      <c r="R22" s="54">
        <f>+(R15+R16)/1000000</f>
        <v>4674.3243279999997</v>
      </c>
      <c r="S22" s="54">
        <f t="shared" ref="S22:W22" si="9">+(S15+S16)/1000000</f>
        <v>4831.9887369999997</v>
      </c>
      <c r="T22" s="54">
        <f t="shared" si="9"/>
        <v>4689.2837229999996</v>
      </c>
      <c r="U22" s="54">
        <f t="shared" si="9"/>
        <v>4046.8506149999998</v>
      </c>
      <c r="V22" s="54">
        <f t="shared" si="9"/>
        <v>3484.4765360000001</v>
      </c>
      <c r="W22" s="54">
        <f t="shared" si="9"/>
        <v>3274.5501330000002</v>
      </c>
      <c r="AF22" s="15" t="s">
        <v>537</v>
      </c>
      <c r="AG22" t="s">
        <v>1338</v>
      </c>
      <c r="AX22" s="15" t="s">
        <v>794</v>
      </c>
      <c r="AY22" t="s">
        <v>796</v>
      </c>
      <c r="AZ22" t="s">
        <v>797</v>
      </c>
      <c r="BA22" t="s">
        <v>798</v>
      </c>
      <c r="BB22" t="s">
        <v>807</v>
      </c>
      <c r="BC22" t="s">
        <v>799</v>
      </c>
      <c r="BD22" t="s">
        <v>800</v>
      </c>
      <c r="BE22" t="s">
        <v>801</v>
      </c>
      <c r="BF22" t="s">
        <v>802</v>
      </c>
      <c r="BG22" t="s">
        <v>803</v>
      </c>
      <c r="BH22" t="s">
        <v>804</v>
      </c>
      <c r="BI22" t="s">
        <v>805</v>
      </c>
      <c r="BJ22" t="s">
        <v>806</v>
      </c>
    </row>
    <row r="23" spans="1:62" x14ac:dyDescent="0.25">
      <c r="B23" s="54"/>
      <c r="C23" s="54"/>
      <c r="D23" s="54"/>
      <c r="E23" s="17"/>
      <c r="F23" s="17"/>
      <c r="G23" s="17"/>
      <c r="Q23" s="16" t="s">
        <v>1331</v>
      </c>
      <c r="R23" s="54">
        <f>+(R17+R18)/1000000</f>
        <v>15743.164522319999</v>
      </c>
      <c r="S23" s="54">
        <f t="shared" ref="S23:W23" si="10">+(S17+S18)/1000000</f>
        <v>10302.825224599999</v>
      </c>
      <c r="T23" s="54">
        <f t="shared" si="10"/>
        <v>13578.056511519999</v>
      </c>
      <c r="U23" s="54">
        <f t="shared" si="10"/>
        <v>17807.12898723</v>
      </c>
      <c r="V23" s="54">
        <f t="shared" si="10"/>
        <v>12315.733501049999</v>
      </c>
      <c r="W23" s="54">
        <f t="shared" si="10"/>
        <v>10294.467373869998</v>
      </c>
      <c r="AX23" s="16" t="s">
        <v>339</v>
      </c>
      <c r="AY23" s="17">
        <v>31788055396.540001</v>
      </c>
      <c r="AZ23" s="17">
        <v>11573731184.32</v>
      </c>
      <c r="BA23" s="17">
        <v>16907205260.540001</v>
      </c>
      <c r="BB23" s="17">
        <v>19232337561.709999</v>
      </c>
      <c r="BC23" s="17">
        <v>12606417782.639999</v>
      </c>
      <c r="BD23" s="17">
        <v>13929786036.559999</v>
      </c>
      <c r="BE23" s="17">
        <v>20002457599.209999</v>
      </c>
      <c r="BF23" s="17">
        <v>10818711378.969999</v>
      </c>
      <c r="BG23" s="17">
        <v>10679088097.24</v>
      </c>
      <c r="BH23" s="17">
        <v>16597599983.77</v>
      </c>
      <c r="BI23" s="17">
        <v>13193777222.709999</v>
      </c>
      <c r="BJ23" s="17">
        <v>20094814017.84</v>
      </c>
    </row>
    <row r="24" spans="1:62" x14ac:dyDescent="0.25">
      <c r="B24" s="54"/>
      <c r="C24" s="54"/>
      <c r="D24" s="54"/>
      <c r="E24" s="17"/>
      <c r="F24" s="17"/>
      <c r="G24" s="17"/>
      <c r="Q24" s="16" t="s">
        <v>1336</v>
      </c>
      <c r="R24" s="54">
        <f>+(R11+R12)/1000000</f>
        <v>650.12703099999999</v>
      </c>
      <c r="S24" s="54">
        <f t="shared" ref="S24:W24" si="11">+(S11+S12)/1000000</f>
        <v>656.95168000000001</v>
      </c>
      <c r="T24" s="54">
        <f t="shared" si="11"/>
        <v>576.11169900000004</v>
      </c>
      <c r="U24" s="54">
        <f t="shared" si="11"/>
        <v>551.08953599999995</v>
      </c>
      <c r="V24" s="54">
        <f t="shared" si="11"/>
        <v>523.04336599999999</v>
      </c>
      <c r="W24" s="54">
        <f t="shared" si="11"/>
        <v>1175.639191</v>
      </c>
      <c r="AF24" s="15" t="s">
        <v>794</v>
      </c>
      <c r="AG24" t="s">
        <v>796</v>
      </c>
      <c r="AH24" t="s">
        <v>797</v>
      </c>
      <c r="AI24" t="s">
        <v>798</v>
      </c>
      <c r="AJ24" t="s">
        <v>807</v>
      </c>
      <c r="AK24" t="s">
        <v>799</v>
      </c>
      <c r="AL24" t="s">
        <v>800</v>
      </c>
      <c r="AM24" t="s">
        <v>801</v>
      </c>
      <c r="AN24" t="s">
        <v>802</v>
      </c>
      <c r="AO24" t="s">
        <v>803</v>
      </c>
      <c r="AP24" t="s">
        <v>804</v>
      </c>
      <c r="AQ24" t="s">
        <v>805</v>
      </c>
      <c r="AR24" t="s">
        <v>806</v>
      </c>
      <c r="AX24" s="16" t="s">
        <v>795</v>
      </c>
      <c r="AY24" s="17">
        <v>31788055396.540001</v>
      </c>
      <c r="AZ24" s="17">
        <v>11573731184.32</v>
      </c>
      <c r="BA24" s="17">
        <v>16907205260.540001</v>
      </c>
      <c r="BB24" s="17">
        <v>19232337561.709999</v>
      </c>
      <c r="BC24" s="17">
        <v>12606417782.639999</v>
      </c>
      <c r="BD24" s="17">
        <v>13929786036.559999</v>
      </c>
      <c r="BE24" s="17">
        <v>20002457599.209999</v>
      </c>
      <c r="BF24" s="17">
        <v>10818711378.969999</v>
      </c>
      <c r="BG24" s="17">
        <v>10679088097.24</v>
      </c>
      <c r="BH24" s="17">
        <v>16597599983.77</v>
      </c>
      <c r="BI24" s="17">
        <v>13193777222.709999</v>
      </c>
      <c r="BJ24" s="17">
        <v>20094814017.84</v>
      </c>
    </row>
    <row r="25" spans="1:62" x14ac:dyDescent="0.25">
      <c r="B25" s="54"/>
      <c r="C25" s="54"/>
      <c r="D25" s="54"/>
      <c r="E25" s="17"/>
      <c r="F25" s="17"/>
      <c r="G25" s="17"/>
      <c r="R25" s="54"/>
      <c r="S25" s="54"/>
      <c r="T25" s="54"/>
      <c r="U25" s="54"/>
      <c r="V25" s="17"/>
      <c r="W25" s="17"/>
      <c r="AF25" s="16" t="s">
        <v>346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</row>
    <row r="26" spans="1:62" x14ac:dyDescent="0.25">
      <c r="B26" s="54"/>
      <c r="C26" s="54"/>
      <c r="D26" s="54"/>
      <c r="E26" s="17"/>
      <c r="F26" s="17"/>
      <c r="G26" s="17"/>
      <c r="R26" s="54"/>
      <c r="S26" s="54"/>
      <c r="T26" s="54"/>
      <c r="U26" s="17"/>
      <c r="V26" s="17"/>
      <c r="W26" s="17"/>
      <c r="AF26" s="16" t="s">
        <v>341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Y26" t="s">
        <v>1341</v>
      </c>
      <c r="AZ26" t="s">
        <v>531</v>
      </c>
      <c r="BA26" t="s">
        <v>530</v>
      </c>
      <c r="BB26" t="s">
        <v>1342</v>
      </c>
      <c r="BC26" t="s">
        <v>528</v>
      </c>
      <c r="BD26" t="s">
        <v>527</v>
      </c>
      <c r="BE26" t="s">
        <v>526</v>
      </c>
      <c r="BF26" t="s">
        <v>525</v>
      </c>
      <c r="BG26" t="s">
        <v>1226</v>
      </c>
      <c r="BH26" t="s">
        <v>523</v>
      </c>
      <c r="BI26" t="s">
        <v>522</v>
      </c>
      <c r="BJ26" t="s">
        <v>521</v>
      </c>
    </row>
    <row r="27" spans="1:62" ht="21" x14ac:dyDescent="0.35">
      <c r="B27" s="216">
        <v>2019</v>
      </c>
      <c r="C27" s="216"/>
      <c r="D27" s="216"/>
      <c r="R27" s="216">
        <v>2019</v>
      </c>
      <c r="S27" s="216"/>
      <c r="T27" s="216"/>
      <c r="AF27" s="16" t="s">
        <v>795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</row>
    <row r="28" spans="1:62" x14ac:dyDescent="0.25">
      <c r="AX28" t="s">
        <v>1343</v>
      </c>
      <c r="AY28" s="54">
        <f>+AY23/1000000</f>
        <v>31788.055396539999</v>
      </c>
      <c r="AZ28" s="54">
        <f t="shared" ref="AZ28:BJ28" si="12">+AZ23/1000000</f>
        <v>11573.73118432</v>
      </c>
      <c r="BA28" s="54">
        <f t="shared" si="12"/>
        <v>16907.205260540002</v>
      </c>
      <c r="BB28" s="54">
        <f t="shared" si="12"/>
        <v>19232.337561709999</v>
      </c>
      <c r="BC28" s="54">
        <f t="shared" si="12"/>
        <v>12606.417782639999</v>
      </c>
      <c r="BD28" s="54">
        <f t="shared" si="12"/>
        <v>13929.786036559999</v>
      </c>
      <c r="BE28" s="54">
        <f t="shared" si="12"/>
        <v>20002.45759921</v>
      </c>
      <c r="BF28" s="54">
        <f t="shared" si="12"/>
        <v>10818.71137897</v>
      </c>
      <c r="BG28" s="54">
        <f t="shared" si="12"/>
        <v>10679.088097239999</v>
      </c>
      <c r="BH28" s="54">
        <f t="shared" si="12"/>
        <v>16597.59998377</v>
      </c>
      <c r="BI28" s="54">
        <f t="shared" si="12"/>
        <v>13193.777222709999</v>
      </c>
      <c r="BJ28" s="54">
        <f t="shared" si="12"/>
        <v>20094.814017839999</v>
      </c>
    </row>
    <row r="29" spans="1:62" x14ac:dyDescent="0.25">
      <c r="A29" s="15" t="s">
        <v>542</v>
      </c>
      <c r="B29" s="16">
        <v>2019</v>
      </c>
      <c r="Q29" s="15" t="s">
        <v>542</v>
      </c>
      <c r="R29" s="16">
        <v>2019</v>
      </c>
      <c r="AG29" t="s">
        <v>1341</v>
      </c>
      <c r="AH29" t="s">
        <v>531</v>
      </c>
      <c r="AI29" t="s">
        <v>530</v>
      </c>
      <c r="AJ29" t="s">
        <v>1342</v>
      </c>
      <c r="AK29" t="s">
        <v>528</v>
      </c>
      <c r="AL29" t="s">
        <v>527</v>
      </c>
      <c r="AM29" t="s">
        <v>526</v>
      </c>
      <c r="AN29" t="s">
        <v>525</v>
      </c>
      <c r="AO29" t="s">
        <v>1226</v>
      </c>
      <c r="AP29" t="s">
        <v>523</v>
      </c>
      <c r="AQ29" t="s">
        <v>522</v>
      </c>
      <c r="AR29" t="s">
        <v>521</v>
      </c>
    </row>
    <row r="30" spans="1:62" x14ac:dyDescent="0.25">
      <c r="A30" s="15" t="s">
        <v>538</v>
      </c>
      <c r="B30" t="s">
        <v>336</v>
      </c>
      <c r="Q30" s="15" t="s">
        <v>538</v>
      </c>
      <c r="R30" t="s">
        <v>336</v>
      </c>
      <c r="AF30" s="16" t="s">
        <v>1339</v>
      </c>
      <c r="AG30" s="54">
        <f>+AG25/1000000</f>
        <v>0</v>
      </c>
      <c r="AH30" s="54">
        <f t="shared" ref="AH30:AR30" si="13">+AH25/1000000</f>
        <v>0</v>
      </c>
      <c r="AI30" s="54">
        <f t="shared" si="13"/>
        <v>0</v>
      </c>
      <c r="AJ30" s="54">
        <f t="shared" si="13"/>
        <v>0</v>
      </c>
      <c r="AK30" s="54">
        <f t="shared" si="13"/>
        <v>0</v>
      </c>
      <c r="AL30" s="54">
        <f t="shared" si="13"/>
        <v>0</v>
      </c>
      <c r="AM30" s="54">
        <f t="shared" si="13"/>
        <v>0</v>
      </c>
      <c r="AN30" s="54">
        <f t="shared" si="13"/>
        <v>0</v>
      </c>
      <c r="AO30" s="54">
        <f t="shared" si="13"/>
        <v>0</v>
      </c>
      <c r="AP30" s="54">
        <f t="shared" si="13"/>
        <v>0</v>
      </c>
      <c r="AQ30" s="54">
        <f t="shared" si="13"/>
        <v>0</v>
      </c>
      <c r="AR30" s="54">
        <f t="shared" si="13"/>
        <v>0</v>
      </c>
    </row>
    <row r="31" spans="1:62" x14ac:dyDescent="0.25">
      <c r="A31" s="15" t="s">
        <v>537</v>
      </c>
      <c r="B31" t="s">
        <v>354</v>
      </c>
      <c r="Q31" s="15" t="s">
        <v>537</v>
      </c>
      <c r="R31" t="s">
        <v>349</v>
      </c>
      <c r="AF31" s="16" t="s">
        <v>1340</v>
      </c>
      <c r="AG31" s="54">
        <f>+AG26/1000000</f>
        <v>0</v>
      </c>
      <c r="AH31" s="54">
        <f t="shared" ref="AH31:AR31" si="14">+AH26/1000000</f>
        <v>0</v>
      </c>
      <c r="AI31" s="54">
        <f t="shared" si="14"/>
        <v>0</v>
      </c>
      <c r="AJ31" s="54">
        <f t="shared" si="14"/>
        <v>0</v>
      </c>
      <c r="AK31" s="54">
        <f t="shared" si="14"/>
        <v>0</v>
      </c>
      <c r="AL31" s="54">
        <f t="shared" si="14"/>
        <v>0</v>
      </c>
      <c r="AM31" s="54">
        <f t="shared" si="14"/>
        <v>0</v>
      </c>
      <c r="AN31" s="54">
        <f t="shared" si="14"/>
        <v>0</v>
      </c>
      <c r="AO31" s="54">
        <f t="shared" si="14"/>
        <v>0</v>
      </c>
      <c r="AP31" s="54">
        <f t="shared" si="14"/>
        <v>0</v>
      </c>
      <c r="AQ31" s="54">
        <f t="shared" si="14"/>
        <v>0</v>
      </c>
      <c r="AR31" s="54">
        <f t="shared" si="14"/>
        <v>0</v>
      </c>
    </row>
    <row r="32" spans="1:62" x14ac:dyDescent="0.25">
      <c r="AF32" s="16"/>
      <c r="AG32" s="17"/>
      <c r="AH32" s="17"/>
      <c r="AI32" s="17"/>
      <c r="AJ32" s="17"/>
      <c r="AK32" s="17"/>
      <c r="AL32" s="17"/>
      <c r="AM32" s="17"/>
    </row>
    <row r="33" spans="1:39" x14ac:dyDescent="0.25">
      <c r="A33" s="15" t="s">
        <v>794</v>
      </c>
      <c r="B33" t="s">
        <v>796</v>
      </c>
      <c r="C33" t="s">
        <v>797</v>
      </c>
      <c r="D33" t="s">
        <v>798</v>
      </c>
      <c r="E33" t="s">
        <v>807</v>
      </c>
      <c r="F33" t="s">
        <v>799</v>
      </c>
      <c r="G33" t="s">
        <v>800</v>
      </c>
      <c r="H33" t="s">
        <v>801</v>
      </c>
      <c r="I33" t="s">
        <v>802</v>
      </c>
      <c r="J33" s="101" t="s">
        <v>803</v>
      </c>
      <c r="K33" t="s">
        <v>804</v>
      </c>
      <c r="L33" t="s">
        <v>805</v>
      </c>
      <c r="M33" t="s">
        <v>806</v>
      </c>
      <c r="Q33" s="15" t="s">
        <v>794</v>
      </c>
      <c r="R33" t="s">
        <v>796</v>
      </c>
      <c r="S33" t="s">
        <v>797</v>
      </c>
      <c r="T33" t="s">
        <v>798</v>
      </c>
      <c r="U33" t="s">
        <v>807</v>
      </c>
      <c r="V33" t="s">
        <v>799</v>
      </c>
      <c r="W33" t="s">
        <v>800</v>
      </c>
      <c r="X33" t="s">
        <v>801</v>
      </c>
      <c r="Y33" t="s">
        <v>802</v>
      </c>
      <c r="Z33" s="101" t="s">
        <v>803</v>
      </c>
      <c r="AA33" t="s">
        <v>804</v>
      </c>
      <c r="AB33" t="s">
        <v>805</v>
      </c>
      <c r="AC33" t="s">
        <v>806</v>
      </c>
      <c r="AF33" s="16"/>
      <c r="AG33" s="17"/>
      <c r="AH33" s="17"/>
      <c r="AI33" s="17"/>
      <c r="AJ33" s="17"/>
      <c r="AK33" s="17"/>
      <c r="AL33" s="17"/>
      <c r="AM33" s="17"/>
    </row>
    <row r="34" spans="1:39" x14ac:dyDescent="0.25">
      <c r="A34" s="16" t="s">
        <v>1275</v>
      </c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26786916</v>
      </c>
      <c r="J34" s="109">
        <v>52033493</v>
      </c>
      <c r="K34" s="17">
        <v>85380409</v>
      </c>
      <c r="L34" s="17">
        <v>73465605</v>
      </c>
      <c r="M34" s="17">
        <v>87721070</v>
      </c>
      <c r="Q34" s="16" t="s">
        <v>838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09">
        <v>0</v>
      </c>
      <c r="AA34" s="17">
        <v>45617043601.5</v>
      </c>
      <c r="AB34" s="17">
        <v>15321582368.92</v>
      </c>
      <c r="AC34" s="17">
        <v>290344627166.42999</v>
      </c>
      <c r="AF34" s="16"/>
      <c r="AG34" s="17"/>
      <c r="AH34" s="17"/>
      <c r="AI34" s="17"/>
      <c r="AJ34" s="17"/>
      <c r="AK34" s="17"/>
      <c r="AL34" s="17"/>
      <c r="AM34" s="17"/>
    </row>
    <row r="35" spans="1:39" x14ac:dyDescent="0.25">
      <c r="A35" s="16" t="s">
        <v>355</v>
      </c>
      <c r="B35" s="17">
        <v>2870843466</v>
      </c>
      <c r="C35" s="17">
        <v>1151640163.3499999</v>
      </c>
      <c r="D35" s="17">
        <v>7336721482.3400002</v>
      </c>
      <c r="E35" s="17">
        <v>3330020085.2399998</v>
      </c>
      <c r="F35" s="17">
        <v>818778634.23000002</v>
      </c>
      <c r="G35" s="17">
        <v>4339570435.7200003</v>
      </c>
      <c r="H35" s="17">
        <v>3896722317.4400001</v>
      </c>
      <c r="I35" s="17">
        <v>1374588783.1500001</v>
      </c>
      <c r="J35" s="109">
        <v>5518898186.4700003</v>
      </c>
      <c r="K35" s="17">
        <v>4185668472.04</v>
      </c>
      <c r="L35" s="17">
        <v>2384075292.1799998</v>
      </c>
      <c r="M35" s="17">
        <v>21855391026.799999</v>
      </c>
      <c r="Q35" s="16" t="s">
        <v>836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09">
        <v>0</v>
      </c>
      <c r="AA35" s="17">
        <v>5265403025.8999996</v>
      </c>
      <c r="AB35" s="17">
        <v>5263293639.0500002</v>
      </c>
      <c r="AC35" s="17">
        <v>26272137957.549999</v>
      </c>
    </row>
    <row r="36" spans="1:39" x14ac:dyDescent="0.25">
      <c r="A36" s="16" t="s">
        <v>1271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787612895</v>
      </c>
      <c r="J36" s="109">
        <v>1010981281</v>
      </c>
      <c r="K36" s="17">
        <v>818098568</v>
      </c>
      <c r="L36" s="17">
        <v>1052563734</v>
      </c>
      <c r="M36" s="17">
        <v>1185491414</v>
      </c>
      <c r="Q36" s="16" t="s">
        <v>1283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109103284</v>
      </c>
      <c r="Z36" s="109">
        <v>736651536</v>
      </c>
      <c r="AA36" s="17">
        <v>238147092</v>
      </c>
      <c r="AB36" s="17">
        <v>341940534</v>
      </c>
      <c r="AC36" s="17">
        <v>582735366</v>
      </c>
    </row>
    <row r="37" spans="1:39" x14ac:dyDescent="0.25">
      <c r="A37" s="16" t="s">
        <v>1273</v>
      </c>
      <c r="B37" s="17">
        <v>0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33393828</v>
      </c>
      <c r="J37" s="109">
        <v>1891497</v>
      </c>
      <c r="K37" s="17">
        <v>72852084</v>
      </c>
      <c r="L37" s="17">
        <v>72166638</v>
      </c>
      <c r="M37" s="17">
        <v>181534198</v>
      </c>
      <c r="Q37" s="16" t="s">
        <v>350</v>
      </c>
      <c r="R37" s="17">
        <v>90350715686.619995</v>
      </c>
      <c r="S37" s="17">
        <v>19560599001.5</v>
      </c>
      <c r="T37" s="17">
        <v>178653641269.47</v>
      </c>
      <c r="U37" s="17">
        <v>25639447542.189999</v>
      </c>
      <c r="V37" s="17">
        <v>11354720212.049999</v>
      </c>
      <c r="W37" s="17">
        <v>130250451847.23</v>
      </c>
      <c r="X37" s="17">
        <v>34804681593.309998</v>
      </c>
      <c r="Y37" s="17">
        <v>13696541689.52</v>
      </c>
      <c r="Z37" s="109">
        <v>121203183574.49001</v>
      </c>
      <c r="AA37" s="17">
        <v>-12849</v>
      </c>
      <c r="AB37" s="17">
        <v>12849</v>
      </c>
      <c r="AC37" s="17">
        <v>-121202458605.49001</v>
      </c>
    </row>
    <row r="38" spans="1:39" x14ac:dyDescent="0.25">
      <c r="A38" s="16" t="s">
        <v>357</v>
      </c>
      <c r="B38" s="17">
        <v>16304738230.129999</v>
      </c>
      <c r="C38" s="17">
        <v>15201718470.860001</v>
      </c>
      <c r="D38" s="17">
        <v>16300093807.57</v>
      </c>
      <c r="E38" s="17">
        <v>19985464135.689999</v>
      </c>
      <c r="F38" s="17">
        <v>16013384691.799999</v>
      </c>
      <c r="G38" s="17">
        <v>15920488489.950001</v>
      </c>
      <c r="H38" s="17">
        <v>16286653592.200001</v>
      </c>
      <c r="I38" s="17">
        <v>17975885938.099998</v>
      </c>
      <c r="J38" s="109">
        <v>18835795572.450001</v>
      </c>
      <c r="K38" s="17">
        <v>21410662274.119999</v>
      </c>
      <c r="L38" s="17">
        <v>16427807660.6</v>
      </c>
      <c r="M38" s="17">
        <v>18939898279.48</v>
      </c>
      <c r="Q38" s="16" t="s">
        <v>352</v>
      </c>
      <c r="R38" s="17">
        <v>13745370134.91</v>
      </c>
      <c r="S38" s="17">
        <v>5152955998.5</v>
      </c>
      <c r="T38" s="17">
        <v>6850292698.8400002</v>
      </c>
      <c r="U38" s="17">
        <v>5907400600.5</v>
      </c>
      <c r="V38" s="17">
        <v>5756094721.8299999</v>
      </c>
      <c r="W38" s="17">
        <v>13323940191.940001</v>
      </c>
      <c r="X38" s="17">
        <v>6882067023.2200003</v>
      </c>
      <c r="Y38" s="17">
        <v>5894711833.2600002</v>
      </c>
      <c r="Z38" s="109">
        <v>13144967168.299999</v>
      </c>
      <c r="AA38" s="17">
        <v>0</v>
      </c>
      <c r="AB38" s="17">
        <v>0</v>
      </c>
      <c r="AC38" s="17">
        <v>-13144967168.299999</v>
      </c>
    </row>
    <row r="39" spans="1:39" x14ac:dyDescent="0.25">
      <c r="A39" s="16" t="s">
        <v>359</v>
      </c>
      <c r="B39" s="17">
        <v>19331118412.490002</v>
      </c>
      <c r="C39" s="17">
        <v>19994283796.560001</v>
      </c>
      <c r="D39" s="17">
        <v>20624719686.060001</v>
      </c>
      <c r="E39" s="17">
        <v>23754953654.790001</v>
      </c>
      <c r="F39" s="17">
        <v>20563382286.009998</v>
      </c>
      <c r="G39" s="17">
        <v>20918220743.560001</v>
      </c>
      <c r="H39" s="17">
        <v>21997625880.34</v>
      </c>
      <c r="I39" s="17">
        <v>22064073994.77</v>
      </c>
      <c r="J39" s="109">
        <v>25013223469.360001</v>
      </c>
      <c r="K39" s="17">
        <v>25348352589.549999</v>
      </c>
      <c r="L39" s="17">
        <v>23774016453.389999</v>
      </c>
      <c r="M39" s="17">
        <v>23362712901.669998</v>
      </c>
      <c r="Q39" s="16" t="s">
        <v>1279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4141199490</v>
      </c>
      <c r="Z39" s="109">
        <v>5187033078</v>
      </c>
      <c r="AA39" s="17">
        <v>3692672929</v>
      </c>
      <c r="AB39" s="17">
        <v>4885026969</v>
      </c>
      <c r="AC39" s="17">
        <v>5098983949</v>
      </c>
    </row>
    <row r="40" spans="1:39" x14ac:dyDescent="0.25">
      <c r="A40" s="16" t="s">
        <v>795</v>
      </c>
      <c r="B40" s="17">
        <v>38506700108.619995</v>
      </c>
      <c r="C40" s="17">
        <v>36347642430.770004</v>
      </c>
      <c r="D40" s="17">
        <v>44261534975.970001</v>
      </c>
      <c r="E40" s="17">
        <v>47070437875.720001</v>
      </c>
      <c r="F40" s="17">
        <v>37395545612.039993</v>
      </c>
      <c r="G40" s="17">
        <v>41178279669.230003</v>
      </c>
      <c r="H40" s="17">
        <v>42181001789.979996</v>
      </c>
      <c r="I40" s="17">
        <v>42262342355.020004</v>
      </c>
      <c r="J40" s="192">
        <v>50432823499.279999</v>
      </c>
      <c r="K40" s="17">
        <v>51921014396.709999</v>
      </c>
      <c r="L40" s="17">
        <v>43784095383.169998</v>
      </c>
      <c r="M40" s="17">
        <v>65612748889.949997</v>
      </c>
      <c r="Q40" s="16" t="s">
        <v>1277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2356485</v>
      </c>
      <c r="Z40" s="109">
        <v>3852777</v>
      </c>
      <c r="AA40" s="17">
        <v>3626284</v>
      </c>
      <c r="AB40" s="17">
        <v>5528332</v>
      </c>
      <c r="AC40" s="17">
        <v>83620650</v>
      </c>
    </row>
    <row r="41" spans="1:39" x14ac:dyDescent="0.25">
      <c r="A41" s="183">
        <v>2020</v>
      </c>
      <c r="B41" s="184" t="s">
        <v>532</v>
      </c>
      <c r="C41" s="184" t="s">
        <v>531</v>
      </c>
      <c r="D41" s="184" t="s">
        <v>530</v>
      </c>
      <c r="E41" s="184" t="s">
        <v>529</v>
      </c>
      <c r="F41" s="184" t="s">
        <v>1333</v>
      </c>
      <c r="G41" s="184" t="s">
        <v>527</v>
      </c>
      <c r="H41" s="184" t="s">
        <v>526</v>
      </c>
      <c r="I41" s="184" t="s">
        <v>525</v>
      </c>
      <c r="J41" s="184" t="s">
        <v>1226</v>
      </c>
      <c r="K41" s="184" t="s">
        <v>523</v>
      </c>
      <c r="L41" s="184" t="s">
        <v>522</v>
      </c>
      <c r="M41" s="184" t="s">
        <v>521</v>
      </c>
      <c r="Q41" s="16" t="s">
        <v>1281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42554280</v>
      </c>
      <c r="Z41" s="109">
        <v>347109</v>
      </c>
      <c r="AA41" s="17">
        <v>283063616</v>
      </c>
      <c r="AB41" s="17">
        <v>120402040</v>
      </c>
      <c r="AC41" s="17">
        <v>41920234933.050003</v>
      </c>
    </row>
    <row r="42" spans="1:39" x14ac:dyDescent="0.25">
      <c r="A42" s="16" t="s">
        <v>1328</v>
      </c>
      <c r="B42" s="54">
        <f>+(B38+B39)/1000000</f>
        <v>35635.856642620005</v>
      </c>
      <c r="C42" s="54">
        <f t="shared" ref="C42:M42" si="15">+(C38+C39)/1000000</f>
        <v>35196.002267420001</v>
      </c>
      <c r="D42" s="54">
        <f t="shared" si="15"/>
        <v>36924.813493630005</v>
      </c>
      <c r="E42" s="54">
        <f t="shared" si="15"/>
        <v>43740.417790479994</v>
      </c>
      <c r="F42" s="54">
        <f t="shared" si="15"/>
        <v>36576.766977809995</v>
      </c>
      <c r="G42" s="54">
        <f t="shared" si="15"/>
        <v>36838.709233510002</v>
      </c>
      <c r="H42" s="54">
        <f t="shared" si="15"/>
        <v>38284.279472540002</v>
      </c>
      <c r="I42" s="54">
        <f t="shared" si="15"/>
        <v>40039.959932869999</v>
      </c>
      <c r="J42" s="54">
        <f t="shared" si="15"/>
        <v>43849.019041809996</v>
      </c>
      <c r="K42" s="54">
        <f t="shared" si="15"/>
        <v>46759.014863669996</v>
      </c>
      <c r="L42" s="54">
        <f t="shared" si="15"/>
        <v>40201.824113989998</v>
      </c>
      <c r="M42" s="54">
        <f t="shared" si="15"/>
        <v>42302.611181149994</v>
      </c>
      <c r="Q42" s="16" t="s">
        <v>1306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09">
        <v>0</v>
      </c>
      <c r="AA42" s="17">
        <v>797009</v>
      </c>
      <c r="AB42" s="17">
        <v>0</v>
      </c>
      <c r="AC42" s="17">
        <v>34697305704.010002</v>
      </c>
    </row>
    <row r="43" spans="1:39" x14ac:dyDescent="0.25">
      <c r="A43" t="s">
        <v>1329</v>
      </c>
      <c r="B43" s="17">
        <f>+B35/1000000</f>
        <v>2870.8434659999998</v>
      </c>
      <c r="C43" s="17">
        <f t="shared" ref="C43:M43" si="16">+C35/1000000</f>
        <v>1151.64016335</v>
      </c>
      <c r="D43" s="17">
        <f t="shared" si="16"/>
        <v>7336.72148234</v>
      </c>
      <c r="E43" s="17">
        <f t="shared" si="16"/>
        <v>3330.0200852399998</v>
      </c>
      <c r="F43" s="17">
        <f t="shared" si="16"/>
        <v>818.77863422999997</v>
      </c>
      <c r="G43" s="17">
        <f t="shared" si="16"/>
        <v>4339.5704357200002</v>
      </c>
      <c r="H43" s="17">
        <f t="shared" si="16"/>
        <v>3896.7223174400001</v>
      </c>
      <c r="I43" s="17">
        <f t="shared" si="16"/>
        <v>1374.5887831500002</v>
      </c>
      <c r="J43" s="17">
        <f t="shared" si="16"/>
        <v>5518.8981864699999</v>
      </c>
      <c r="K43" s="17">
        <f t="shared" si="16"/>
        <v>4185.6684720399999</v>
      </c>
      <c r="L43" s="17">
        <f t="shared" si="16"/>
        <v>2384.0752921799999</v>
      </c>
      <c r="M43" s="17">
        <f t="shared" si="16"/>
        <v>21855.3910268</v>
      </c>
      <c r="Q43" s="16" t="s">
        <v>795</v>
      </c>
      <c r="R43" s="17">
        <v>104096085821.53</v>
      </c>
      <c r="S43" s="17">
        <v>24713555000</v>
      </c>
      <c r="T43" s="17">
        <v>185503933968.31</v>
      </c>
      <c r="U43" s="17">
        <v>31546848142.689999</v>
      </c>
      <c r="V43" s="17">
        <v>17110814933.879999</v>
      </c>
      <c r="W43" s="17">
        <v>143574392039.16998</v>
      </c>
      <c r="X43" s="17">
        <v>41686748616.529999</v>
      </c>
      <c r="Y43" s="17">
        <v>23886467061.779999</v>
      </c>
      <c r="Z43" s="109">
        <v>140276035242.79001</v>
      </c>
      <c r="AA43" s="17">
        <v>55100740708.400002</v>
      </c>
      <c r="AB43" s="17">
        <v>25937786731.970001</v>
      </c>
      <c r="AC43" s="17">
        <v>264652219952.25</v>
      </c>
    </row>
    <row r="44" spans="1:39" x14ac:dyDescent="0.25">
      <c r="A44" t="s">
        <v>1330</v>
      </c>
      <c r="B44" s="17">
        <f>+B36/1000000</f>
        <v>0</v>
      </c>
      <c r="C44" s="17">
        <f t="shared" ref="C44:M44" si="17">+C36/1000000</f>
        <v>0</v>
      </c>
      <c r="D44" s="17">
        <f t="shared" si="17"/>
        <v>0</v>
      </c>
      <c r="E44" s="17">
        <f t="shared" si="17"/>
        <v>0</v>
      </c>
      <c r="F44" s="17">
        <f t="shared" si="17"/>
        <v>0</v>
      </c>
      <c r="G44" s="17">
        <f t="shared" si="17"/>
        <v>0</v>
      </c>
      <c r="H44" s="17">
        <f t="shared" si="17"/>
        <v>0</v>
      </c>
      <c r="I44" s="17">
        <f t="shared" si="17"/>
        <v>787.61289499999998</v>
      </c>
      <c r="J44" s="17">
        <f t="shared" si="17"/>
        <v>1010.981281</v>
      </c>
      <c r="K44" s="17">
        <f t="shared" si="17"/>
        <v>818.098568</v>
      </c>
      <c r="L44" s="17">
        <f t="shared" si="17"/>
        <v>1052.5637340000001</v>
      </c>
      <c r="M44" s="17">
        <f t="shared" si="17"/>
        <v>1185.4914140000001</v>
      </c>
      <c r="R44" s="17"/>
      <c r="S44" s="17"/>
      <c r="T44" s="17"/>
      <c r="U44" s="17"/>
      <c r="V44" s="17"/>
      <c r="W44" s="17"/>
      <c r="X44" s="17"/>
      <c r="Y44" s="17"/>
      <c r="Z44" s="109"/>
      <c r="AA44" s="17"/>
      <c r="AB44" s="17"/>
      <c r="AC44" s="17"/>
    </row>
    <row r="45" spans="1:39" x14ac:dyDescent="0.25">
      <c r="A45" t="s">
        <v>1331</v>
      </c>
      <c r="B45" s="54">
        <f>+B37/1000000</f>
        <v>0</v>
      </c>
      <c r="C45" s="54">
        <f t="shared" ref="C45:M45" si="18">+C37/1000000</f>
        <v>0</v>
      </c>
      <c r="D45" s="54">
        <f t="shared" si="18"/>
        <v>0</v>
      </c>
      <c r="E45" s="54">
        <f t="shared" si="18"/>
        <v>0</v>
      </c>
      <c r="F45" s="54">
        <f t="shared" si="18"/>
        <v>0</v>
      </c>
      <c r="G45" s="54">
        <f t="shared" si="18"/>
        <v>0</v>
      </c>
      <c r="H45" s="54">
        <f t="shared" si="18"/>
        <v>0</v>
      </c>
      <c r="I45" s="54">
        <f t="shared" si="18"/>
        <v>33.393827999999999</v>
      </c>
      <c r="J45" s="54">
        <f t="shared" si="18"/>
        <v>1.891497</v>
      </c>
      <c r="K45" s="54">
        <f t="shared" si="18"/>
        <v>72.852084000000005</v>
      </c>
      <c r="L45" s="54">
        <f t="shared" si="18"/>
        <v>72.166638000000006</v>
      </c>
      <c r="M45" s="54">
        <f t="shared" si="18"/>
        <v>181.534198</v>
      </c>
      <c r="Q45" t="s">
        <v>1329</v>
      </c>
      <c r="R45" s="54">
        <f>+(R34+R35+R37+R38)/1000000</f>
        <v>104096.08582153</v>
      </c>
      <c r="S45" s="54">
        <f t="shared" ref="S45:AC45" si="19">+(S34+S35+S37+S38)/1000000</f>
        <v>24713.555</v>
      </c>
      <c r="T45" s="54">
        <f t="shared" si="19"/>
        <v>185503.93396831001</v>
      </c>
      <c r="U45" s="54">
        <f t="shared" si="19"/>
        <v>31546.84814269</v>
      </c>
      <c r="V45" s="54">
        <f t="shared" si="19"/>
        <v>17110.814933879999</v>
      </c>
      <c r="W45" s="54">
        <f t="shared" si="19"/>
        <v>143574.39203916999</v>
      </c>
      <c r="X45" s="54">
        <f t="shared" si="19"/>
        <v>41686.74861653</v>
      </c>
      <c r="Y45" s="54">
        <f t="shared" si="19"/>
        <v>19591.25352278</v>
      </c>
      <c r="Z45" s="103">
        <f t="shared" si="19"/>
        <v>134348.15074279002</v>
      </c>
      <c r="AA45" s="54">
        <f t="shared" si="19"/>
        <v>50882.433778400002</v>
      </c>
      <c r="AB45" s="54">
        <f t="shared" si="19"/>
        <v>20584.888856970003</v>
      </c>
      <c r="AC45" s="54">
        <f t="shared" si="19"/>
        <v>182269.33935019001</v>
      </c>
    </row>
    <row r="46" spans="1:39" x14ac:dyDescent="0.25">
      <c r="A46" t="s">
        <v>1332</v>
      </c>
      <c r="B46" s="54">
        <f>+B34/1000000</f>
        <v>0</v>
      </c>
      <c r="C46" s="54">
        <f t="shared" ref="C46:M46" si="20">+C34/1000000</f>
        <v>0</v>
      </c>
      <c r="D46" s="54">
        <f t="shared" si="20"/>
        <v>0</v>
      </c>
      <c r="E46" s="54">
        <f t="shared" si="20"/>
        <v>0</v>
      </c>
      <c r="F46" s="54">
        <f t="shared" si="20"/>
        <v>0</v>
      </c>
      <c r="G46" s="54">
        <f t="shared" si="20"/>
        <v>0</v>
      </c>
      <c r="H46" s="54">
        <f t="shared" si="20"/>
        <v>0</v>
      </c>
      <c r="I46" s="54">
        <f t="shared" si="20"/>
        <v>26.786916000000002</v>
      </c>
      <c r="J46" s="54">
        <f t="shared" si="20"/>
        <v>52.033493</v>
      </c>
      <c r="K46" s="54">
        <f t="shared" si="20"/>
        <v>85.380409</v>
      </c>
      <c r="L46" s="54">
        <f t="shared" si="20"/>
        <v>73.465604999999996</v>
      </c>
      <c r="M46" s="54">
        <f t="shared" si="20"/>
        <v>87.721069999999997</v>
      </c>
      <c r="Q46" s="16" t="s">
        <v>1330</v>
      </c>
      <c r="R46" s="54">
        <f>+(R39+R40)/1000000</f>
        <v>0</v>
      </c>
      <c r="S46" s="54">
        <f t="shared" ref="S46:AC46" si="21">+(S39+S40)/1000000</f>
        <v>0</v>
      </c>
      <c r="T46" s="54">
        <f t="shared" si="21"/>
        <v>0</v>
      </c>
      <c r="U46" s="54">
        <f t="shared" si="21"/>
        <v>0</v>
      </c>
      <c r="V46" s="54">
        <f t="shared" si="21"/>
        <v>0</v>
      </c>
      <c r="W46" s="54">
        <f t="shared" si="21"/>
        <v>0</v>
      </c>
      <c r="X46" s="54">
        <f t="shared" si="21"/>
        <v>0</v>
      </c>
      <c r="Y46" s="54">
        <f t="shared" si="21"/>
        <v>4143.5559750000002</v>
      </c>
      <c r="Z46" s="103">
        <f t="shared" si="21"/>
        <v>5190.8858550000004</v>
      </c>
      <c r="AA46" s="54">
        <f t="shared" si="21"/>
        <v>3696.2992129999998</v>
      </c>
      <c r="AB46" s="54">
        <f t="shared" si="21"/>
        <v>4890.5553010000003</v>
      </c>
      <c r="AC46" s="54">
        <f t="shared" si="21"/>
        <v>5182.6045990000002</v>
      </c>
    </row>
    <row r="47" spans="1:39" x14ac:dyDescent="0.25">
      <c r="Q47" s="16" t="s">
        <v>1331</v>
      </c>
      <c r="R47" s="54">
        <f>+(R41+R41)/1000000</f>
        <v>0</v>
      </c>
      <c r="S47" s="54">
        <f t="shared" ref="S47:AC47" si="22">+(S41+S41)/1000000</f>
        <v>0</v>
      </c>
      <c r="T47" s="54">
        <f t="shared" si="22"/>
        <v>0</v>
      </c>
      <c r="U47" s="54">
        <f t="shared" si="22"/>
        <v>0</v>
      </c>
      <c r="V47" s="54">
        <f t="shared" si="22"/>
        <v>0</v>
      </c>
      <c r="W47" s="54">
        <f t="shared" si="22"/>
        <v>0</v>
      </c>
      <c r="X47" s="54">
        <f t="shared" si="22"/>
        <v>0</v>
      </c>
      <c r="Y47" s="54">
        <f t="shared" si="22"/>
        <v>85.108559999999997</v>
      </c>
      <c r="Z47" s="103">
        <f t="shared" si="22"/>
        <v>0.694218</v>
      </c>
      <c r="AA47" s="54">
        <f t="shared" si="22"/>
        <v>566.12723200000005</v>
      </c>
      <c r="AB47" s="54">
        <f t="shared" si="22"/>
        <v>240.80408</v>
      </c>
      <c r="AC47" s="54">
        <f t="shared" si="22"/>
        <v>83840.4698661</v>
      </c>
    </row>
    <row r="48" spans="1:39" x14ac:dyDescent="0.25">
      <c r="Q48" s="16" t="s">
        <v>1336</v>
      </c>
      <c r="R48" s="54">
        <f>+(R36)/1000000</f>
        <v>0</v>
      </c>
      <c r="S48" s="54">
        <f t="shared" ref="S48:AC48" si="23">+(S36)/1000000</f>
        <v>0</v>
      </c>
      <c r="T48" s="54">
        <f t="shared" si="23"/>
        <v>0</v>
      </c>
      <c r="U48" s="54">
        <f t="shared" si="23"/>
        <v>0</v>
      </c>
      <c r="V48" s="54">
        <f t="shared" si="23"/>
        <v>0</v>
      </c>
      <c r="W48" s="54">
        <f t="shared" si="23"/>
        <v>0</v>
      </c>
      <c r="X48" s="54">
        <f t="shared" si="23"/>
        <v>0</v>
      </c>
      <c r="Y48" s="54">
        <f t="shared" si="23"/>
        <v>109.103284</v>
      </c>
      <c r="Z48" s="103">
        <f t="shared" si="23"/>
        <v>736.65153599999996</v>
      </c>
      <c r="AA48" s="54">
        <f t="shared" si="23"/>
        <v>238.14709199999999</v>
      </c>
      <c r="AB48" s="54">
        <f t="shared" si="23"/>
        <v>341.94053400000001</v>
      </c>
      <c r="AC48" s="54">
        <f t="shared" si="23"/>
        <v>582.735366</v>
      </c>
    </row>
  </sheetData>
  <mergeCells count="7">
    <mergeCell ref="AG1:AH1"/>
    <mergeCell ref="AY1:BA1"/>
    <mergeCell ref="B1:D1"/>
    <mergeCell ref="B27:D27"/>
    <mergeCell ref="B2:D2"/>
    <mergeCell ref="R27:T27"/>
    <mergeCell ref="Q1:R1"/>
  </mergeCells>
  <pageMargins left="0.7" right="0.7" top="0.75" bottom="0.75" header="0.3" footer="0.3"/>
  <pageSetup orientation="portrait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Base de datos</vt:lpstr>
      <vt:lpstr>Guía de consulta</vt:lpstr>
      <vt:lpstr>Nombres</vt:lpstr>
      <vt:lpstr>Serie bimestral</vt:lpstr>
      <vt:lpstr>Serie trimestral</vt:lpstr>
      <vt:lpstr>Mensual y estacionalidad</vt:lpstr>
      <vt:lpstr>Grafico variaciones</vt:lpstr>
      <vt:lpstr>Graf_Acum_12_meses</vt:lpstr>
      <vt:lpstr>Carga tributaria</vt:lpstr>
      <vt:lpstr>Principales ingresos_anual</vt:lpstr>
      <vt:lpstr>PIB</vt:lpstr>
      <vt:lpstr>Semestral y anual</vt:lpstr>
      <vt:lpstr>Totalidad</vt:lpstr>
      <vt:lpstr>Evaluación de pronóstico 2019</vt:lpstr>
      <vt:lpstr>ISR_Esc_Piso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Rodríguez Hernández</dc:creator>
  <cp:lastModifiedBy>Oscar Centeno Mora</cp:lastModifiedBy>
  <dcterms:created xsi:type="dcterms:W3CDTF">2018-01-26T20:03:27Z</dcterms:created>
  <dcterms:modified xsi:type="dcterms:W3CDTF">2021-07-02T17:52:45Z</dcterms:modified>
</cp:coreProperties>
</file>