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BB2E3E6-0130-4291-9B1C-4DA568B8A092}" xr6:coauthVersionLast="36" xr6:coauthVersionMax="36" xr10:uidLastSave="{00000000-0000-0000-0000-000000000000}"/>
  <bookViews>
    <workbookView xWindow="0" yWindow="0" windowWidth="22260" windowHeight="12645" tabRatio="325" activeTab="1" xr2:uid="{00000000-000D-0000-FFFF-FFFF00000000}"/>
  </bookViews>
  <sheets>
    <sheet name="dmg con eq_final" sheetId="5" r:id="rId1"/>
    <sheet name="monster" sheetId="2" r:id="rId2"/>
    <sheet name="gem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2" i="5" l="1"/>
  <c r="K14" i="2"/>
  <c r="R24" i="2" l="1"/>
  <c r="P24" i="2"/>
  <c r="J32" i="2"/>
  <c r="J31" i="2"/>
  <c r="L30" i="2"/>
  <c r="J29" i="2"/>
  <c r="J28" i="2"/>
  <c r="L27" i="2"/>
  <c r="K26" i="2"/>
  <c r="M30" i="2" s="1"/>
  <c r="K25" i="2"/>
  <c r="I24" i="2"/>
  <c r="K24" i="2" s="1"/>
  <c r="I23" i="2"/>
  <c r="K23" i="2" s="1"/>
  <c r="L22" i="2"/>
  <c r="I22" i="2"/>
  <c r="C32" i="2"/>
  <c r="C31" i="2"/>
  <c r="E30" i="2"/>
  <c r="F30" i="2" s="1"/>
  <c r="C29" i="2"/>
  <c r="C28" i="2"/>
  <c r="E27" i="2"/>
  <c r="F27" i="2" s="1"/>
  <c r="D26" i="2"/>
  <c r="D25" i="2"/>
  <c r="D24" i="2"/>
  <c r="B24" i="2"/>
  <c r="B23" i="2"/>
  <c r="D23" i="2" s="1"/>
  <c r="F22" i="2"/>
  <c r="E22" i="2"/>
  <c r="B22" i="2"/>
  <c r="D22" i="2" s="1"/>
  <c r="I3" i="2"/>
  <c r="B13" i="2"/>
  <c r="B5" i="2"/>
  <c r="D5" i="2" s="1"/>
  <c r="B6" i="5"/>
  <c r="B3" i="2"/>
  <c r="P23" i="2"/>
  <c r="R23" i="2" s="1"/>
  <c r="I5" i="2"/>
  <c r="K5" i="2" s="1"/>
  <c r="I4" i="2"/>
  <c r="K4" i="2" s="1"/>
  <c r="B4" i="2"/>
  <c r="D4" i="2" s="1"/>
  <c r="Q32" i="2"/>
  <c r="Q31" i="2"/>
  <c r="S30" i="2"/>
  <c r="Q29" i="2"/>
  <c r="Q28" i="2"/>
  <c r="S27" i="2"/>
  <c r="R26" i="2"/>
  <c r="R25" i="2"/>
  <c r="S22" i="2"/>
  <c r="J13" i="2"/>
  <c r="J12" i="2"/>
  <c r="L11" i="2"/>
  <c r="J10" i="2"/>
  <c r="J9" i="2"/>
  <c r="L8" i="2"/>
  <c r="K7" i="2"/>
  <c r="K6" i="2"/>
  <c r="L3" i="2"/>
  <c r="E3" i="2"/>
  <c r="E8" i="2"/>
  <c r="E11" i="2"/>
  <c r="C13" i="2"/>
  <c r="C12" i="2"/>
  <c r="C10" i="2"/>
  <c r="C9" i="2"/>
  <c r="D7" i="2"/>
  <c r="D6" i="2"/>
  <c r="J32" i="5"/>
  <c r="K26" i="5"/>
  <c r="M30" i="5" s="1"/>
  <c r="M32" i="5" s="1"/>
  <c r="K32" i="5" s="1"/>
  <c r="L22" i="5"/>
  <c r="B26" i="5"/>
  <c r="D26" i="5" s="1"/>
  <c r="C32" i="5"/>
  <c r="B3" i="5"/>
  <c r="B5" i="5"/>
  <c r="D5" i="5" s="1"/>
  <c r="E11" i="5"/>
  <c r="C13" i="5"/>
  <c r="E22" i="5"/>
  <c r="L3" i="5"/>
  <c r="J13" i="5"/>
  <c r="K5" i="5"/>
  <c r="K4" i="5"/>
  <c r="B23" i="5"/>
  <c r="D23" i="5" s="1"/>
  <c r="B30" i="5"/>
  <c r="B24" i="5"/>
  <c r="B25" i="5"/>
  <c r="D25" i="5" s="1"/>
  <c r="J10" i="5"/>
  <c r="I10" i="5"/>
  <c r="W5" i="5"/>
  <c r="I9" i="5"/>
  <c r="I7" i="5"/>
  <c r="K7" i="5" s="1"/>
  <c r="I5" i="5"/>
  <c r="I3" i="5"/>
  <c r="B9" i="5"/>
  <c r="B7" i="5"/>
  <c r="D7" i="5" s="1"/>
  <c r="F11" i="5" s="1"/>
  <c r="D11" i="5" s="1"/>
  <c r="B10" i="5"/>
  <c r="C10" i="5"/>
  <c r="B4" i="5"/>
  <c r="I4" i="5"/>
  <c r="I11" i="5"/>
  <c r="I6" i="5"/>
  <c r="K6" i="5" s="1"/>
  <c r="K25" i="5"/>
  <c r="K24" i="5"/>
  <c r="M22" i="5" s="1"/>
  <c r="K22" i="5" s="1"/>
  <c r="K23" i="5"/>
  <c r="D24" i="5"/>
  <c r="F22" i="5" s="1"/>
  <c r="D22" i="5" s="1"/>
  <c r="J31" i="5"/>
  <c r="L30" i="5"/>
  <c r="J29" i="5"/>
  <c r="J28" i="5"/>
  <c r="L27" i="5"/>
  <c r="C31" i="5"/>
  <c r="E30" i="5"/>
  <c r="C29" i="5"/>
  <c r="C28" i="5"/>
  <c r="E27" i="5"/>
  <c r="J12" i="5"/>
  <c r="L11" i="5"/>
  <c r="J9" i="5"/>
  <c r="L8" i="5"/>
  <c r="M32" i="2" l="1"/>
  <c r="K32" i="2" s="1"/>
  <c r="K30" i="2"/>
  <c r="M31" i="2"/>
  <c r="M27" i="2"/>
  <c r="M22" i="2"/>
  <c r="K22" i="2"/>
  <c r="K31" i="2"/>
  <c r="F29" i="2"/>
  <c r="D27" i="2"/>
  <c r="F28" i="2"/>
  <c r="D28" i="2"/>
  <c r="D33" i="2" s="1"/>
  <c r="D29" i="2"/>
  <c r="D30" i="2"/>
  <c r="F31" i="2"/>
  <c r="D31" i="2" s="1"/>
  <c r="F32" i="2"/>
  <c r="D32" i="2" s="1"/>
  <c r="M11" i="2"/>
  <c r="K11" i="2" s="1"/>
  <c r="F11" i="2"/>
  <c r="F12" i="2" s="1"/>
  <c r="D12" i="2" s="1"/>
  <c r="T30" i="2"/>
  <c r="T32" i="2" s="1"/>
  <c r="R32" i="2" s="1"/>
  <c r="F3" i="2"/>
  <c r="D3" i="2" s="1"/>
  <c r="T27" i="2"/>
  <c r="T22" i="2"/>
  <c r="R22" i="2" s="1"/>
  <c r="M8" i="2"/>
  <c r="M3" i="2"/>
  <c r="K3" i="2" s="1"/>
  <c r="F8" i="2"/>
  <c r="M27" i="5"/>
  <c r="M29" i="5" s="1"/>
  <c r="K29" i="5" s="1"/>
  <c r="F13" i="5"/>
  <c r="D13" i="5" s="1"/>
  <c r="F8" i="5"/>
  <c r="F30" i="5"/>
  <c r="F32" i="5" s="1"/>
  <c r="D32" i="5" s="1"/>
  <c r="F27" i="5"/>
  <c r="F29" i="5" s="1"/>
  <c r="D29" i="5" s="1"/>
  <c r="M3" i="5"/>
  <c r="K3" i="5" s="1"/>
  <c r="M8" i="5"/>
  <c r="M10" i="5" s="1"/>
  <c r="K10" i="5" s="1"/>
  <c r="F12" i="5"/>
  <c r="D12" i="5" s="1"/>
  <c r="M11" i="5"/>
  <c r="M13" i="5" s="1"/>
  <c r="K13" i="5" s="1"/>
  <c r="F3" i="5"/>
  <c r="M31" i="5"/>
  <c r="K31" i="5" s="1"/>
  <c r="K30" i="5"/>
  <c r="C12" i="5"/>
  <c r="B11" i="5"/>
  <c r="C9" i="5"/>
  <c r="E8" i="5"/>
  <c r="D6" i="5"/>
  <c r="D4" i="5"/>
  <c r="E3" i="5"/>
  <c r="M29" i="2" l="1"/>
  <c r="K29" i="2" s="1"/>
  <c r="K27" i="2"/>
  <c r="M28" i="2"/>
  <c r="K28" i="2" s="1"/>
  <c r="K33" i="2" s="1"/>
  <c r="R30" i="2"/>
  <c r="T31" i="2"/>
  <c r="R31" i="2" s="1"/>
  <c r="F13" i="2"/>
  <c r="D13" i="2" s="1"/>
  <c r="D11" i="2"/>
  <c r="M12" i="2"/>
  <c r="K12" i="2" s="1"/>
  <c r="M13" i="2"/>
  <c r="K13" i="2" s="1"/>
  <c r="K27" i="5"/>
  <c r="T29" i="2"/>
  <c r="R29" i="2" s="1"/>
  <c r="R27" i="2"/>
  <c r="T28" i="2"/>
  <c r="R28" i="2" s="1"/>
  <c r="R33" i="2" s="1"/>
  <c r="K36" i="5" s="1"/>
  <c r="M9" i="2"/>
  <c r="K9" i="2" s="1"/>
  <c r="M10" i="2"/>
  <c r="K10" i="2" s="1"/>
  <c r="K8" i="2"/>
  <c r="F9" i="2"/>
  <c r="D9" i="2" s="1"/>
  <c r="D14" i="2" s="1"/>
  <c r="F10" i="2"/>
  <c r="D10" i="2" s="1"/>
  <c r="D8" i="2"/>
  <c r="M28" i="5"/>
  <c r="K28" i="5" s="1"/>
  <c r="F31" i="5"/>
  <c r="D31" i="5" s="1"/>
  <c r="D30" i="5"/>
  <c r="F28" i="5"/>
  <c r="D28" i="5" s="1"/>
  <c r="D33" i="5" s="1"/>
  <c r="D27" i="5"/>
  <c r="M9" i="5"/>
  <c r="K9" i="5" s="1"/>
  <c r="K8" i="5"/>
  <c r="D3" i="5"/>
  <c r="F10" i="5"/>
  <c r="D10" i="5" s="1"/>
  <c r="D8" i="5"/>
  <c r="F9" i="5"/>
  <c r="D9" i="5" s="1"/>
  <c r="E4" i="4"/>
  <c r="E5" i="4"/>
  <c r="E6" i="4"/>
  <c r="E7" i="4"/>
  <c r="E8" i="4"/>
  <c r="E3" i="4"/>
  <c r="D4" i="4"/>
  <c r="D5" i="4"/>
  <c r="D6" i="4"/>
  <c r="D7" i="4"/>
  <c r="D8" i="4"/>
  <c r="D3" i="4"/>
  <c r="K16" i="5" l="1"/>
  <c r="D16" i="5"/>
  <c r="D35" i="5"/>
  <c r="D36" i="5"/>
  <c r="K17" i="5"/>
  <c r="D17" i="5"/>
  <c r="K35" i="5"/>
  <c r="R34" i="2"/>
  <c r="D14" i="5"/>
  <c r="D34" i="5"/>
  <c r="D15" i="5" l="1"/>
  <c r="M12" i="5" l="1"/>
  <c r="K12" i="5" s="1"/>
  <c r="K11" i="5"/>
  <c r="K14" i="5" s="1"/>
  <c r="K16" i="2" l="1"/>
  <c r="D35" i="2"/>
  <c r="K35" i="2"/>
  <c r="R35" i="2"/>
  <c r="K15" i="5"/>
  <c r="D16" i="2"/>
</calcChain>
</file>

<file path=xl/sharedStrings.xml><?xml version="1.0" encoding="utf-8"?>
<sst xmlns="http://schemas.openxmlformats.org/spreadsheetml/2006/main" count="261" uniqueCount="80">
  <si>
    <t>HP</t>
  </si>
  <si>
    <t>MP</t>
  </si>
  <si>
    <t>STR</t>
  </si>
  <si>
    <t>DEF</t>
  </si>
  <si>
    <t>INT</t>
  </si>
  <si>
    <t>HIT</t>
  </si>
  <si>
    <t>AGI</t>
  </si>
  <si>
    <t>C1 FIGHTER</t>
  </si>
  <si>
    <t>C2 SHOOTER</t>
  </si>
  <si>
    <t>LVL 0</t>
  </si>
  <si>
    <t>LVL UP +</t>
  </si>
  <si>
    <t>DMG</t>
  </si>
  <si>
    <t>DMG TAKEB</t>
  </si>
  <si>
    <t>DMG(LVL)</t>
  </si>
  <si>
    <t>NO CT</t>
  </si>
  <si>
    <t>EXTRA PTO</t>
  </si>
  <si>
    <t>1 PTO=</t>
  </si>
  <si>
    <t>70% HP+30% HIT</t>
  </si>
  <si>
    <t>SPD</t>
  </si>
  <si>
    <t>AGI=90%SPD+10%AVO</t>
  </si>
  <si>
    <t>HIT=90%DMG+10%CT</t>
  </si>
  <si>
    <t>CT (150%)</t>
  </si>
  <si>
    <t>CT(%)</t>
  </si>
  <si>
    <t>AVO(%)</t>
  </si>
  <si>
    <t>70% AGI+30% HIT</t>
  </si>
  <si>
    <t>TAKEN=DMG-0,7*DEF</t>
  </si>
  <si>
    <t>DMG=0,5*STR+DMG</t>
  </si>
  <si>
    <t>DMG(LVL) 1 ATK</t>
  </si>
  <si>
    <t>Lucia</t>
  </si>
  <si>
    <t>elemento</t>
  </si>
  <si>
    <t>daño</t>
  </si>
  <si>
    <t>resistencia</t>
  </si>
  <si>
    <t>lvl 1</t>
  </si>
  <si>
    <t>lvl 2</t>
  </si>
  <si>
    <t>fuego</t>
  </si>
  <si>
    <t>agua</t>
  </si>
  <si>
    <t>luz</t>
  </si>
  <si>
    <t>osculo</t>
  </si>
  <si>
    <t>elect</t>
  </si>
  <si>
    <t>tierra</t>
  </si>
  <si>
    <t>weapon</t>
  </si>
  <si>
    <t>long sword</t>
  </si>
  <si>
    <t>bow</t>
  </si>
  <si>
    <t>knightly sword</t>
  </si>
  <si>
    <t>iron bow</t>
  </si>
  <si>
    <t>sniper bow</t>
  </si>
  <si>
    <t>armor</t>
  </si>
  <si>
    <t>broken shield</t>
  </si>
  <si>
    <t>iron shield</t>
  </si>
  <si>
    <t>wood shield</t>
  </si>
  <si>
    <t>helmet</t>
  </si>
  <si>
    <t>chest</t>
  </si>
  <si>
    <t>pants</t>
  </si>
  <si>
    <t>gloves</t>
  </si>
  <si>
    <t>name</t>
  </si>
  <si>
    <t>dmg</t>
  </si>
  <si>
    <t>broken sword</t>
  </si>
  <si>
    <t>mp</t>
  </si>
  <si>
    <t>spd</t>
  </si>
  <si>
    <t>int</t>
  </si>
  <si>
    <t>def</t>
  </si>
  <si>
    <t>ct</t>
  </si>
  <si>
    <t>vod</t>
  </si>
  <si>
    <t>str</t>
  </si>
  <si>
    <t>hp</t>
  </si>
  <si>
    <t>agi</t>
  </si>
  <si>
    <t>lvl(ext pto&amp;eq)</t>
  </si>
  <si>
    <t>libro</t>
  </si>
  <si>
    <t>Lgato(healing) no eq</t>
  </si>
  <si>
    <t>lvl(ext pto)</t>
  </si>
  <si>
    <t>healing no hace daño</t>
  </si>
  <si>
    <t>DMG=50%*STR+DMG</t>
  </si>
  <si>
    <t>DMG_CT=150%*DMG</t>
  </si>
  <si>
    <t>DMG_TAKEN=DMG-70%*DEF</t>
  </si>
  <si>
    <t>MINI BOSS 2</t>
  </si>
  <si>
    <t>FINAL BOSS</t>
  </si>
  <si>
    <t>TIPO STR</t>
  </si>
  <si>
    <t>TIPO MAG</t>
  </si>
  <si>
    <t>MINI BOSS 1</t>
  </si>
  <si>
    <t>FIN 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</si>
</sst>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9" fontId="0" fillId="2" borderId="1" xfId="1" applyFont="1" applyFill="1" applyBorder="1"/>
    <xf numFmtId="0" fontId="0" fillId="5" borderId="0" xfId="0" applyFill="1"/>
    <xf numFmtId="9" fontId="0" fillId="0" borderId="0" xfId="0" applyNumberFormat="1"/>
    <xf numFmtId="9" fontId="0" fillId="0" borderId="1" xfId="1" applyFont="1" applyBorder="1"/>
    <xf numFmtId="164" fontId="0" fillId="2" borderId="1" xfId="1" applyNumberFormat="1" applyFont="1" applyFill="1" applyBorder="1"/>
    <xf numFmtId="10" fontId="0" fillId="2" borderId="1" xfId="1" applyNumberFormat="1" applyFont="1" applyFill="1" applyBorder="1"/>
    <xf numFmtId="10" fontId="0" fillId="0" borderId="1" xfId="1" applyNumberFormat="1" applyFont="1" applyBorder="1"/>
    <xf numFmtId="10" fontId="0" fillId="2" borderId="1" xfId="0" applyNumberFormat="1" applyFill="1" applyBorder="1"/>
    <xf numFmtId="1" fontId="0" fillId="0" borderId="1" xfId="0" applyNumberFormat="1" applyBorder="1" applyAlignment="1"/>
    <xf numFmtId="0" fontId="0" fillId="7" borderId="0" xfId="0" applyFill="1" applyAlignment="1">
      <alignment horizontal="center" vertical="top" wrapText="1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5" borderId="0" xfId="0" applyFill="1" applyAlignment="1">
      <alignment horizontal="center" vertical="top" wrapText="1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Border="1"/>
    <xf numFmtId="0" fontId="0" fillId="6" borderId="1" xfId="0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0" borderId="15" xfId="0" applyBorder="1" applyAlignment="1">
      <alignment horizontal="center"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4D5A-511F-4872-9990-29446E2A3AD5}">
  <dimension ref="A1:AA36"/>
  <sheetViews>
    <sheetView topLeftCell="B1" workbookViewId="0">
      <selection activeCell="D35" sqref="D35:F35"/>
    </sheetView>
  </sheetViews>
  <sheetFormatPr defaultRowHeight="15" x14ac:dyDescent="0.25"/>
  <cols>
    <col min="4" max="4" width="17.7109375" customWidth="1"/>
    <col min="11" max="11" width="18.42578125" customWidth="1"/>
  </cols>
  <sheetData>
    <row r="1" spans="1:27" x14ac:dyDescent="0.25">
      <c r="A1" s="39" t="s">
        <v>7</v>
      </c>
      <c r="B1" s="39"/>
      <c r="C1" s="39"/>
      <c r="D1" s="2" t="s">
        <v>66</v>
      </c>
      <c r="E1" s="39" t="s">
        <v>15</v>
      </c>
      <c r="F1" s="39"/>
      <c r="H1" s="39" t="s">
        <v>8</v>
      </c>
      <c r="I1" s="39"/>
      <c r="J1" s="39"/>
      <c r="K1" s="2" t="s">
        <v>66</v>
      </c>
      <c r="L1" s="39" t="s">
        <v>15</v>
      </c>
      <c r="M1" s="39"/>
      <c r="O1" s="43" t="s">
        <v>40</v>
      </c>
      <c r="P1" s="55" t="s">
        <v>54</v>
      </c>
      <c r="Q1" s="55"/>
      <c r="R1" s="2" t="s">
        <v>55</v>
      </c>
      <c r="S1" s="2" t="s">
        <v>57</v>
      </c>
      <c r="T1" s="2" t="s">
        <v>58</v>
      </c>
      <c r="U1" s="2" t="s">
        <v>59</v>
      </c>
      <c r="V1" s="2" t="s">
        <v>60</v>
      </c>
      <c r="W1" s="2" t="s">
        <v>61</v>
      </c>
      <c r="X1" s="2" t="s">
        <v>62</v>
      </c>
      <c r="Y1" s="2" t="s">
        <v>63</v>
      </c>
      <c r="Z1" s="2" t="s">
        <v>64</v>
      </c>
      <c r="AA1" s="2" t="s">
        <v>65</v>
      </c>
    </row>
    <row r="2" spans="1:27" x14ac:dyDescent="0.25">
      <c r="A2" s="2"/>
      <c r="B2" s="2" t="s">
        <v>9</v>
      </c>
      <c r="C2" s="2" t="s">
        <v>10</v>
      </c>
      <c r="D2" s="2">
        <v>20</v>
      </c>
      <c r="E2" s="2" t="s">
        <v>16</v>
      </c>
      <c r="F2" s="2">
        <v>10</v>
      </c>
      <c r="H2" s="2"/>
      <c r="I2" s="2" t="s">
        <v>9</v>
      </c>
      <c r="J2" s="2" t="s">
        <v>10</v>
      </c>
      <c r="K2" s="2">
        <v>20</v>
      </c>
      <c r="L2" s="2" t="s">
        <v>16</v>
      </c>
      <c r="M2" s="2">
        <v>10</v>
      </c>
      <c r="O2" s="59"/>
      <c r="P2" s="56" t="s">
        <v>56</v>
      </c>
      <c r="Q2" s="56"/>
      <c r="R2" s="57">
        <v>15</v>
      </c>
      <c r="S2" s="57"/>
      <c r="T2" s="57"/>
      <c r="U2" s="57"/>
      <c r="V2" s="57"/>
      <c r="W2" s="57"/>
      <c r="X2" s="57"/>
      <c r="Y2" s="57"/>
      <c r="Z2" s="57"/>
      <c r="AA2" s="57"/>
    </row>
    <row r="3" spans="1:27" x14ac:dyDescent="0.25">
      <c r="A3" s="7" t="s">
        <v>0</v>
      </c>
      <c r="B3" s="7">
        <f>90+Z21</f>
        <v>100</v>
      </c>
      <c r="C3" s="7">
        <v>20</v>
      </c>
      <c r="D3" s="7">
        <f>B3+C3*D2+F3</f>
        <v>997</v>
      </c>
      <c r="E3" s="3">
        <f>70%</f>
        <v>0.7</v>
      </c>
      <c r="F3" s="4">
        <f>D5*E3</f>
        <v>496.99999999999994</v>
      </c>
      <c r="H3" s="7" t="s">
        <v>0</v>
      </c>
      <c r="I3" s="7">
        <f>70+Z21</f>
        <v>80</v>
      </c>
      <c r="J3" s="7">
        <v>15</v>
      </c>
      <c r="K3" s="7">
        <f>I3+J3*K2+M3</f>
        <v>583</v>
      </c>
      <c r="L3" s="12">
        <f>70%</f>
        <v>0.7</v>
      </c>
      <c r="M3" s="2">
        <f>K5*L3</f>
        <v>203</v>
      </c>
      <c r="O3" s="59"/>
      <c r="P3" s="55" t="s">
        <v>41</v>
      </c>
      <c r="Q3" s="55"/>
      <c r="R3" s="2">
        <v>25</v>
      </c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7" t="s">
        <v>1</v>
      </c>
      <c r="B4" s="7">
        <f>50+S15</f>
        <v>70</v>
      </c>
      <c r="C4" s="7">
        <v>5</v>
      </c>
      <c r="D4" s="7">
        <f>B4+C4*D2</f>
        <v>170</v>
      </c>
      <c r="E4" s="2"/>
      <c r="F4" s="2"/>
      <c r="H4" s="7" t="s">
        <v>1</v>
      </c>
      <c r="I4" s="7">
        <f>50+S15</f>
        <v>70</v>
      </c>
      <c r="J4" s="7">
        <v>5</v>
      </c>
      <c r="K4" s="7">
        <f>I4+J4*K2</f>
        <v>170</v>
      </c>
      <c r="L4" s="2"/>
      <c r="M4" s="2"/>
      <c r="O4" s="59"/>
      <c r="P4" s="55" t="s">
        <v>43</v>
      </c>
      <c r="Q4" s="55"/>
      <c r="R4" s="2">
        <v>20</v>
      </c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7" t="s">
        <v>2</v>
      </c>
      <c r="B5" s="7">
        <f>90+Y21</f>
        <v>110</v>
      </c>
      <c r="C5" s="7">
        <v>20</v>
      </c>
      <c r="D5" s="7">
        <f>B5+C5*D2+F2*D2</f>
        <v>710</v>
      </c>
      <c r="E5" s="39" t="s">
        <v>17</v>
      </c>
      <c r="F5" s="39"/>
      <c r="H5" s="7" t="s">
        <v>2</v>
      </c>
      <c r="I5" s="7">
        <f>70+Y21</f>
        <v>90</v>
      </c>
      <c r="J5" s="7">
        <v>10</v>
      </c>
      <c r="K5" s="7">
        <f>I5+J5*K2</f>
        <v>290</v>
      </c>
      <c r="L5" s="39" t="s">
        <v>17</v>
      </c>
      <c r="M5" s="39"/>
      <c r="O5" s="59"/>
      <c r="P5" s="56" t="s">
        <v>42</v>
      </c>
      <c r="Q5" s="56"/>
      <c r="R5" s="57">
        <v>20</v>
      </c>
      <c r="S5" s="57"/>
      <c r="T5" s="57"/>
      <c r="U5" s="57"/>
      <c r="V5" s="57"/>
      <c r="W5" s="58">
        <f>10%</f>
        <v>0.1</v>
      </c>
      <c r="X5" s="57"/>
      <c r="Y5" s="57"/>
      <c r="Z5" s="57"/>
      <c r="AA5" s="57">
        <v>15</v>
      </c>
    </row>
    <row r="6" spans="1:27" x14ac:dyDescent="0.25">
      <c r="A6" s="8" t="s">
        <v>3</v>
      </c>
      <c r="B6" s="8">
        <f>V11+V15+V18+V24</f>
        <v>80</v>
      </c>
      <c r="C6" s="8">
        <v>15</v>
      </c>
      <c r="D6" s="8">
        <f>B6+C6*D2</f>
        <v>380</v>
      </c>
      <c r="E6" s="2"/>
      <c r="F6" s="2"/>
      <c r="H6" s="8" t="s">
        <v>3</v>
      </c>
      <c r="I6" s="8">
        <f>V24+V18+V15</f>
        <v>60</v>
      </c>
      <c r="J6" s="8">
        <v>15</v>
      </c>
      <c r="K6" s="8">
        <f>I6+J6*K2</f>
        <v>360</v>
      </c>
      <c r="L6" s="2"/>
      <c r="M6" s="2"/>
      <c r="O6" s="59"/>
      <c r="P6" s="55" t="s">
        <v>44</v>
      </c>
      <c r="Q6" s="55"/>
      <c r="R6" s="2">
        <v>25</v>
      </c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s="8" t="s">
        <v>4</v>
      </c>
      <c r="B7" s="8">
        <f>U18</f>
        <v>20</v>
      </c>
      <c r="C7" s="8">
        <v>0</v>
      </c>
      <c r="D7" s="8">
        <f>B7+C7*D2</f>
        <v>20</v>
      </c>
      <c r="E7" s="39" t="s">
        <v>24</v>
      </c>
      <c r="F7" s="39"/>
      <c r="H7" s="8" t="s">
        <v>4</v>
      </c>
      <c r="I7" s="8">
        <f>U18</f>
        <v>20</v>
      </c>
      <c r="J7" s="8">
        <v>20</v>
      </c>
      <c r="K7" s="8">
        <f>I7+J7*K2+K2*M2</f>
        <v>620</v>
      </c>
      <c r="L7" s="39" t="s">
        <v>24</v>
      </c>
      <c r="M7" s="39"/>
      <c r="O7" s="59"/>
      <c r="P7" s="55" t="s">
        <v>45</v>
      </c>
      <c r="Q7" s="55"/>
      <c r="R7" s="2">
        <v>30</v>
      </c>
      <c r="S7" s="2"/>
      <c r="T7" s="2"/>
      <c r="U7" s="2"/>
      <c r="V7" s="2"/>
      <c r="W7" s="2"/>
      <c r="X7" s="2"/>
      <c r="Y7" s="2"/>
      <c r="Z7" s="2"/>
      <c r="AA7" s="2"/>
    </row>
    <row r="8" spans="1:27" x14ac:dyDescent="0.25">
      <c r="A8" s="8" t="s">
        <v>5</v>
      </c>
      <c r="B8" s="8">
        <v>0</v>
      </c>
      <c r="C8" s="8">
        <v>10</v>
      </c>
      <c r="D8" s="8">
        <f>B8+C8*D2+F8</f>
        <v>419</v>
      </c>
      <c r="E8" s="3">
        <f>30%</f>
        <v>0.3</v>
      </c>
      <c r="F8" s="4">
        <f>D5*E8+E8*D7</f>
        <v>219</v>
      </c>
      <c r="H8" s="8" t="s">
        <v>5</v>
      </c>
      <c r="I8" s="8">
        <v>0</v>
      </c>
      <c r="J8" s="8">
        <v>10</v>
      </c>
      <c r="K8" s="8">
        <f>I8+J8*K2+M8</f>
        <v>473</v>
      </c>
      <c r="L8" s="3">
        <f>30%</f>
        <v>0.3</v>
      </c>
      <c r="M8" s="4">
        <f>K7*L8+K5*L8</f>
        <v>273</v>
      </c>
      <c r="O8" s="59"/>
      <c r="P8" s="56" t="s">
        <v>67</v>
      </c>
      <c r="Q8" s="56"/>
      <c r="R8" s="57"/>
      <c r="S8" s="57">
        <v>20</v>
      </c>
      <c r="T8" s="57"/>
      <c r="U8" s="57">
        <v>60</v>
      </c>
      <c r="V8" s="57"/>
      <c r="W8" s="57"/>
      <c r="X8" s="57"/>
      <c r="Y8" s="57"/>
      <c r="Z8" s="57"/>
      <c r="AA8" s="57"/>
    </row>
    <row r="9" spans="1:27" x14ac:dyDescent="0.25">
      <c r="A9" s="5" t="s">
        <v>11</v>
      </c>
      <c r="B9" s="5">
        <f>R2</f>
        <v>15</v>
      </c>
      <c r="C9" s="5">
        <f>90%*C8</f>
        <v>9</v>
      </c>
      <c r="D9" s="5">
        <f>B9+C9*D2+F9</f>
        <v>392.1</v>
      </c>
      <c r="E9" s="3">
        <v>0.9</v>
      </c>
      <c r="F9" s="2">
        <f>E9*F8</f>
        <v>197.1</v>
      </c>
      <c r="H9" s="5" t="s">
        <v>11</v>
      </c>
      <c r="I9" s="5">
        <f>R5</f>
        <v>20</v>
      </c>
      <c r="J9" s="5">
        <f>90%*J8</f>
        <v>9</v>
      </c>
      <c r="K9" s="5">
        <f>I9+J9+M9</f>
        <v>274.70000000000005</v>
      </c>
      <c r="L9" s="3">
        <v>0.9</v>
      </c>
      <c r="M9" s="2">
        <f>M8*L9</f>
        <v>245.70000000000002</v>
      </c>
      <c r="O9" s="59"/>
      <c r="P9" s="55"/>
      <c r="Q9" s="55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5">
      <c r="A10" s="5" t="s">
        <v>22</v>
      </c>
      <c r="B10" s="14">
        <f>0/100</f>
        <v>0</v>
      </c>
      <c r="C10" s="14">
        <f>0.1*C8/100</f>
        <v>0.01</v>
      </c>
      <c r="D10" s="14">
        <f>B10+C10*D2+F10</f>
        <v>0.41900000000000004</v>
      </c>
      <c r="E10" s="3">
        <v>0.1</v>
      </c>
      <c r="F10" s="15">
        <f>E10*F8/100</f>
        <v>0.21900000000000003</v>
      </c>
      <c r="H10" s="5" t="s">
        <v>22</v>
      </c>
      <c r="I10" s="16">
        <f>W5</f>
        <v>0.1</v>
      </c>
      <c r="J10" s="14">
        <f>0.1*J8/100</f>
        <v>0.01</v>
      </c>
      <c r="K10" s="13">
        <f>I10+J10+M10</f>
        <v>0.38300000000000001</v>
      </c>
      <c r="L10" s="3">
        <v>0.1</v>
      </c>
      <c r="M10" s="15">
        <f>M8*L10/100</f>
        <v>0.27300000000000002</v>
      </c>
      <c r="O10" s="44"/>
      <c r="P10" s="55"/>
      <c r="Q10" s="55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 s="8" t="s">
        <v>6</v>
      </c>
      <c r="B11" s="8">
        <f>'dmg con eq_final'!AA24</f>
        <v>20</v>
      </c>
      <c r="C11" s="8">
        <v>10</v>
      </c>
      <c r="D11" s="8">
        <f>B11+C11*D2+F11</f>
        <v>234</v>
      </c>
      <c r="E11" s="3">
        <f>70%</f>
        <v>0.7</v>
      </c>
      <c r="F11" s="2">
        <f>D7*E11</f>
        <v>14</v>
      </c>
      <c r="H11" s="8" t="s">
        <v>6</v>
      </c>
      <c r="I11" s="8">
        <f>AA24+AA5</f>
        <v>35</v>
      </c>
      <c r="J11" s="8">
        <v>20</v>
      </c>
      <c r="K11" s="8">
        <f>I11+J11*K2+M11</f>
        <v>869</v>
      </c>
      <c r="L11" s="3">
        <f>70%</f>
        <v>0.7</v>
      </c>
      <c r="M11" s="4">
        <f>K7*L11</f>
        <v>434</v>
      </c>
      <c r="O11" s="43" t="s">
        <v>46</v>
      </c>
      <c r="P11" s="56" t="s">
        <v>47</v>
      </c>
      <c r="Q11" s="56"/>
      <c r="R11" s="57"/>
      <c r="S11" s="57"/>
      <c r="T11" s="57"/>
      <c r="U11" s="57"/>
      <c r="V11" s="57">
        <v>20</v>
      </c>
      <c r="W11" s="57"/>
      <c r="X11" s="57"/>
      <c r="Y11" s="57"/>
      <c r="Z11" s="57"/>
      <c r="AA11" s="57"/>
    </row>
    <row r="12" spans="1:27" x14ac:dyDescent="0.25">
      <c r="A12" s="5" t="s">
        <v>18</v>
      </c>
      <c r="B12" s="5">
        <v>0</v>
      </c>
      <c r="C12" s="5">
        <f>0.9*C11</f>
        <v>9</v>
      </c>
      <c r="D12" s="5">
        <f>B12+C12+F12</f>
        <v>21.6</v>
      </c>
      <c r="E12" s="3">
        <v>0.9</v>
      </c>
      <c r="F12" s="2">
        <f>E12*F11</f>
        <v>12.6</v>
      </c>
      <c r="H12" s="5" t="s">
        <v>18</v>
      </c>
      <c r="I12" s="5">
        <v>0</v>
      </c>
      <c r="J12" s="5">
        <f>0.9*J11</f>
        <v>18</v>
      </c>
      <c r="K12" s="5">
        <f>I12+J12+M12</f>
        <v>408.6</v>
      </c>
      <c r="L12" s="3">
        <v>0.9</v>
      </c>
      <c r="M12" s="2">
        <f>L12*M11</f>
        <v>390.6</v>
      </c>
      <c r="O12" s="59"/>
      <c r="P12" s="55" t="s">
        <v>48</v>
      </c>
      <c r="Q12" s="55"/>
      <c r="R12" s="2"/>
      <c r="S12" s="2"/>
      <c r="T12" s="2"/>
      <c r="U12" s="2"/>
      <c r="V12" s="2">
        <v>25</v>
      </c>
      <c r="W12" s="2"/>
      <c r="X12" s="2"/>
      <c r="Y12" s="2"/>
      <c r="Z12" s="2"/>
      <c r="AA12" s="2"/>
    </row>
    <row r="13" spans="1:27" x14ac:dyDescent="0.25">
      <c r="A13" s="5" t="s">
        <v>23</v>
      </c>
      <c r="B13" s="5">
        <v>0</v>
      </c>
      <c r="C13" s="9">
        <f>10%*C11/100</f>
        <v>0.01</v>
      </c>
      <c r="D13" s="14">
        <f>IF((B13+C13+F13)&gt;50%,0.5,(B13+C13+F13))</f>
        <v>2.4E-2</v>
      </c>
      <c r="E13" s="3">
        <v>0.1</v>
      </c>
      <c r="F13" s="15">
        <f>E13*F11/100</f>
        <v>1.4000000000000002E-2</v>
      </c>
      <c r="H13" s="5" t="s">
        <v>23</v>
      </c>
      <c r="I13" s="5">
        <v>0</v>
      </c>
      <c r="J13" s="14">
        <f>10%*J11/100</f>
        <v>0.02</v>
      </c>
      <c r="K13" s="14">
        <f>IF((I13+J13+M13)&gt;50%,0.5,(I13+J13+M13))</f>
        <v>0.45400000000000007</v>
      </c>
      <c r="L13" s="3">
        <v>0.1</v>
      </c>
      <c r="M13" s="12">
        <f>L13*M11/100</f>
        <v>0.43400000000000005</v>
      </c>
      <c r="O13" s="59"/>
      <c r="P13" s="55" t="s">
        <v>49</v>
      </c>
      <c r="Q13" s="55"/>
      <c r="R13" s="2"/>
      <c r="S13" s="2"/>
      <c r="T13" s="2"/>
      <c r="U13" s="2"/>
      <c r="V13" s="2">
        <v>30</v>
      </c>
      <c r="W13" s="2"/>
      <c r="X13" s="2"/>
      <c r="Y13" s="2"/>
      <c r="Z13" s="2"/>
      <c r="AA13" s="2"/>
    </row>
    <row r="14" spans="1:27" x14ac:dyDescent="0.25">
      <c r="A14" s="37" t="s">
        <v>13</v>
      </c>
      <c r="B14" s="37"/>
      <c r="C14" s="2" t="s">
        <v>14</v>
      </c>
      <c r="D14" s="19">
        <f>0.5*D5+D9</f>
        <v>747.1</v>
      </c>
      <c r="E14" s="20"/>
      <c r="F14" s="21"/>
      <c r="H14" s="37" t="s">
        <v>13</v>
      </c>
      <c r="I14" s="37"/>
      <c r="J14" s="2" t="s">
        <v>14</v>
      </c>
      <c r="K14" s="31">
        <f>0.9*K11+K9</f>
        <v>1056.8000000000002</v>
      </c>
      <c r="L14" s="32"/>
      <c r="M14" s="33"/>
      <c r="O14" s="59"/>
      <c r="P14" s="55"/>
      <c r="Q14" s="55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5">
      <c r="A15" s="37"/>
      <c r="B15" s="37"/>
      <c r="C15" s="2" t="s">
        <v>21</v>
      </c>
      <c r="D15" s="22">
        <f>D14*150%</f>
        <v>1120.6500000000001</v>
      </c>
      <c r="E15" s="23"/>
      <c r="F15" s="24"/>
      <c r="H15" s="37"/>
      <c r="I15" s="37"/>
      <c r="J15" s="2" t="s">
        <v>21</v>
      </c>
      <c r="K15" s="31">
        <f>K14*150%</f>
        <v>1585.2000000000003</v>
      </c>
      <c r="L15" s="32"/>
      <c r="M15" s="33"/>
      <c r="O15" s="59"/>
      <c r="P15" s="56" t="s">
        <v>50</v>
      </c>
      <c r="Q15" s="56"/>
      <c r="R15" s="57"/>
      <c r="S15" s="57">
        <v>20</v>
      </c>
      <c r="T15" s="57"/>
      <c r="U15" s="57"/>
      <c r="V15" s="57">
        <v>20</v>
      </c>
      <c r="W15" s="57"/>
      <c r="X15" s="57"/>
      <c r="Y15" s="57"/>
      <c r="Z15" s="57"/>
      <c r="AA15" s="57"/>
    </row>
    <row r="16" spans="1:27" x14ac:dyDescent="0.25">
      <c r="A16" s="38" t="s">
        <v>12</v>
      </c>
      <c r="B16" s="38"/>
      <c r="C16" s="6" t="s">
        <v>14</v>
      </c>
      <c r="D16" s="40">
        <f>monster!K14-0.7*D6</f>
        <v>293.79999999999995</v>
      </c>
      <c r="E16" s="41"/>
      <c r="F16" s="42"/>
      <c r="H16" s="38" t="s">
        <v>12</v>
      </c>
      <c r="I16" s="38"/>
      <c r="J16" s="6" t="s">
        <v>14</v>
      </c>
      <c r="K16" s="25">
        <f>monster!K14-0.7*K6</f>
        <v>307.79999999999995</v>
      </c>
      <c r="L16" s="26"/>
      <c r="M16" s="27"/>
      <c r="O16" s="59"/>
      <c r="P16" s="55"/>
      <c r="Q16" s="55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5">
      <c r="A17" s="38"/>
      <c r="B17" s="38"/>
      <c r="C17" s="6" t="s">
        <v>79</v>
      </c>
      <c r="D17" s="28">
        <f>monster!R33-D6*0.7</f>
        <v>299</v>
      </c>
      <c r="E17" s="29"/>
      <c r="F17" s="30"/>
      <c r="H17" s="38"/>
      <c r="I17" s="38"/>
      <c r="J17" s="6" t="s">
        <v>79</v>
      </c>
      <c r="K17" s="28">
        <f>monster!R33-K6*0.7</f>
        <v>313</v>
      </c>
      <c r="L17" s="29"/>
      <c r="M17" s="30"/>
      <c r="O17" s="59"/>
      <c r="P17" s="55"/>
      <c r="Q17" s="55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5">
      <c r="O18" s="59"/>
      <c r="P18" s="56" t="s">
        <v>53</v>
      </c>
      <c r="Q18" s="56"/>
      <c r="R18" s="57"/>
      <c r="S18" s="57"/>
      <c r="T18" s="57"/>
      <c r="U18" s="57">
        <v>20</v>
      </c>
      <c r="V18" s="57">
        <v>20</v>
      </c>
      <c r="W18" s="57"/>
      <c r="X18" s="57"/>
      <c r="Y18" s="57"/>
      <c r="Z18" s="57"/>
      <c r="AA18" s="57"/>
    </row>
    <row r="19" spans="1:27" x14ac:dyDescent="0.25">
      <c r="O19" s="59"/>
      <c r="P19" s="55"/>
      <c r="Q19" s="55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s="39" t="s">
        <v>28</v>
      </c>
      <c r="B20" s="39"/>
      <c r="C20" s="39"/>
      <c r="D20" s="2" t="s">
        <v>66</v>
      </c>
      <c r="E20" s="39" t="s">
        <v>15</v>
      </c>
      <c r="F20" s="39"/>
      <c r="H20" s="39" t="s">
        <v>68</v>
      </c>
      <c r="I20" s="39"/>
      <c r="J20" s="39"/>
      <c r="K20" s="2" t="s">
        <v>69</v>
      </c>
      <c r="L20" s="39" t="s">
        <v>15</v>
      </c>
      <c r="M20" s="39"/>
      <c r="O20" s="59"/>
      <c r="P20" s="55"/>
      <c r="Q20" s="55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5">
      <c r="A21" s="2"/>
      <c r="B21" s="2" t="s">
        <v>9</v>
      </c>
      <c r="C21" s="2" t="s">
        <v>10</v>
      </c>
      <c r="D21" s="2">
        <v>20</v>
      </c>
      <c r="E21" s="2" t="s">
        <v>16</v>
      </c>
      <c r="F21" s="2">
        <v>10</v>
      </c>
      <c r="H21" s="2"/>
      <c r="I21" s="2" t="s">
        <v>9</v>
      </c>
      <c r="J21" s="2" t="s">
        <v>10</v>
      </c>
      <c r="K21" s="2">
        <v>20</v>
      </c>
      <c r="L21" s="2" t="s">
        <v>16</v>
      </c>
      <c r="M21" s="2">
        <v>10</v>
      </c>
      <c r="O21" s="59"/>
      <c r="P21" s="56" t="s">
        <v>51</v>
      </c>
      <c r="Q21" s="56"/>
      <c r="R21" s="57"/>
      <c r="S21" s="57"/>
      <c r="T21" s="57"/>
      <c r="U21" s="57"/>
      <c r="V21" s="57"/>
      <c r="W21" s="57"/>
      <c r="X21" s="57"/>
      <c r="Y21" s="57">
        <v>20</v>
      </c>
      <c r="Z21" s="57">
        <v>10</v>
      </c>
      <c r="AA21" s="57"/>
    </row>
    <row r="22" spans="1:27" x14ac:dyDescent="0.25">
      <c r="A22" s="7" t="s">
        <v>0</v>
      </c>
      <c r="B22" s="7">
        <f>Z21+60</f>
        <v>70</v>
      </c>
      <c r="C22" s="7">
        <v>15</v>
      </c>
      <c r="D22" s="7">
        <f>B22+C22*D21+F22</f>
        <v>573</v>
      </c>
      <c r="E22" s="12">
        <f>70%</f>
        <v>0.7</v>
      </c>
      <c r="F22" s="2">
        <f>D24*E22</f>
        <v>203</v>
      </c>
      <c r="H22" s="7" t="s">
        <v>0</v>
      </c>
      <c r="I22" s="7">
        <v>80</v>
      </c>
      <c r="J22" s="7">
        <v>20</v>
      </c>
      <c r="K22" s="7">
        <f>I22+J22*K21+M22</f>
        <v>676</v>
      </c>
      <c r="L22" s="12">
        <f>70%</f>
        <v>0.7</v>
      </c>
      <c r="M22" s="2">
        <f>K24*L22</f>
        <v>196</v>
      </c>
      <c r="O22" s="59"/>
      <c r="P22" s="55"/>
      <c r="Q22" s="55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5">
      <c r="A23" s="7" t="s">
        <v>1</v>
      </c>
      <c r="B23" s="7">
        <f>S15+50+S8</f>
        <v>90</v>
      </c>
      <c r="C23" s="7">
        <v>5</v>
      </c>
      <c r="D23" s="7">
        <f>B23+C23*D21</f>
        <v>190</v>
      </c>
      <c r="E23" s="2"/>
      <c r="F23" s="2"/>
      <c r="H23" s="7" t="s">
        <v>1</v>
      </c>
      <c r="I23" s="7">
        <v>60</v>
      </c>
      <c r="J23" s="7">
        <v>5</v>
      </c>
      <c r="K23" s="7">
        <f>I23+J23*K21</f>
        <v>160</v>
      </c>
      <c r="L23" s="2"/>
      <c r="M23" s="2"/>
      <c r="O23" s="59"/>
      <c r="P23" s="55"/>
      <c r="Q23" s="55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5">
      <c r="A24" s="7" t="s">
        <v>2</v>
      </c>
      <c r="B24" s="7">
        <f>Y21+70</f>
        <v>90</v>
      </c>
      <c r="C24" s="7">
        <v>10</v>
      </c>
      <c r="D24" s="7">
        <f>B24+C24*D21</f>
        <v>290</v>
      </c>
      <c r="E24" s="39" t="s">
        <v>17</v>
      </c>
      <c r="F24" s="39"/>
      <c r="H24" s="7" t="s">
        <v>2</v>
      </c>
      <c r="I24" s="7">
        <v>80</v>
      </c>
      <c r="J24" s="7">
        <v>10</v>
      </c>
      <c r="K24" s="7">
        <f>I24+J24*K21</f>
        <v>280</v>
      </c>
      <c r="L24" s="39" t="s">
        <v>17</v>
      </c>
      <c r="M24" s="39"/>
      <c r="O24" s="59"/>
      <c r="P24" s="56" t="s">
        <v>52</v>
      </c>
      <c r="Q24" s="56"/>
      <c r="R24" s="57"/>
      <c r="S24" s="57"/>
      <c r="T24" s="57"/>
      <c r="U24" s="57"/>
      <c r="V24" s="57">
        <v>20</v>
      </c>
      <c r="W24" s="57"/>
      <c r="X24" s="57"/>
      <c r="Y24" s="57"/>
      <c r="Z24" s="57"/>
      <c r="AA24" s="57">
        <v>20</v>
      </c>
    </row>
    <row r="25" spans="1:27" x14ac:dyDescent="0.25">
      <c r="A25" s="8" t="s">
        <v>3</v>
      </c>
      <c r="B25" s="8">
        <f>V15+V18+V24</f>
        <v>60</v>
      </c>
      <c r="C25" s="8">
        <v>15</v>
      </c>
      <c r="D25" s="8">
        <f>B25+C25*D21</f>
        <v>360</v>
      </c>
      <c r="E25" s="2"/>
      <c r="F25" s="2"/>
      <c r="H25" s="8" t="s">
        <v>3</v>
      </c>
      <c r="I25" s="8">
        <v>0</v>
      </c>
      <c r="J25" s="8">
        <v>20</v>
      </c>
      <c r="K25" s="8">
        <f>I25+J25*K21</f>
        <v>400</v>
      </c>
      <c r="L25" s="2"/>
      <c r="M25" s="2"/>
      <c r="O25" s="44"/>
      <c r="P25" s="55"/>
      <c r="Q25" s="55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5">
      <c r="A26" s="8" t="s">
        <v>4</v>
      </c>
      <c r="B26" s="8">
        <f>U18+U8</f>
        <v>80</v>
      </c>
      <c r="C26" s="8">
        <v>30</v>
      </c>
      <c r="D26" s="8">
        <f>B26+C26*D21+D21*F21</f>
        <v>880</v>
      </c>
      <c r="E26" s="39" t="s">
        <v>24</v>
      </c>
      <c r="F26" s="39"/>
      <c r="H26" s="8" t="s">
        <v>4</v>
      </c>
      <c r="I26" s="8">
        <v>0</v>
      </c>
      <c r="J26" s="8">
        <v>20</v>
      </c>
      <c r="K26" s="8">
        <f>I26+J26*K21+K21*M21</f>
        <v>600</v>
      </c>
      <c r="L26" s="39" t="s">
        <v>24</v>
      </c>
      <c r="M26" s="39"/>
    </row>
    <row r="27" spans="1:27" x14ac:dyDescent="0.25">
      <c r="A27" s="8" t="s">
        <v>5</v>
      </c>
      <c r="B27" s="8">
        <v>0</v>
      </c>
      <c r="C27" s="8">
        <v>0</v>
      </c>
      <c r="D27" s="8">
        <f>B27+C27*D21+F27</f>
        <v>351</v>
      </c>
      <c r="E27" s="3">
        <f>30%</f>
        <v>0.3</v>
      </c>
      <c r="F27" s="4">
        <f>E27*D26+E27*D24</f>
        <v>351</v>
      </c>
      <c r="H27" s="8" t="s">
        <v>5</v>
      </c>
      <c r="I27" s="8">
        <v>0</v>
      </c>
      <c r="J27" s="8">
        <v>0</v>
      </c>
      <c r="K27" s="8">
        <f>I27+J27*K21+M27</f>
        <v>264</v>
      </c>
      <c r="L27" s="3">
        <f>30%</f>
        <v>0.3</v>
      </c>
      <c r="M27" s="4">
        <f>K24*L27+K26*L27</f>
        <v>264</v>
      </c>
      <c r="P27" s="34" t="s">
        <v>20</v>
      </c>
      <c r="Q27" s="34"/>
      <c r="S27" s="18" t="s">
        <v>71</v>
      </c>
      <c r="T27" s="18"/>
    </row>
    <row r="28" spans="1:27" x14ac:dyDescent="0.25">
      <c r="A28" s="5" t="s">
        <v>11</v>
      </c>
      <c r="B28" s="5">
        <v>0</v>
      </c>
      <c r="C28" s="5">
        <f>90%*C27</f>
        <v>0</v>
      </c>
      <c r="D28" s="5">
        <f>B28+C28+F28</f>
        <v>315.90000000000003</v>
      </c>
      <c r="E28" s="3">
        <v>0.9</v>
      </c>
      <c r="F28" s="2">
        <f>F27*E28</f>
        <v>315.90000000000003</v>
      </c>
      <c r="H28" s="5" t="s">
        <v>11</v>
      </c>
      <c r="I28" s="5">
        <v>0</v>
      </c>
      <c r="J28" s="5">
        <f>90%*J27</f>
        <v>0</v>
      </c>
      <c r="K28" s="5">
        <f>I28+J28+M28</f>
        <v>237.6</v>
      </c>
      <c r="L28" s="3">
        <v>0.9</v>
      </c>
      <c r="M28" s="2">
        <f>M27*L28</f>
        <v>237.6</v>
      </c>
      <c r="P28" s="34"/>
      <c r="Q28" s="34"/>
      <c r="S28" s="18"/>
      <c r="T28" s="18"/>
    </row>
    <row r="29" spans="1:27" x14ac:dyDescent="0.25">
      <c r="A29" s="5" t="s">
        <v>22</v>
      </c>
      <c r="B29" s="9">
        <v>0</v>
      </c>
      <c r="C29" s="9">
        <f>0.1*C27</f>
        <v>0</v>
      </c>
      <c r="D29" s="13">
        <f>B29+C29+F29</f>
        <v>0.35100000000000003</v>
      </c>
      <c r="E29" s="3">
        <v>0.1</v>
      </c>
      <c r="F29" s="15">
        <f>F27*E29/100</f>
        <v>0.35100000000000003</v>
      </c>
      <c r="H29" s="5" t="s">
        <v>22</v>
      </c>
      <c r="I29" s="5">
        <v>0</v>
      </c>
      <c r="J29" s="5">
        <f>0.1*J27</f>
        <v>0</v>
      </c>
      <c r="K29" s="9">
        <f>I29+J29+M29</f>
        <v>0.26400000000000001</v>
      </c>
      <c r="L29" s="3">
        <v>0.1</v>
      </c>
      <c r="M29" s="15">
        <f>M27*L29/100</f>
        <v>0.26400000000000001</v>
      </c>
      <c r="P29" s="34"/>
      <c r="Q29" s="34"/>
      <c r="S29" s="18"/>
      <c r="T29" s="18"/>
    </row>
    <row r="30" spans="1:27" x14ac:dyDescent="0.25">
      <c r="A30" s="8" t="s">
        <v>6</v>
      </c>
      <c r="B30" s="8">
        <f>AA24</f>
        <v>20</v>
      </c>
      <c r="C30" s="8">
        <v>20</v>
      </c>
      <c r="D30" s="8">
        <f>B30+C30*D21+F30</f>
        <v>1036</v>
      </c>
      <c r="E30" s="3">
        <f>70%</f>
        <v>0.7</v>
      </c>
      <c r="F30" s="17">
        <f>E30*D26</f>
        <v>616</v>
      </c>
      <c r="H30" s="8" t="s">
        <v>6</v>
      </c>
      <c r="I30" s="8">
        <v>0</v>
      </c>
      <c r="J30" s="8">
        <v>25</v>
      </c>
      <c r="K30" s="8">
        <f>I30+J30*K21+M30</f>
        <v>920</v>
      </c>
      <c r="L30" s="3">
        <f>70%</f>
        <v>0.7</v>
      </c>
      <c r="M30" s="4">
        <f>K26*L30</f>
        <v>420</v>
      </c>
      <c r="P30" s="34" t="s">
        <v>19</v>
      </c>
      <c r="Q30" s="34"/>
      <c r="S30" s="18" t="s">
        <v>72</v>
      </c>
      <c r="T30" s="18"/>
    </row>
    <row r="31" spans="1:27" x14ac:dyDescent="0.25">
      <c r="A31" s="5" t="s">
        <v>18</v>
      </c>
      <c r="B31" s="5">
        <v>0</v>
      </c>
      <c r="C31" s="5">
        <f>0.9*C30</f>
        <v>18</v>
      </c>
      <c r="D31" s="5">
        <f>B31+C31+F31</f>
        <v>572.4</v>
      </c>
      <c r="E31" s="3">
        <v>0.9</v>
      </c>
      <c r="F31" s="2">
        <f>E31*F30</f>
        <v>554.4</v>
      </c>
      <c r="H31" s="5" t="s">
        <v>18</v>
      </c>
      <c r="I31" s="5">
        <v>0</v>
      </c>
      <c r="J31" s="5">
        <f>0.9*J30</f>
        <v>22.5</v>
      </c>
      <c r="K31" s="5">
        <f>I31+J31+M31</f>
        <v>400.5</v>
      </c>
      <c r="L31" s="3">
        <v>0.9</v>
      </c>
      <c r="M31" s="2">
        <f>L31*M30</f>
        <v>378</v>
      </c>
      <c r="P31" s="34"/>
      <c r="Q31" s="34"/>
      <c r="S31" s="18"/>
      <c r="T31" s="18"/>
    </row>
    <row r="32" spans="1:27" x14ac:dyDescent="0.25">
      <c r="A32" s="5" t="s">
        <v>23</v>
      </c>
      <c r="B32" s="5">
        <v>0</v>
      </c>
      <c r="C32" s="14">
        <f>10%*C30/100</f>
        <v>0.02</v>
      </c>
      <c r="D32" s="14">
        <f>IF((B32+C32+F32)&gt;50%,0.5,(B32+C32+F32))</f>
        <v>0.5</v>
      </c>
      <c r="E32" s="3">
        <v>0.1</v>
      </c>
      <c r="F32" s="15">
        <f>E32*F30/100</f>
        <v>0.61599999999999999</v>
      </c>
      <c r="H32" s="5" t="s">
        <v>23</v>
      </c>
      <c r="I32" s="5">
        <v>0</v>
      </c>
      <c r="J32" s="14">
        <f>10%*J30/100</f>
        <v>2.5000000000000001E-2</v>
      </c>
      <c r="K32" s="14">
        <f>IF((I32+J32+M32)&gt;50%,0.5,(I32+J32+M32))</f>
        <v>0.44500000000000001</v>
      </c>
      <c r="L32" s="3">
        <v>0.1</v>
      </c>
      <c r="M32" s="15">
        <f>L32*M30/100</f>
        <v>0.42</v>
      </c>
      <c r="P32" s="34"/>
      <c r="Q32" s="34"/>
      <c r="S32" s="18"/>
      <c r="T32" s="18"/>
    </row>
    <row r="33" spans="1:20" x14ac:dyDescent="0.25">
      <c r="A33" s="37" t="s">
        <v>27</v>
      </c>
      <c r="B33" s="37"/>
      <c r="C33" s="2" t="s">
        <v>14</v>
      </c>
      <c r="D33" s="31">
        <f>0.8*D26+D28</f>
        <v>1019.9000000000001</v>
      </c>
      <c r="E33" s="32"/>
      <c r="F33" s="33"/>
      <c r="H33" s="37" t="s">
        <v>13</v>
      </c>
      <c r="I33" s="37"/>
      <c r="J33" s="2" t="s">
        <v>14</v>
      </c>
      <c r="K33" s="19" t="s">
        <v>70</v>
      </c>
      <c r="L33" s="20"/>
      <c r="M33" s="21"/>
      <c r="P33" s="35" t="s">
        <v>26</v>
      </c>
      <c r="Q33" s="36"/>
      <c r="S33" s="18" t="s">
        <v>73</v>
      </c>
      <c r="T33" s="18"/>
    </row>
    <row r="34" spans="1:20" x14ac:dyDescent="0.25">
      <c r="A34" s="37"/>
      <c r="B34" s="37"/>
      <c r="C34" s="2" t="s">
        <v>21</v>
      </c>
      <c r="D34" s="31">
        <f>D33*150%</f>
        <v>1529.8500000000001</v>
      </c>
      <c r="E34" s="32"/>
      <c r="F34" s="33"/>
      <c r="H34" s="37"/>
      <c r="I34" s="37"/>
      <c r="J34" s="2" t="s">
        <v>21</v>
      </c>
      <c r="K34" s="22"/>
      <c r="L34" s="23"/>
      <c r="M34" s="24"/>
      <c r="P34" s="10"/>
      <c r="Q34" s="10"/>
      <c r="S34" s="18"/>
      <c r="T34" s="18"/>
    </row>
    <row r="35" spans="1:20" x14ac:dyDescent="0.25">
      <c r="A35" s="38" t="s">
        <v>12</v>
      </c>
      <c r="B35" s="38"/>
      <c r="C35" s="6" t="s">
        <v>14</v>
      </c>
      <c r="D35" s="25">
        <f>monster!K14-0.7*D25</f>
        <v>307.79999999999995</v>
      </c>
      <c r="E35" s="26"/>
      <c r="F35" s="27"/>
      <c r="H35" s="38" t="s">
        <v>12</v>
      </c>
      <c r="I35" s="38"/>
      <c r="J35" s="6" t="s">
        <v>14</v>
      </c>
      <c r="K35" s="22">
        <f>monster!D14-K25*0.7</f>
        <v>217.5</v>
      </c>
      <c r="L35" s="23"/>
      <c r="M35" s="24"/>
      <c r="P35" s="35" t="s">
        <v>25</v>
      </c>
      <c r="Q35" s="36"/>
      <c r="S35" s="18"/>
      <c r="T35" s="18"/>
    </row>
    <row r="36" spans="1:20" x14ac:dyDescent="0.25">
      <c r="A36" s="38"/>
      <c r="B36" s="38"/>
      <c r="C36" s="6" t="s">
        <v>79</v>
      </c>
      <c r="D36" s="28">
        <f>monster!R33-D25*0.7</f>
        <v>313</v>
      </c>
      <c r="E36" s="29"/>
      <c r="F36" s="30"/>
      <c r="H36" s="38"/>
      <c r="I36" s="38"/>
      <c r="J36" s="6" t="s">
        <v>79</v>
      </c>
      <c r="K36" s="28">
        <f>monster!R33-K25*0.7</f>
        <v>285</v>
      </c>
      <c r="L36" s="29"/>
      <c r="M36" s="30"/>
      <c r="P36" s="35"/>
      <c r="Q36" s="36"/>
      <c r="S36" s="18"/>
      <c r="T36" s="18"/>
    </row>
  </sheetData>
  <mergeCells count="73">
    <mergeCell ref="O1:O10"/>
    <mergeCell ref="O11:O25"/>
    <mergeCell ref="A1:C1"/>
    <mergeCell ref="E1:F1"/>
    <mergeCell ref="E5:F5"/>
    <mergeCell ref="E7:F7"/>
    <mergeCell ref="A14:B15"/>
    <mergeCell ref="D14:F14"/>
    <mergeCell ref="D15:F15"/>
    <mergeCell ref="H1:J1"/>
    <mergeCell ref="L1:M1"/>
    <mergeCell ref="L5:M5"/>
    <mergeCell ref="L7:M7"/>
    <mergeCell ref="H14:I15"/>
    <mergeCell ref="K14:M14"/>
    <mergeCell ref="K15:M15"/>
    <mergeCell ref="H16:I17"/>
    <mergeCell ref="A20:C20"/>
    <mergeCell ref="E20:F20"/>
    <mergeCell ref="E24:F24"/>
    <mergeCell ref="E26:F26"/>
    <mergeCell ref="D16:F16"/>
    <mergeCell ref="D17:F17"/>
    <mergeCell ref="A16:B17"/>
    <mergeCell ref="A33:B34"/>
    <mergeCell ref="A35:B36"/>
    <mergeCell ref="H20:J20"/>
    <mergeCell ref="L20:M20"/>
    <mergeCell ref="L24:M24"/>
    <mergeCell ref="L26:M26"/>
    <mergeCell ref="H33:I34"/>
    <mergeCell ref="H35:I36"/>
    <mergeCell ref="D36:F36"/>
    <mergeCell ref="K36:M36"/>
    <mergeCell ref="P14:Q14"/>
    <mergeCell ref="P9:Q9"/>
    <mergeCell ref="P10:Q10"/>
    <mergeCell ref="P1:Q1"/>
    <mergeCell ref="P2:Q2"/>
    <mergeCell ref="P3:Q3"/>
    <mergeCell ref="P4:Q4"/>
    <mergeCell ref="P5:Q5"/>
    <mergeCell ref="P6:Q6"/>
    <mergeCell ref="P7:Q7"/>
    <mergeCell ref="P8:Q8"/>
    <mergeCell ref="P11:Q11"/>
    <mergeCell ref="P12:Q12"/>
    <mergeCell ref="P13:Q13"/>
    <mergeCell ref="P15:Q15"/>
    <mergeCell ref="P16:Q16"/>
    <mergeCell ref="P17:Q17"/>
    <mergeCell ref="P18:Q18"/>
    <mergeCell ref="P19:Q19"/>
    <mergeCell ref="D33:F33"/>
    <mergeCell ref="D34:F34"/>
    <mergeCell ref="D35:F35"/>
    <mergeCell ref="K35:M35"/>
    <mergeCell ref="P25:Q25"/>
    <mergeCell ref="P27:Q29"/>
    <mergeCell ref="P30:Q32"/>
    <mergeCell ref="P33:Q33"/>
    <mergeCell ref="P35:Q36"/>
    <mergeCell ref="S27:T29"/>
    <mergeCell ref="S30:T32"/>
    <mergeCell ref="S33:T36"/>
    <mergeCell ref="K33:M34"/>
    <mergeCell ref="K16:M16"/>
    <mergeCell ref="K17:M17"/>
    <mergeCell ref="P20:Q20"/>
    <mergeCell ref="P21:Q21"/>
    <mergeCell ref="P22:Q22"/>
    <mergeCell ref="P23:Q23"/>
    <mergeCell ref="P24:Q2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B529-1227-40F9-8599-8CD360BE81FB}">
  <dimension ref="A1:T36"/>
  <sheetViews>
    <sheetView tabSelected="1" workbookViewId="0">
      <selection activeCell="G18" sqref="G18"/>
    </sheetView>
  </sheetViews>
  <sheetFormatPr defaultColWidth="11.5703125" defaultRowHeight="15" x14ac:dyDescent="0.25"/>
  <cols>
    <col min="4" max="4" width="16.5703125" customWidth="1"/>
    <col min="11" max="11" width="18.42578125" customWidth="1"/>
    <col min="18" max="18" width="19" customWidth="1"/>
  </cols>
  <sheetData>
    <row r="1" spans="1:13" x14ac:dyDescent="0.25">
      <c r="A1" s="50" t="s">
        <v>76</v>
      </c>
      <c r="B1" s="50"/>
      <c r="C1" s="50"/>
      <c r="D1" s="2" t="s">
        <v>66</v>
      </c>
      <c r="E1" s="39"/>
      <c r="F1" s="39"/>
      <c r="H1" s="50" t="s">
        <v>77</v>
      </c>
      <c r="I1" s="50"/>
      <c r="J1" s="50"/>
      <c r="K1" s="2" t="s">
        <v>66</v>
      </c>
      <c r="L1" s="39"/>
      <c r="M1" s="39"/>
    </row>
    <row r="2" spans="1:13" x14ac:dyDescent="0.25">
      <c r="A2" s="2"/>
      <c r="B2" s="2" t="s">
        <v>9</v>
      </c>
      <c r="C2" s="2" t="s">
        <v>10</v>
      </c>
      <c r="D2" s="2">
        <v>20</v>
      </c>
      <c r="E2" s="2"/>
      <c r="F2" s="2"/>
      <c r="H2" s="2"/>
      <c r="I2" s="2" t="s">
        <v>9</v>
      </c>
      <c r="J2" s="2" t="s">
        <v>10</v>
      </c>
      <c r="K2" s="2">
        <v>20</v>
      </c>
      <c r="L2" s="2"/>
      <c r="M2" s="2"/>
    </row>
    <row r="3" spans="1:13" x14ac:dyDescent="0.25">
      <c r="A3" s="7" t="s">
        <v>0</v>
      </c>
      <c r="B3" s="7">
        <f>300</f>
        <v>300</v>
      </c>
      <c r="C3" s="7">
        <v>200</v>
      </c>
      <c r="D3" s="7">
        <f>B3+C3*D2+F3</f>
        <v>4650</v>
      </c>
      <c r="E3" s="3">
        <f>70%</f>
        <v>0.7</v>
      </c>
      <c r="F3" s="4">
        <f>D5*E3</f>
        <v>350</v>
      </c>
      <c r="H3" s="7" t="s">
        <v>0</v>
      </c>
      <c r="I3" s="7">
        <f>90</f>
        <v>90</v>
      </c>
      <c r="J3" s="7">
        <v>100</v>
      </c>
      <c r="K3" s="7">
        <f>I3+J3*K2+M3</f>
        <v>2293</v>
      </c>
      <c r="L3" s="3">
        <f>70%</f>
        <v>0.7</v>
      </c>
      <c r="M3" s="4">
        <f>K5*L3</f>
        <v>203</v>
      </c>
    </row>
    <row r="4" spans="1:13" x14ac:dyDescent="0.25">
      <c r="A4" s="7" t="s">
        <v>1</v>
      </c>
      <c r="B4" s="7">
        <f>50</f>
        <v>50</v>
      </c>
      <c r="C4" s="7">
        <v>5</v>
      </c>
      <c r="D4" s="7">
        <f>B4+C4*D2</f>
        <v>150</v>
      </c>
      <c r="E4" s="2"/>
      <c r="F4" s="2"/>
      <c r="H4" s="7" t="s">
        <v>1</v>
      </c>
      <c r="I4" s="7">
        <f>50</f>
        <v>50</v>
      </c>
      <c r="J4" s="7">
        <v>5</v>
      </c>
      <c r="K4" s="7">
        <f>I4+J4*K2</f>
        <v>150</v>
      </c>
      <c r="L4" s="2"/>
      <c r="M4" s="2"/>
    </row>
    <row r="5" spans="1:13" x14ac:dyDescent="0.25">
      <c r="A5" s="7" t="s">
        <v>2</v>
      </c>
      <c r="B5" s="7">
        <f>100</f>
        <v>100</v>
      </c>
      <c r="C5" s="7">
        <v>20</v>
      </c>
      <c r="D5" s="7">
        <f>B5+C5*D2+F2*D2</f>
        <v>500</v>
      </c>
      <c r="E5" s="39" t="s">
        <v>17</v>
      </c>
      <c r="F5" s="39"/>
      <c r="H5" s="7" t="s">
        <v>2</v>
      </c>
      <c r="I5" s="7">
        <f>90</f>
        <v>90</v>
      </c>
      <c r="J5" s="7">
        <v>10</v>
      </c>
      <c r="K5" s="7">
        <f>I5+J5*K2+M2*K2</f>
        <v>290</v>
      </c>
      <c r="L5" s="39" t="s">
        <v>17</v>
      </c>
      <c r="M5" s="39"/>
    </row>
    <row r="6" spans="1:13" x14ac:dyDescent="0.25">
      <c r="A6" s="8" t="s">
        <v>3</v>
      </c>
      <c r="B6" s="8"/>
      <c r="C6" s="8">
        <v>15</v>
      </c>
      <c r="D6" s="8">
        <f>B6+C6*D2</f>
        <v>300</v>
      </c>
      <c r="E6" s="2"/>
      <c r="F6" s="2"/>
      <c r="H6" s="8" t="s">
        <v>3</v>
      </c>
      <c r="I6" s="8"/>
      <c r="J6" s="8">
        <v>20</v>
      </c>
      <c r="K6" s="8">
        <f>I6+J6*K2</f>
        <v>400</v>
      </c>
      <c r="L6" s="2"/>
      <c r="M6" s="2"/>
    </row>
    <row r="7" spans="1:13" x14ac:dyDescent="0.25">
      <c r="A7" s="8" t="s">
        <v>4</v>
      </c>
      <c r="B7" s="8">
        <v>0</v>
      </c>
      <c r="C7" s="8">
        <v>0</v>
      </c>
      <c r="D7" s="8">
        <f>B7+C7*D2</f>
        <v>0</v>
      </c>
      <c r="E7" s="39" t="s">
        <v>24</v>
      </c>
      <c r="F7" s="39"/>
      <c r="H7" s="8" t="s">
        <v>4</v>
      </c>
      <c r="I7" s="8">
        <v>50</v>
      </c>
      <c r="J7" s="8">
        <v>20</v>
      </c>
      <c r="K7" s="8">
        <f>I7+J7*K2</f>
        <v>450</v>
      </c>
      <c r="L7" s="39" t="s">
        <v>24</v>
      </c>
      <c r="M7" s="39"/>
    </row>
    <row r="8" spans="1:13" x14ac:dyDescent="0.25">
      <c r="A8" s="8" t="s">
        <v>5</v>
      </c>
      <c r="B8" s="8">
        <v>0</v>
      </c>
      <c r="C8" s="8">
        <v>20</v>
      </c>
      <c r="D8" s="8">
        <f>B8+C8*D2+F8</f>
        <v>550</v>
      </c>
      <c r="E8" s="3">
        <f>30%</f>
        <v>0.3</v>
      </c>
      <c r="F8" s="4">
        <f>D5*E8+E8*D7</f>
        <v>150</v>
      </c>
      <c r="H8" s="8" t="s">
        <v>5</v>
      </c>
      <c r="I8" s="8">
        <v>0</v>
      </c>
      <c r="J8" s="8">
        <v>10</v>
      </c>
      <c r="K8" s="8">
        <f>I8+J8*K2+M8</f>
        <v>422</v>
      </c>
      <c r="L8" s="3">
        <f>30%</f>
        <v>0.3</v>
      </c>
      <c r="M8" s="4">
        <f>K5*L8+L8*K7</f>
        <v>222</v>
      </c>
    </row>
    <row r="9" spans="1:13" x14ac:dyDescent="0.25">
      <c r="A9" s="5" t="s">
        <v>11</v>
      </c>
      <c r="B9" s="5">
        <v>0</v>
      </c>
      <c r="C9" s="5">
        <f>90%*C8</f>
        <v>18</v>
      </c>
      <c r="D9" s="5">
        <f>B9+C9*D2+F9</f>
        <v>495</v>
      </c>
      <c r="E9" s="3">
        <v>0.9</v>
      </c>
      <c r="F9" s="2">
        <f>E9*F8</f>
        <v>135</v>
      </c>
      <c r="H9" s="5" t="s">
        <v>11</v>
      </c>
      <c r="I9" s="5">
        <v>0</v>
      </c>
      <c r="J9" s="5">
        <f>90%*J8</f>
        <v>9</v>
      </c>
      <c r="K9" s="5">
        <f>I9+J9*K2+M9</f>
        <v>379.8</v>
      </c>
      <c r="L9" s="3">
        <v>0.9</v>
      </c>
      <c r="M9" s="2">
        <f>L9*M8</f>
        <v>199.8</v>
      </c>
    </row>
    <row r="10" spans="1:13" x14ac:dyDescent="0.25">
      <c r="A10" s="5" t="s">
        <v>22</v>
      </c>
      <c r="B10" s="14">
        <v>0</v>
      </c>
      <c r="C10" s="14">
        <f>0.1*C8/100</f>
        <v>0.02</v>
      </c>
      <c r="D10" s="14">
        <f>B10+C10+F10</f>
        <v>0.16999999999999998</v>
      </c>
      <c r="E10" s="3">
        <v>0.1</v>
      </c>
      <c r="F10" s="15">
        <f>E10*F8/100</f>
        <v>0.15</v>
      </c>
      <c r="H10" s="5" t="s">
        <v>22</v>
      </c>
      <c r="I10" s="14">
        <v>0</v>
      </c>
      <c r="J10" s="14">
        <f>0.1*J8/100</f>
        <v>0.01</v>
      </c>
      <c r="K10" s="14">
        <f>I10+J10*K2+M10</f>
        <v>0.42200000000000004</v>
      </c>
      <c r="L10" s="3">
        <v>0.1</v>
      </c>
      <c r="M10" s="15">
        <f>L10*M8/100</f>
        <v>0.22200000000000003</v>
      </c>
    </row>
    <row r="11" spans="1:13" x14ac:dyDescent="0.25">
      <c r="A11" s="8" t="s">
        <v>6</v>
      </c>
      <c r="B11" s="8">
        <v>0</v>
      </c>
      <c r="C11" s="8">
        <v>10</v>
      </c>
      <c r="D11" s="8">
        <f>B11+C11*D2+F11</f>
        <v>200</v>
      </c>
      <c r="E11" s="3">
        <f>70%</f>
        <v>0.7</v>
      </c>
      <c r="F11" s="2">
        <f>D7*E11</f>
        <v>0</v>
      </c>
      <c r="H11" s="8" t="s">
        <v>6</v>
      </c>
      <c r="I11" s="8">
        <v>0</v>
      </c>
      <c r="J11" s="8">
        <v>10</v>
      </c>
      <c r="K11" s="8">
        <f>I11+J11*K2+M11</f>
        <v>515</v>
      </c>
      <c r="L11" s="3">
        <f>70%</f>
        <v>0.7</v>
      </c>
      <c r="M11" s="2">
        <f>K7*L11</f>
        <v>315</v>
      </c>
    </row>
    <row r="12" spans="1:13" x14ac:dyDescent="0.25">
      <c r="A12" s="5" t="s">
        <v>18</v>
      </c>
      <c r="B12" s="5">
        <v>0</v>
      </c>
      <c r="C12" s="5">
        <f>0.9*C11</f>
        <v>9</v>
      </c>
      <c r="D12" s="5">
        <f>B12+C12+F12</f>
        <v>9</v>
      </c>
      <c r="E12" s="3">
        <v>0.9</v>
      </c>
      <c r="F12" s="2">
        <f>E12*F11</f>
        <v>0</v>
      </c>
      <c r="H12" s="5" t="s">
        <v>18</v>
      </c>
      <c r="I12" s="5">
        <v>0</v>
      </c>
      <c r="J12" s="5">
        <f>0.9*J11</f>
        <v>9</v>
      </c>
      <c r="K12" s="5">
        <f>I12+J12+M12</f>
        <v>292.5</v>
      </c>
      <c r="L12" s="3">
        <v>0.9</v>
      </c>
      <c r="M12" s="2">
        <f>L12*M11</f>
        <v>283.5</v>
      </c>
    </row>
    <row r="13" spans="1:13" x14ac:dyDescent="0.25">
      <c r="A13" s="5" t="s">
        <v>23</v>
      </c>
      <c r="B13" s="5">
        <f>15%</f>
        <v>0.15</v>
      </c>
      <c r="C13" s="9">
        <f>10%*C11/100</f>
        <v>0.01</v>
      </c>
      <c r="D13" s="14">
        <f>IF((B13+C13+F13)&gt;50%,0.5,(B13+C13+F13))</f>
        <v>0.16</v>
      </c>
      <c r="E13" s="3">
        <v>0.1</v>
      </c>
      <c r="F13" s="15">
        <f>E13*F11/100</f>
        <v>0</v>
      </c>
      <c r="H13" s="5" t="s">
        <v>23</v>
      </c>
      <c r="I13" s="5">
        <v>0</v>
      </c>
      <c r="J13" s="9">
        <f>10%*J11/100</f>
        <v>0.01</v>
      </c>
      <c r="K13" s="14">
        <f>IF((I13+J13+M13)&gt;50%,0.5,(I13+J13+M13))</f>
        <v>0.32500000000000001</v>
      </c>
      <c r="L13" s="3">
        <v>0.1</v>
      </c>
      <c r="M13" s="15">
        <f>L13*M11/100</f>
        <v>0.315</v>
      </c>
    </row>
    <row r="14" spans="1:13" x14ac:dyDescent="0.25">
      <c r="A14" s="37" t="s">
        <v>13</v>
      </c>
      <c r="B14" s="37"/>
      <c r="C14" s="43" t="s">
        <v>14</v>
      </c>
      <c r="D14" s="19">
        <f>0.5*(D5+D9)</f>
        <v>497.5</v>
      </c>
      <c r="E14" s="20"/>
      <c r="F14" s="21"/>
      <c r="H14" s="51" t="s">
        <v>13</v>
      </c>
      <c r="I14" s="52"/>
      <c r="J14" s="2" t="s">
        <v>14</v>
      </c>
      <c r="K14" s="19">
        <f>0.4*K7+K9</f>
        <v>559.79999999999995</v>
      </c>
      <c r="L14" s="20"/>
      <c r="M14" s="21"/>
    </row>
    <row r="15" spans="1:13" x14ac:dyDescent="0.25">
      <c r="A15" s="37"/>
      <c r="B15" s="37"/>
      <c r="C15" s="44"/>
      <c r="D15" s="22"/>
      <c r="E15" s="23"/>
      <c r="F15" s="24"/>
      <c r="H15" s="53"/>
      <c r="I15" s="54"/>
      <c r="J15" s="2" t="s">
        <v>21</v>
      </c>
      <c r="K15" s="22"/>
      <c r="L15" s="23"/>
      <c r="M15" s="24"/>
    </row>
    <row r="16" spans="1:13" x14ac:dyDescent="0.25">
      <c r="A16" s="37" t="s">
        <v>12</v>
      </c>
      <c r="B16" s="37"/>
      <c r="C16" s="45" t="s">
        <v>14</v>
      </c>
      <c r="D16" s="40">
        <f>('dmg con eq_final'!D14+'dmg con eq_final'!K14+'dmg con eq_final'!D33)-0.7*D6</f>
        <v>2613.8000000000002</v>
      </c>
      <c r="E16" s="41"/>
      <c r="F16" s="42"/>
      <c r="H16" s="38" t="s">
        <v>12</v>
      </c>
      <c r="I16" s="38"/>
      <c r="J16" s="6" t="s">
        <v>14</v>
      </c>
      <c r="K16" s="40">
        <f>'dmg con eq_final'!D14+'dmg con eq_final'!K14+'dmg con eq_final'!D33-0.7*K6</f>
        <v>2543.8000000000002</v>
      </c>
      <c r="L16" s="41"/>
      <c r="M16" s="42"/>
    </row>
    <row r="17" spans="1:20" x14ac:dyDescent="0.25">
      <c r="A17" s="37"/>
      <c r="B17" s="37"/>
      <c r="C17" s="46"/>
      <c r="D17" s="47"/>
      <c r="E17" s="48"/>
      <c r="F17" s="49"/>
      <c r="H17" s="38"/>
      <c r="I17" s="38"/>
      <c r="J17" s="6" t="s">
        <v>21</v>
      </c>
      <c r="K17" s="47"/>
      <c r="L17" s="48"/>
      <c r="M17" s="49"/>
    </row>
    <row r="20" spans="1:20" x14ac:dyDescent="0.25">
      <c r="A20" s="50" t="s">
        <v>78</v>
      </c>
      <c r="B20" s="50"/>
      <c r="C20" s="50"/>
      <c r="D20" s="2" t="s">
        <v>66</v>
      </c>
      <c r="E20" s="39"/>
      <c r="F20" s="39"/>
      <c r="H20" s="50" t="s">
        <v>74</v>
      </c>
      <c r="I20" s="50"/>
      <c r="J20" s="50"/>
      <c r="K20" s="2" t="s">
        <v>66</v>
      </c>
      <c r="L20" s="39"/>
      <c r="M20" s="39"/>
      <c r="O20" s="39" t="s">
        <v>75</v>
      </c>
      <c r="P20" s="39"/>
      <c r="Q20" s="39"/>
      <c r="R20" s="2" t="s">
        <v>66</v>
      </c>
      <c r="S20" s="39"/>
      <c r="T20" s="39"/>
    </row>
    <row r="21" spans="1:20" x14ac:dyDescent="0.25">
      <c r="A21" s="2"/>
      <c r="B21" s="2" t="s">
        <v>9</v>
      </c>
      <c r="C21" s="2" t="s">
        <v>10</v>
      </c>
      <c r="D21" s="2">
        <v>20</v>
      </c>
      <c r="E21" s="2"/>
      <c r="F21" s="2"/>
      <c r="H21" s="2"/>
      <c r="I21" s="2" t="s">
        <v>9</v>
      </c>
      <c r="J21" s="2" t="s">
        <v>10</v>
      </c>
      <c r="K21" s="2">
        <v>20</v>
      </c>
      <c r="L21" s="2"/>
      <c r="M21" s="2"/>
      <c r="O21" s="2"/>
      <c r="P21" s="2" t="s">
        <v>9</v>
      </c>
      <c r="Q21" s="2" t="s">
        <v>10</v>
      </c>
      <c r="R21" s="2">
        <v>20</v>
      </c>
      <c r="S21" s="2"/>
      <c r="T21" s="2"/>
    </row>
    <row r="22" spans="1:20" x14ac:dyDescent="0.25">
      <c r="A22" s="7" t="s">
        <v>0</v>
      </c>
      <c r="B22" s="7">
        <f>90</f>
        <v>90</v>
      </c>
      <c r="C22" s="7">
        <v>200</v>
      </c>
      <c r="D22" s="7">
        <f>B22+C22*D21+F22</f>
        <v>4433</v>
      </c>
      <c r="E22" s="3">
        <f>70%</f>
        <v>0.7</v>
      </c>
      <c r="F22" s="4">
        <f>D24*E22</f>
        <v>343</v>
      </c>
      <c r="H22" s="7" t="s">
        <v>0</v>
      </c>
      <c r="I22" s="7">
        <f>90</f>
        <v>90</v>
      </c>
      <c r="J22" s="7">
        <v>200</v>
      </c>
      <c r="K22" s="7">
        <f>I22+J22*K21+M22</f>
        <v>4433</v>
      </c>
      <c r="L22" s="3">
        <f>70%</f>
        <v>0.7</v>
      </c>
      <c r="M22" s="4">
        <f>K24*L22</f>
        <v>343</v>
      </c>
      <c r="O22" s="7" t="s">
        <v>0</v>
      </c>
      <c r="P22" s="7">
        <v>500</v>
      </c>
      <c r="Q22" s="7">
        <v>500</v>
      </c>
      <c r="R22" s="7">
        <f>P22+Q22*R21+T22</f>
        <v>10850</v>
      </c>
      <c r="S22" s="3">
        <f>70%</f>
        <v>0.7</v>
      </c>
      <c r="T22" s="4">
        <f>R24*S22</f>
        <v>350</v>
      </c>
    </row>
    <row r="23" spans="1:20" x14ac:dyDescent="0.25">
      <c r="A23" s="7" t="s">
        <v>1</v>
      </c>
      <c r="B23" s="7">
        <f>50</f>
        <v>50</v>
      </c>
      <c r="C23" s="7">
        <v>5</v>
      </c>
      <c r="D23" s="7">
        <f>B23+C23*D21</f>
        <v>150</v>
      </c>
      <c r="E23" s="2"/>
      <c r="F23" s="2"/>
      <c r="H23" s="7" t="s">
        <v>1</v>
      </c>
      <c r="I23" s="7">
        <f>50</f>
        <v>50</v>
      </c>
      <c r="J23" s="7">
        <v>5</v>
      </c>
      <c r="K23" s="7">
        <f>I23+J23*K21</f>
        <v>150</v>
      </c>
      <c r="L23" s="2"/>
      <c r="M23" s="2"/>
      <c r="O23" s="7" t="s">
        <v>1</v>
      </c>
      <c r="P23" s="7">
        <f>50</f>
        <v>50</v>
      </c>
      <c r="Q23" s="7">
        <v>5</v>
      </c>
      <c r="R23" s="7">
        <f>P23+Q23*R21</f>
        <v>150</v>
      </c>
      <c r="S23" s="2"/>
      <c r="T23" s="2"/>
    </row>
    <row r="24" spans="1:20" x14ac:dyDescent="0.25">
      <c r="A24" s="7" t="s">
        <v>2</v>
      </c>
      <c r="B24" s="7">
        <f>90</f>
        <v>90</v>
      </c>
      <c r="C24" s="7">
        <v>20</v>
      </c>
      <c r="D24" s="7">
        <f>B24+C24*D21+F21*D21</f>
        <v>490</v>
      </c>
      <c r="E24" s="39" t="s">
        <v>17</v>
      </c>
      <c r="F24" s="39"/>
      <c r="H24" s="7" t="s">
        <v>2</v>
      </c>
      <c r="I24" s="7">
        <f>90</f>
        <v>90</v>
      </c>
      <c r="J24" s="7">
        <v>20</v>
      </c>
      <c r="K24" s="7">
        <f>I24+J24*K21+M21*K21</f>
        <v>490</v>
      </c>
      <c r="L24" s="39" t="s">
        <v>17</v>
      </c>
      <c r="M24" s="39"/>
      <c r="O24" s="7" t="s">
        <v>2</v>
      </c>
      <c r="P24" s="7">
        <f>100</f>
        <v>100</v>
      </c>
      <c r="Q24" s="7">
        <v>20</v>
      </c>
      <c r="R24" s="7">
        <f>P24+Q24*R21</f>
        <v>500</v>
      </c>
      <c r="S24" s="39" t="s">
        <v>17</v>
      </c>
      <c r="T24" s="39"/>
    </row>
    <row r="25" spans="1:20" x14ac:dyDescent="0.25">
      <c r="A25" s="8" t="s">
        <v>3</v>
      </c>
      <c r="B25" s="8"/>
      <c r="C25" s="8">
        <v>20</v>
      </c>
      <c r="D25" s="8">
        <f>B25+C25*D21</f>
        <v>400</v>
      </c>
      <c r="E25" s="2"/>
      <c r="F25" s="2"/>
      <c r="H25" s="8" t="s">
        <v>3</v>
      </c>
      <c r="I25" s="8"/>
      <c r="J25" s="8">
        <v>20</v>
      </c>
      <c r="K25" s="8">
        <f>I25+J25*K21</f>
        <v>400</v>
      </c>
      <c r="L25" s="2"/>
      <c r="M25" s="2"/>
      <c r="O25" s="8" t="s">
        <v>3</v>
      </c>
      <c r="P25" s="8"/>
      <c r="Q25" s="8">
        <v>20</v>
      </c>
      <c r="R25" s="8">
        <f>P25+Q25*R21</f>
        <v>400</v>
      </c>
      <c r="S25" s="2"/>
      <c r="T25" s="2"/>
    </row>
    <row r="26" spans="1:20" x14ac:dyDescent="0.25">
      <c r="A26" s="8" t="s">
        <v>4</v>
      </c>
      <c r="B26" s="8">
        <v>50</v>
      </c>
      <c r="C26" s="8">
        <v>20</v>
      </c>
      <c r="D26" s="8">
        <f>B26+C26*D21</f>
        <v>450</v>
      </c>
      <c r="E26" s="39" t="s">
        <v>24</v>
      </c>
      <c r="F26" s="39"/>
      <c r="H26" s="8" t="s">
        <v>4</v>
      </c>
      <c r="I26" s="8">
        <v>50</v>
      </c>
      <c r="J26" s="8">
        <v>20</v>
      </c>
      <c r="K26" s="8">
        <f>I26+J26*K21</f>
        <v>450</v>
      </c>
      <c r="L26" s="39" t="s">
        <v>24</v>
      </c>
      <c r="M26" s="39"/>
      <c r="O26" s="8" t="s">
        <v>4</v>
      </c>
      <c r="P26" s="8">
        <v>0</v>
      </c>
      <c r="Q26" s="8">
        <v>0</v>
      </c>
      <c r="R26" s="8">
        <f>P26+Q26*R21</f>
        <v>0</v>
      </c>
      <c r="S26" s="39" t="s">
        <v>24</v>
      </c>
      <c r="T26" s="39"/>
    </row>
    <row r="27" spans="1:20" x14ac:dyDescent="0.25">
      <c r="A27" s="8" t="s">
        <v>5</v>
      </c>
      <c r="B27" s="8">
        <v>0</v>
      </c>
      <c r="C27" s="8">
        <v>10</v>
      </c>
      <c r="D27" s="8">
        <f>B27+C27*D21+F27</f>
        <v>482</v>
      </c>
      <c r="E27" s="3">
        <f>30%</f>
        <v>0.3</v>
      </c>
      <c r="F27" s="4">
        <f>D24*E27+E27*D26</f>
        <v>282</v>
      </c>
      <c r="H27" s="8" t="s">
        <v>5</v>
      </c>
      <c r="I27" s="8">
        <v>0</v>
      </c>
      <c r="J27" s="8">
        <v>10</v>
      </c>
      <c r="K27" s="8">
        <f>I27+J27*K21+M27</f>
        <v>482</v>
      </c>
      <c r="L27" s="3">
        <f>30%</f>
        <v>0.3</v>
      </c>
      <c r="M27" s="4">
        <f>K24*L27+L27*K26</f>
        <v>282</v>
      </c>
      <c r="O27" s="8" t="s">
        <v>5</v>
      </c>
      <c r="P27" s="8">
        <v>0</v>
      </c>
      <c r="Q27" s="8">
        <v>10</v>
      </c>
      <c r="R27" s="8">
        <f>P27+Q27*R21+T27</f>
        <v>350</v>
      </c>
      <c r="S27" s="3">
        <f>30%</f>
        <v>0.3</v>
      </c>
      <c r="T27" s="4">
        <f>R24*S27+S27*R26</f>
        <v>150</v>
      </c>
    </row>
    <row r="28" spans="1:20" x14ac:dyDescent="0.25">
      <c r="A28" s="5" t="s">
        <v>11</v>
      </c>
      <c r="B28" s="5">
        <v>0</v>
      </c>
      <c r="C28" s="5">
        <f>90%*C27</f>
        <v>9</v>
      </c>
      <c r="D28" s="5">
        <f>B28+C28*D21+F28</f>
        <v>433.8</v>
      </c>
      <c r="E28" s="3">
        <v>0.9</v>
      </c>
      <c r="F28" s="2">
        <f>E28*F27</f>
        <v>253.8</v>
      </c>
      <c r="H28" s="5" t="s">
        <v>11</v>
      </c>
      <c r="I28" s="5">
        <v>0</v>
      </c>
      <c r="J28" s="5">
        <f>90%*J27</f>
        <v>9</v>
      </c>
      <c r="K28" s="5">
        <f>I28+J28*K21+M28</f>
        <v>433.8</v>
      </c>
      <c r="L28" s="3">
        <v>0.9</v>
      </c>
      <c r="M28" s="2">
        <f>L28*M27</f>
        <v>253.8</v>
      </c>
      <c r="O28" s="5" t="s">
        <v>11</v>
      </c>
      <c r="P28" s="5">
        <v>0</v>
      </c>
      <c r="Q28" s="5">
        <f>90%*Q27</f>
        <v>9</v>
      </c>
      <c r="R28" s="5">
        <f>P28+Q28*R21+T28</f>
        <v>315</v>
      </c>
      <c r="S28" s="3">
        <v>0.9</v>
      </c>
      <c r="T28" s="2">
        <f>S28*T27</f>
        <v>135</v>
      </c>
    </row>
    <row r="29" spans="1:20" x14ac:dyDescent="0.25">
      <c r="A29" s="5" t="s">
        <v>22</v>
      </c>
      <c r="B29" s="14">
        <v>0</v>
      </c>
      <c r="C29" s="14">
        <f>0.1*C27/100</f>
        <v>0.01</v>
      </c>
      <c r="D29" s="14">
        <f>B29+C29*D21+F29</f>
        <v>0.48200000000000004</v>
      </c>
      <c r="E29" s="3">
        <v>0.1</v>
      </c>
      <c r="F29" s="15">
        <f>E29*F27/100</f>
        <v>0.28200000000000003</v>
      </c>
      <c r="H29" s="5" t="s">
        <v>22</v>
      </c>
      <c r="I29" s="14">
        <v>0</v>
      </c>
      <c r="J29" s="14">
        <f>0.1*J27/100</f>
        <v>0.01</v>
      </c>
      <c r="K29" s="14">
        <f>I29+J29*K21+M29</f>
        <v>0.48200000000000004</v>
      </c>
      <c r="L29" s="3">
        <v>0.1</v>
      </c>
      <c r="M29" s="15">
        <f>L29*M27/100</f>
        <v>0.28200000000000003</v>
      </c>
      <c r="O29" s="5" t="s">
        <v>22</v>
      </c>
      <c r="P29" s="14">
        <v>0</v>
      </c>
      <c r="Q29" s="14">
        <f>0.1*Q27/100</f>
        <v>0.01</v>
      </c>
      <c r="R29" s="14">
        <f>P29+Q29*R21+T29</f>
        <v>0.35</v>
      </c>
      <c r="S29" s="3">
        <v>0.1</v>
      </c>
      <c r="T29" s="15">
        <f>S29*T27/100</f>
        <v>0.15</v>
      </c>
    </row>
    <row r="30" spans="1:20" x14ac:dyDescent="0.25">
      <c r="A30" s="8" t="s">
        <v>6</v>
      </c>
      <c r="B30" s="8">
        <v>0</v>
      </c>
      <c r="C30" s="8">
        <v>10</v>
      </c>
      <c r="D30" s="8">
        <f>B30+C30*D21+F30</f>
        <v>515</v>
      </c>
      <c r="E30" s="3">
        <f>70%</f>
        <v>0.7</v>
      </c>
      <c r="F30" s="2">
        <f>D26*E30</f>
        <v>315</v>
      </c>
      <c r="H30" s="8" t="s">
        <v>6</v>
      </c>
      <c r="I30" s="8">
        <v>0</v>
      </c>
      <c r="J30" s="8">
        <v>10</v>
      </c>
      <c r="K30" s="8">
        <f>I30+J30*K21+M30</f>
        <v>515</v>
      </c>
      <c r="L30" s="3">
        <f>70%</f>
        <v>0.7</v>
      </c>
      <c r="M30" s="2">
        <f>K26*L30</f>
        <v>315</v>
      </c>
      <c r="O30" s="8" t="s">
        <v>6</v>
      </c>
      <c r="P30" s="8">
        <v>0</v>
      </c>
      <c r="Q30" s="8">
        <v>10</v>
      </c>
      <c r="R30" s="8">
        <f>P30+Q30*R21+T30</f>
        <v>200</v>
      </c>
      <c r="S30" s="3">
        <f>70%</f>
        <v>0.7</v>
      </c>
      <c r="T30" s="2">
        <f>R26*S30</f>
        <v>0</v>
      </c>
    </row>
    <row r="31" spans="1:20" x14ac:dyDescent="0.25">
      <c r="A31" s="5" t="s">
        <v>18</v>
      </c>
      <c r="B31" s="5">
        <v>0</v>
      </c>
      <c r="C31" s="5">
        <f>0.9*C30</f>
        <v>9</v>
      </c>
      <c r="D31" s="5">
        <f>B31+C31+F31</f>
        <v>292.5</v>
      </c>
      <c r="E31" s="3">
        <v>0.9</v>
      </c>
      <c r="F31" s="2">
        <f>E31*F30</f>
        <v>283.5</v>
      </c>
      <c r="H31" s="5" t="s">
        <v>18</v>
      </c>
      <c r="I31" s="5">
        <v>0</v>
      </c>
      <c r="J31" s="5">
        <f>0.9*J30</f>
        <v>9</v>
      </c>
      <c r="K31" s="5">
        <f>I31+J31+M31</f>
        <v>292.5</v>
      </c>
      <c r="L31" s="3">
        <v>0.9</v>
      </c>
      <c r="M31" s="2">
        <f>L31*M30</f>
        <v>283.5</v>
      </c>
      <c r="O31" s="5" t="s">
        <v>18</v>
      </c>
      <c r="P31" s="5">
        <v>0</v>
      </c>
      <c r="Q31" s="5">
        <f>0.9*Q30</f>
        <v>9</v>
      </c>
      <c r="R31" s="5">
        <f>P31+Q31+T31</f>
        <v>9</v>
      </c>
      <c r="S31" s="3">
        <v>0.9</v>
      </c>
      <c r="T31" s="2">
        <f>S31*T30</f>
        <v>0</v>
      </c>
    </row>
    <row r="32" spans="1:20" x14ac:dyDescent="0.25">
      <c r="A32" s="5" t="s">
        <v>23</v>
      </c>
      <c r="B32" s="5">
        <v>0</v>
      </c>
      <c r="C32" s="9">
        <f>10%*C30/100</f>
        <v>0.01</v>
      </c>
      <c r="D32" s="14">
        <f>IF((B32+C32+F32)&gt;50%,0.5,(B32+C32+F32))</f>
        <v>0.32500000000000001</v>
      </c>
      <c r="E32" s="3">
        <v>0.1</v>
      </c>
      <c r="F32" s="15">
        <f>E32*F30/100</f>
        <v>0.315</v>
      </c>
      <c r="H32" s="5" t="s">
        <v>23</v>
      </c>
      <c r="I32" s="5">
        <v>0</v>
      </c>
      <c r="J32" s="9">
        <f>10%*J30/100</f>
        <v>0.01</v>
      </c>
      <c r="K32" s="14">
        <f>IF((I32+J32+M32)&gt;50%,0.5,(I32+J32+M32))</f>
        <v>0.32500000000000001</v>
      </c>
      <c r="L32" s="3">
        <v>0.1</v>
      </c>
      <c r="M32" s="15">
        <f>L32*M30/100</f>
        <v>0.315</v>
      </c>
      <c r="O32" s="5" t="s">
        <v>23</v>
      </c>
      <c r="P32" s="5">
        <v>0</v>
      </c>
      <c r="Q32" s="9">
        <f>10%*Q30/100</f>
        <v>0.01</v>
      </c>
      <c r="R32" s="14">
        <f>IF((P32+Q32+T32)&gt;50%,0.5,(P32+Q32+T32))</f>
        <v>0.01</v>
      </c>
      <c r="S32" s="3">
        <v>0.1</v>
      </c>
      <c r="T32" s="15">
        <f>S32*T30/100</f>
        <v>0</v>
      </c>
    </row>
    <row r="33" spans="1:20" x14ac:dyDescent="0.25">
      <c r="A33" s="51" t="s">
        <v>13</v>
      </c>
      <c r="B33" s="52"/>
      <c r="C33" s="2" t="s">
        <v>14</v>
      </c>
      <c r="D33" s="19">
        <f>0.8*D24+D28</f>
        <v>825.8</v>
      </c>
      <c r="E33" s="20"/>
      <c r="F33" s="21"/>
      <c r="H33" s="51" t="s">
        <v>13</v>
      </c>
      <c r="I33" s="52"/>
      <c r="J33" s="2" t="s">
        <v>14</v>
      </c>
      <c r="K33" s="19">
        <f>0.8*K24+K28</f>
        <v>825.8</v>
      </c>
      <c r="L33" s="20"/>
      <c r="M33" s="21"/>
      <c r="O33" s="37" t="s">
        <v>13</v>
      </c>
      <c r="P33" s="37"/>
      <c r="Q33" s="2" t="s">
        <v>14</v>
      </c>
      <c r="R33" s="19">
        <f>0.5*R24+R28</f>
        <v>565</v>
      </c>
      <c r="S33" s="20"/>
      <c r="T33" s="21"/>
    </row>
    <row r="34" spans="1:20" x14ac:dyDescent="0.25">
      <c r="A34" s="53"/>
      <c r="B34" s="54"/>
      <c r="C34" s="2" t="s">
        <v>21</v>
      </c>
      <c r="D34" s="22"/>
      <c r="E34" s="23"/>
      <c r="F34" s="24"/>
      <c r="H34" s="53"/>
      <c r="I34" s="54"/>
      <c r="J34" s="2" t="s">
        <v>21</v>
      </c>
      <c r="K34" s="22"/>
      <c r="L34" s="23"/>
      <c r="M34" s="24"/>
      <c r="O34" s="37"/>
      <c r="P34" s="37"/>
      <c r="Q34" s="2" t="s">
        <v>21</v>
      </c>
      <c r="R34" s="22">
        <f>R33*150%</f>
        <v>847.5</v>
      </c>
      <c r="S34" s="23"/>
      <c r="T34" s="24"/>
    </row>
    <row r="35" spans="1:20" x14ac:dyDescent="0.25">
      <c r="A35" s="38" t="s">
        <v>12</v>
      </c>
      <c r="B35" s="38"/>
      <c r="C35" s="6" t="s">
        <v>14</v>
      </c>
      <c r="D35" s="40">
        <f>'dmg con eq_final'!D14+'dmg con eq_final'!K14+'dmg con eq_final'!D33-0.7*D25</f>
        <v>2543.8000000000002</v>
      </c>
      <c r="E35" s="41"/>
      <c r="F35" s="42"/>
      <c r="H35" s="38" t="s">
        <v>12</v>
      </c>
      <c r="I35" s="38"/>
      <c r="J35" s="6" t="s">
        <v>14</v>
      </c>
      <c r="K35" s="40">
        <f>'dmg con eq_final'!K14+'dmg con eq_final'!D14+'dmg con eq_final'!D33-0.7*K25</f>
        <v>2543.8000000000002</v>
      </c>
      <c r="L35" s="41"/>
      <c r="M35" s="42"/>
      <c r="O35" s="38" t="s">
        <v>12</v>
      </c>
      <c r="P35" s="38"/>
      <c r="Q35" s="6" t="s">
        <v>14</v>
      </c>
      <c r="R35" s="40">
        <f>'dmg con eq_final'!D14+'dmg con eq_final'!K14+'dmg con eq_final'!D33-0.7*R25</f>
        <v>2543.8000000000002</v>
      </c>
      <c r="S35" s="41"/>
      <c r="T35" s="42"/>
    </row>
    <row r="36" spans="1:20" x14ac:dyDescent="0.25">
      <c r="A36" s="38"/>
      <c r="B36" s="38"/>
      <c r="C36" s="6" t="s">
        <v>21</v>
      </c>
      <c r="D36" s="47"/>
      <c r="E36" s="48"/>
      <c r="F36" s="49"/>
      <c r="H36" s="38"/>
      <c r="I36" s="38"/>
      <c r="J36" s="6" t="s">
        <v>21</v>
      </c>
      <c r="K36" s="47"/>
      <c r="L36" s="48"/>
      <c r="M36" s="49"/>
      <c r="O36" s="38"/>
      <c r="P36" s="38"/>
      <c r="Q36" s="6" t="s">
        <v>21</v>
      </c>
      <c r="R36" s="28"/>
      <c r="S36" s="29"/>
      <c r="T36" s="30"/>
    </row>
  </sheetData>
  <mergeCells count="44">
    <mergeCell ref="A16:B17"/>
    <mergeCell ref="E1:F1"/>
    <mergeCell ref="A1:C1"/>
    <mergeCell ref="E5:F5"/>
    <mergeCell ref="E7:F7"/>
    <mergeCell ref="A14:B15"/>
    <mergeCell ref="S20:T20"/>
    <mergeCell ref="H1:J1"/>
    <mergeCell ref="L1:M1"/>
    <mergeCell ref="L5:M5"/>
    <mergeCell ref="L7:M7"/>
    <mergeCell ref="H14:I15"/>
    <mergeCell ref="H16:I17"/>
    <mergeCell ref="A35:B36"/>
    <mergeCell ref="H20:J20"/>
    <mergeCell ref="L20:M20"/>
    <mergeCell ref="L24:M24"/>
    <mergeCell ref="L26:M26"/>
    <mergeCell ref="H33:I34"/>
    <mergeCell ref="H35:I36"/>
    <mergeCell ref="D35:F36"/>
    <mergeCell ref="K33:M34"/>
    <mergeCell ref="K35:M36"/>
    <mergeCell ref="E24:F24"/>
    <mergeCell ref="E26:F26"/>
    <mergeCell ref="A33:B34"/>
    <mergeCell ref="A20:C20"/>
    <mergeCell ref="E20:F20"/>
    <mergeCell ref="O35:P36"/>
    <mergeCell ref="R35:T35"/>
    <mergeCell ref="R36:T36"/>
    <mergeCell ref="C14:C15"/>
    <mergeCell ref="C16:C17"/>
    <mergeCell ref="D14:F15"/>
    <mergeCell ref="D16:F17"/>
    <mergeCell ref="K14:M15"/>
    <mergeCell ref="K16:M17"/>
    <mergeCell ref="D33:F34"/>
    <mergeCell ref="S24:T24"/>
    <mergeCell ref="S26:T26"/>
    <mergeCell ref="O33:P34"/>
    <mergeCell ref="R33:T33"/>
    <mergeCell ref="R34:T34"/>
    <mergeCell ref="O20:Q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1518-67F9-4056-B58D-639CBAF871EA}">
  <dimension ref="A1:E9"/>
  <sheetViews>
    <sheetView workbookViewId="0">
      <selection activeCell="B3" sqref="B3"/>
    </sheetView>
  </sheetViews>
  <sheetFormatPr defaultColWidth="11.5703125" defaultRowHeight="15" x14ac:dyDescent="0.25"/>
  <sheetData>
    <row r="1" spans="1:5" x14ac:dyDescent="0.25">
      <c r="A1" s="2" t="s">
        <v>29</v>
      </c>
      <c r="B1" s="39" t="s">
        <v>30</v>
      </c>
      <c r="C1" s="39"/>
      <c r="D1" s="1" t="s">
        <v>31</v>
      </c>
      <c r="E1" s="1"/>
    </row>
    <row r="2" spans="1:5" x14ac:dyDescent="0.25">
      <c r="A2" s="2"/>
      <c r="B2" s="2" t="s">
        <v>32</v>
      </c>
      <c r="C2" s="2" t="s">
        <v>33</v>
      </c>
      <c r="D2" s="2" t="s">
        <v>32</v>
      </c>
      <c r="E2" s="2" t="s">
        <v>33</v>
      </c>
    </row>
    <row r="3" spans="1:5" x14ac:dyDescent="0.25">
      <c r="A3" s="2" t="s">
        <v>34</v>
      </c>
      <c r="B3" s="2">
        <v>30</v>
      </c>
      <c r="C3" s="2">
        <v>50</v>
      </c>
      <c r="D3" s="3">
        <f>-10%</f>
        <v>-0.1</v>
      </c>
      <c r="E3" s="3">
        <f>-30%</f>
        <v>-0.3</v>
      </c>
    </row>
    <row r="4" spans="1:5" x14ac:dyDescent="0.25">
      <c r="A4" s="2" t="s">
        <v>35</v>
      </c>
      <c r="B4" s="2">
        <v>30</v>
      </c>
      <c r="C4" s="2">
        <v>50</v>
      </c>
      <c r="D4" s="3">
        <f t="shared" ref="D4:D8" si="0">-10%</f>
        <v>-0.1</v>
      </c>
      <c r="E4" s="3">
        <f t="shared" ref="E4:E8" si="1">-30%</f>
        <v>-0.3</v>
      </c>
    </row>
    <row r="5" spans="1:5" x14ac:dyDescent="0.25">
      <c r="A5" s="2" t="s">
        <v>36</v>
      </c>
      <c r="B5" s="2">
        <v>30</v>
      </c>
      <c r="C5" s="2">
        <v>50</v>
      </c>
      <c r="D5" s="3">
        <f t="shared" si="0"/>
        <v>-0.1</v>
      </c>
      <c r="E5" s="3">
        <f t="shared" si="1"/>
        <v>-0.3</v>
      </c>
    </row>
    <row r="6" spans="1:5" x14ac:dyDescent="0.25">
      <c r="A6" s="2" t="s">
        <v>37</v>
      </c>
      <c r="B6" s="2">
        <v>30</v>
      </c>
      <c r="C6" s="2">
        <v>50</v>
      </c>
      <c r="D6" s="3">
        <f t="shared" si="0"/>
        <v>-0.1</v>
      </c>
      <c r="E6" s="3">
        <f t="shared" si="1"/>
        <v>-0.3</v>
      </c>
    </row>
    <row r="7" spans="1:5" x14ac:dyDescent="0.25">
      <c r="A7" s="2" t="s">
        <v>38</v>
      </c>
      <c r="B7" s="2">
        <v>30</v>
      </c>
      <c r="C7" s="2">
        <v>50</v>
      </c>
      <c r="D7" s="3">
        <f t="shared" si="0"/>
        <v>-0.1</v>
      </c>
      <c r="E7" s="3">
        <f t="shared" si="1"/>
        <v>-0.3</v>
      </c>
    </row>
    <row r="8" spans="1:5" x14ac:dyDescent="0.25">
      <c r="A8" s="2" t="s">
        <v>39</v>
      </c>
      <c r="B8" s="2">
        <v>30</v>
      </c>
      <c r="C8" s="2">
        <v>50</v>
      </c>
      <c r="D8" s="3">
        <f t="shared" si="0"/>
        <v>-0.1</v>
      </c>
      <c r="E8" s="3">
        <f t="shared" si="1"/>
        <v>-0.3</v>
      </c>
    </row>
    <row r="9" spans="1:5" x14ac:dyDescent="0.25">
      <c r="D9" s="11"/>
    </row>
  </sheetData>
  <mergeCells count="1">
    <mergeCell ref="B1:C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dmg con eq_final</vt:lpstr>
      <vt:lpstr>monster</vt:lpstr>
      <vt:lpstr>gema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2019-05-12T16:59:03Z</dcterms:modified>
</cp:coreProperties>
</file>