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\Desktop\Consulting\Cost Calculation Tool\Amel's original files\Saved in modern excel\Webapp\"/>
    </mc:Choice>
  </mc:AlternateContent>
  <xr:revisionPtr revIDLastSave="0" documentId="13_ncr:1_{6AA47BA5-261B-42AC-8C53-037F27B4F7FC}" xr6:coauthVersionLast="47" xr6:coauthVersionMax="47" xr10:uidLastSave="{00000000-0000-0000-0000-000000000000}"/>
  <bookViews>
    <workbookView xWindow="14295" yWindow="0" windowWidth="14610" windowHeight="15585" tabRatio="950" xr2:uid="{00000000-000D-0000-FFFF-FFFF00000000}"/>
  </bookViews>
  <sheets>
    <sheet name="Price Calculator" sheetId="23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3" i="23" l="1"/>
  <c r="B119" i="23"/>
  <c r="C70" i="23"/>
  <c r="B190" i="23"/>
  <c r="B153" i="23"/>
  <c r="H162" i="23" s="1"/>
  <c r="B154" i="23"/>
  <c r="J161" i="23" s="1"/>
  <c r="D160" i="23"/>
  <c r="D170" i="23" s="1"/>
  <c r="F161" i="23"/>
  <c r="F162" i="23"/>
  <c r="E163" i="23"/>
  <c r="F163" i="23" s="1"/>
  <c r="F164" i="23"/>
  <c r="E165" i="23"/>
  <c r="F165" i="23" s="1"/>
  <c r="E166" i="23"/>
  <c r="F166" i="23" s="1"/>
  <c r="B170" i="23"/>
  <c r="C170" i="23"/>
  <c r="H99" i="23"/>
  <c r="H100" i="23"/>
  <c r="C101" i="23"/>
  <c r="H101" i="23" s="1"/>
  <c r="C102" i="23"/>
  <c r="H102" i="23" s="1"/>
  <c r="C103" i="23"/>
  <c r="H103" i="23" s="1"/>
  <c r="F104" i="23"/>
  <c r="F105" i="23"/>
  <c r="H107" i="23"/>
  <c r="B112" i="23"/>
  <c r="B113" i="23"/>
  <c r="B114" i="23"/>
  <c r="C122" i="23"/>
  <c r="D126" i="23"/>
  <c r="D127" i="23"/>
  <c r="F127" i="23" s="1"/>
  <c r="C128" i="23"/>
  <c r="D128" i="23" s="1"/>
  <c r="F128" i="23" s="1"/>
  <c r="D129" i="23"/>
  <c r="F129" i="23" s="1"/>
  <c r="C130" i="23"/>
  <c r="D130" i="23" s="1"/>
  <c r="F130" i="23" s="1"/>
  <c r="F131" i="23"/>
  <c r="F132" i="23"/>
  <c r="C133" i="23"/>
  <c r="F134" i="23"/>
  <c r="E141" i="23"/>
  <c r="E142" i="23"/>
  <c r="E143" i="23"/>
  <c r="E144" i="23"/>
  <c r="E145" i="23"/>
  <c r="G62" i="23"/>
  <c r="G82" i="23" s="1"/>
  <c r="H62" i="23"/>
  <c r="H82" i="23" s="1"/>
  <c r="I62" i="23"/>
  <c r="I82" i="23" s="1"/>
  <c r="J62" i="23"/>
  <c r="J82" i="23" s="1"/>
  <c r="K62" i="23"/>
  <c r="K82" i="23" s="1"/>
  <c r="L62" i="23"/>
  <c r="L82" i="23" s="1"/>
  <c r="M62" i="23"/>
  <c r="M82" i="23" s="1"/>
  <c r="N62" i="23"/>
  <c r="N82" i="23" s="1"/>
  <c r="O62" i="23"/>
  <c r="O82" i="23" s="1"/>
  <c r="P62" i="23"/>
  <c r="P82" i="23" s="1"/>
  <c r="Q62" i="23"/>
  <c r="Q82" i="23" s="1"/>
  <c r="R62" i="23"/>
  <c r="R82" i="23" s="1"/>
  <c r="S62" i="23"/>
  <c r="S82" i="23" s="1"/>
  <c r="G63" i="23"/>
  <c r="H63" i="23"/>
  <c r="I63" i="23"/>
  <c r="J63" i="23"/>
  <c r="K63" i="23"/>
  <c r="L63" i="23"/>
  <c r="M63" i="23"/>
  <c r="R63" i="23"/>
  <c r="F70" i="23"/>
  <c r="F71" i="23"/>
  <c r="F72" i="23"/>
  <c r="F73" i="23"/>
  <c r="F74" i="23"/>
  <c r="F75" i="23"/>
  <c r="F76" i="23"/>
  <c r="F77" i="23"/>
  <c r="F78" i="23"/>
  <c r="F79" i="23"/>
  <c r="D80" i="23"/>
  <c r="E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B39" i="23"/>
  <c r="B40" i="23" s="1"/>
  <c r="B41" i="23"/>
  <c r="B44" i="23"/>
  <c r="B47" i="23" s="1"/>
  <c r="B54" i="23"/>
  <c r="D133" i="23" s="1"/>
  <c r="F133" i="23" s="1"/>
  <c r="B43" i="23" l="1"/>
  <c r="G107" i="23" s="1"/>
  <c r="G162" i="23"/>
  <c r="G127" i="23"/>
  <c r="H164" i="23"/>
  <c r="I164" i="23" s="1"/>
  <c r="E167" i="23"/>
  <c r="F167" i="23" s="1"/>
  <c r="G167" i="23" s="1"/>
  <c r="H163" i="23"/>
  <c r="I163" i="23" s="1"/>
  <c r="J164" i="23"/>
  <c r="K164" i="23" s="1"/>
  <c r="H166" i="23"/>
  <c r="I166" i="23" s="1"/>
  <c r="I162" i="23"/>
  <c r="K161" i="23"/>
  <c r="G165" i="23"/>
  <c r="F143" i="23"/>
  <c r="G129" i="23"/>
  <c r="G163" i="23"/>
  <c r="G161" i="23"/>
  <c r="E160" i="23"/>
  <c r="H160" i="23" s="1"/>
  <c r="G131" i="23"/>
  <c r="G166" i="23"/>
  <c r="G133" i="23"/>
  <c r="G134" i="23"/>
  <c r="B117" i="23"/>
  <c r="B118" i="23" s="1"/>
  <c r="D125" i="23" s="1"/>
  <c r="F125" i="23" s="1"/>
  <c r="G125" i="23" s="1"/>
  <c r="J165" i="23"/>
  <c r="K165" i="23" s="1"/>
  <c r="G164" i="23"/>
  <c r="J162" i="23"/>
  <c r="K162" i="23" s="1"/>
  <c r="H165" i="23"/>
  <c r="I165" i="23" s="1"/>
  <c r="F145" i="23"/>
  <c r="F142" i="23"/>
  <c r="G130" i="23"/>
  <c r="G128" i="23"/>
  <c r="F80" i="23"/>
  <c r="F144" i="23"/>
  <c r="G132" i="23"/>
  <c r="F126" i="23"/>
  <c r="G126" i="23" s="1"/>
  <c r="J166" i="23"/>
  <c r="K166" i="23" s="1"/>
  <c r="J163" i="23"/>
  <c r="K163" i="23" s="1"/>
  <c r="F141" i="23"/>
  <c r="E140" i="23"/>
  <c r="F140" i="23" s="1"/>
  <c r="E139" i="23"/>
  <c r="B49" i="23"/>
  <c r="B50" i="23" s="1"/>
  <c r="J167" i="23" l="1"/>
  <c r="K167" i="23" s="1"/>
  <c r="H167" i="23"/>
  <c r="I167" i="23" s="1"/>
  <c r="D124" i="23"/>
  <c r="F124" i="23" s="1"/>
  <c r="G124" i="23" s="1"/>
  <c r="E168" i="23"/>
  <c r="H168" i="23" s="1"/>
  <c r="I168" i="23" s="1"/>
  <c r="B156" i="23"/>
  <c r="B157" i="23" s="1"/>
  <c r="D122" i="23"/>
  <c r="F122" i="23" s="1"/>
  <c r="G122" i="23" s="1"/>
  <c r="G102" i="23"/>
  <c r="D123" i="23"/>
  <c r="F123" i="23" s="1"/>
  <c r="G123" i="23" s="1"/>
  <c r="F160" i="23"/>
  <c r="G160" i="23" s="1"/>
  <c r="J160" i="23"/>
  <c r="K160" i="23" s="1"/>
  <c r="I160" i="23"/>
  <c r="F139" i="23"/>
  <c r="F146" i="23" s="1"/>
  <c r="E146" i="23"/>
  <c r="B51" i="23"/>
  <c r="G100" i="23"/>
  <c r="G104" i="23"/>
  <c r="H104" i="23" s="1"/>
  <c r="G103" i="23"/>
  <c r="F106" i="23"/>
  <c r="H106" i="23" s="1"/>
  <c r="G101" i="23"/>
  <c r="G105" i="23"/>
  <c r="H105" i="23" s="1"/>
  <c r="G99" i="23"/>
  <c r="J168" i="23" l="1"/>
  <c r="K168" i="23" s="1"/>
  <c r="H161" i="23"/>
  <c r="I161" i="23" s="1"/>
  <c r="F168" i="23"/>
  <c r="G168" i="23" s="1"/>
  <c r="E169" i="23"/>
  <c r="H169" i="23" s="1"/>
  <c r="G135" i="23"/>
  <c r="F135" i="23"/>
  <c r="H108" i="23"/>
  <c r="B177" i="23" l="1"/>
  <c r="J169" i="23"/>
  <c r="K169" i="23" s="1"/>
  <c r="K170" i="23" s="1"/>
  <c r="B181" i="23" s="1"/>
  <c r="C181" i="23" s="1"/>
  <c r="F169" i="23"/>
  <c r="G169" i="23" s="1"/>
  <c r="G170" i="23" s="1"/>
  <c r="B180" i="23" s="1"/>
  <c r="C180" i="23" s="1"/>
  <c r="E170" i="23"/>
  <c r="I169" i="23"/>
  <c r="I170" i="23" s="1"/>
  <c r="B179" i="23" s="1"/>
  <c r="C179" i="23" s="1"/>
  <c r="H170" i="23"/>
  <c r="J170" i="23" l="1"/>
  <c r="F170" i="23"/>
  <c r="C177" i="23"/>
  <c r="B26" i="23"/>
  <c r="B61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B70" i="23"/>
  <c r="B71" i="23"/>
  <c r="B72" i="23"/>
  <c r="B73" i="23"/>
  <c r="B74" i="23"/>
  <c r="B75" i="23"/>
  <c r="B76" i="23"/>
  <c r="B77" i="23"/>
  <c r="B78" i="23"/>
  <c r="B79" i="23"/>
  <c r="B80" i="23"/>
  <c r="G83" i="23"/>
  <c r="H83" i="23"/>
  <c r="I83" i="23"/>
  <c r="J83" i="23"/>
  <c r="K83" i="23"/>
  <c r="L83" i="23"/>
  <c r="M83" i="23"/>
  <c r="N83" i="23"/>
  <c r="O83" i="23"/>
  <c r="P83" i="23"/>
  <c r="Q83" i="23"/>
  <c r="R83" i="23"/>
  <c r="S83" i="23"/>
  <c r="T83" i="23"/>
  <c r="G84" i="23"/>
  <c r="H84" i="23"/>
  <c r="I84" i="23"/>
  <c r="J84" i="23"/>
  <c r="K84" i="23"/>
  <c r="L84" i="23"/>
  <c r="M84" i="23"/>
  <c r="N84" i="23"/>
  <c r="O84" i="23"/>
  <c r="P84" i="23"/>
  <c r="Q84" i="23"/>
  <c r="R84" i="23"/>
  <c r="S84" i="23"/>
  <c r="T84" i="23"/>
  <c r="G85" i="23"/>
  <c r="H85" i="23"/>
  <c r="I85" i="23"/>
  <c r="J85" i="23"/>
  <c r="K85" i="23"/>
  <c r="L85" i="23"/>
  <c r="M85" i="23"/>
  <c r="N85" i="23"/>
  <c r="O85" i="23"/>
  <c r="P85" i="23"/>
  <c r="Q85" i="23"/>
  <c r="R85" i="23"/>
  <c r="S85" i="23"/>
  <c r="T85" i="23"/>
  <c r="G86" i="23"/>
  <c r="H86" i="23"/>
  <c r="I86" i="23"/>
  <c r="J86" i="23"/>
  <c r="K86" i="23"/>
  <c r="L86" i="23"/>
  <c r="M86" i="23"/>
  <c r="N86" i="23"/>
  <c r="O86" i="23"/>
  <c r="P86" i="23"/>
  <c r="Q86" i="23"/>
  <c r="R86" i="23"/>
  <c r="S86" i="23"/>
  <c r="T86" i="23"/>
  <c r="G90" i="23"/>
  <c r="H90" i="23"/>
  <c r="I90" i="23"/>
  <c r="J90" i="23"/>
  <c r="K90" i="23"/>
  <c r="L90" i="23"/>
  <c r="M90" i="23"/>
  <c r="N90" i="23"/>
  <c r="O90" i="23"/>
  <c r="P90" i="23"/>
  <c r="Q90" i="23"/>
  <c r="R90" i="23"/>
  <c r="S90" i="23"/>
  <c r="T90" i="23"/>
  <c r="B176" i="23"/>
  <c r="C176" i="23"/>
  <c r="D176" i="23"/>
  <c r="D177" i="23"/>
  <c r="B178" i="23"/>
  <c r="C178" i="23"/>
  <c r="D178" i="23"/>
  <c r="D179" i="23"/>
  <c r="D180" i="23"/>
  <c r="D181" i="23"/>
  <c r="B182" i="23"/>
  <c r="C182" i="23"/>
  <c r="D182" i="23"/>
  <c r="B183" i="23"/>
  <c r="C183" i="23"/>
  <c r="B184" i="23"/>
  <c r="C184" i="23"/>
  <c r="B185" i="23"/>
  <c r="C185" i="23"/>
  <c r="D185" i="23"/>
  <c r="B186" i="23"/>
  <c r="C186" i="23"/>
  <c r="D186" i="23"/>
  <c r="B187" i="23"/>
  <c r="C187" i="23"/>
  <c r="D187" i="23"/>
  <c r="B191" i="23"/>
</calcChain>
</file>

<file path=xl/sharedStrings.xml><?xml version="1.0" encoding="utf-8"?>
<sst xmlns="http://schemas.openxmlformats.org/spreadsheetml/2006/main" count="312" uniqueCount="204">
  <si>
    <t>Povratni pjesak</t>
  </si>
  <si>
    <t>C</t>
  </si>
  <si>
    <t>Si</t>
  </si>
  <si>
    <t>Mn</t>
  </si>
  <si>
    <t>P</t>
  </si>
  <si>
    <t>Cr</t>
  </si>
  <si>
    <t>CaC2</t>
  </si>
  <si>
    <t>S</t>
  </si>
  <si>
    <t>Cu</t>
  </si>
  <si>
    <t>€/kg</t>
  </si>
  <si>
    <t>Suhi kvarcni pijesak</t>
  </si>
  <si>
    <t xml:space="preserve">Bentonit-Bentoplast-30 </t>
  </si>
  <si>
    <t>Crnina-Inakol S</t>
  </si>
  <si>
    <t>Premaz modela-Ločilec MO</t>
  </si>
  <si>
    <t>Filter-Sedeks 40x40x15/20 ppi</t>
  </si>
  <si>
    <t>Egzotermni napajalnik</t>
  </si>
  <si>
    <t>Cirkonski premaz M</t>
  </si>
  <si>
    <t>Izopropil alkohol</t>
  </si>
  <si>
    <t>€/kom</t>
  </si>
  <si>
    <t>Filter-Sedeks 50x50x12,7/10 ppi</t>
  </si>
  <si>
    <t>Filter-Sedeks 45x45x15/20 ppi</t>
  </si>
  <si>
    <t>Obloženi pijesk - PLASTIL 17A za jezgro</t>
  </si>
  <si>
    <t>Mo</t>
  </si>
  <si>
    <t>Ni</t>
  </si>
  <si>
    <t>Udio</t>
  </si>
  <si>
    <t>Odgor</t>
  </si>
  <si>
    <t>Y1</t>
  </si>
  <si>
    <t>Y2</t>
  </si>
  <si>
    <t>Y3</t>
  </si>
  <si>
    <t>Y4</t>
  </si>
  <si>
    <t>Total</t>
  </si>
  <si>
    <t>Fe Mn</t>
  </si>
  <si>
    <t>Fe Si</t>
  </si>
  <si>
    <t>Fe Cr</t>
  </si>
  <si>
    <t>Suma</t>
  </si>
  <si>
    <t>Fe Mo</t>
  </si>
  <si>
    <t>Mase uloška</t>
  </si>
  <si>
    <t>Udio prije odgora</t>
  </si>
  <si>
    <t>Cijene</t>
  </si>
  <si>
    <t>Cijena</t>
  </si>
  <si>
    <t>Podatak</t>
  </si>
  <si>
    <t>In.Ba</t>
  </si>
  <si>
    <t>Str</t>
  </si>
  <si>
    <t>Ba</t>
  </si>
  <si>
    <t>Mg</t>
  </si>
  <si>
    <t>Inoc.Str</t>
  </si>
  <si>
    <t>FeSiMg</t>
  </si>
  <si>
    <t>Mjesto troška</t>
  </si>
  <si>
    <t>Topionica</t>
  </si>
  <si>
    <t>Formanje</t>
  </si>
  <si>
    <t>Finalizacija</t>
  </si>
  <si>
    <t>Postojanost</t>
  </si>
  <si>
    <t>Trošak</t>
  </si>
  <si>
    <t>Planske koičine</t>
  </si>
  <si>
    <t>N/A</t>
  </si>
  <si>
    <t>Udio u proizvodnji</t>
  </si>
  <si>
    <t>Potrebe taline</t>
  </si>
  <si>
    <t>Status 1/0</t>
  </si>
  <si>
    <t>Trošak2</t>
  </si>
  <si>
    <t>Pomoćni Materijal</t>
  </si>
  <si>
    <t>Naziv</t>
  </si>
  <si>
    <t>Količina materijala</t>
  </si>
  <si>
    <t>Trošak po kg</t>
  </si>
  <si>
    <t>Procenat osvježavanja
/     Frekvencija</t>
  </si>
  <si>
    <t>Postojanost / Protok</t>
  </si>
  <si>
    <t>Snaga</t>
  </si>
  <si>
    <t>Stroj</t>
  </si>
  <si>
    <t>Koeficijent</t>
  </si>
  <si>
    <t>Trošak po KW</t>
  </si>
  <si>
    <t>Broj Uposlenih</t>
  </si>
  <si>
    <t>Vrijednost godišnje amortizacije</t>
  </si>
  <si>
    <t>Trošak el. Energije</t>
  </si>
  <si>
    <t>Taktno vrijeme</t>
  </si>
  <si>
    <t>Trošak Uposlenih</t>
  </si>
  <si>
    <t>Prosj troš. Direktn. Radnika</t>
  </si>
  <si>
    <t>Troš ee po kg</t>
  </si>
  <si>
    <t>Trošak up po kg</t>
  </si>
  <si>
    <t>Osnovni materijali</t>
  </si>
  <si>
    <t>Pomoćni materijali</t>
  </si>
  <si>
    <t>Energija</t>
  </si>
  <si>
    <t>Amortizacija</t>
  </si>
  <si>
    <t>Troš Amortizacije</t>
  </si>
  <si>
    <t>Tr. Am po kg</t>
  </si>
  <si>
    <t>Dir. Uposleni</t>
  </si>
  <si>
    <t>Direktni troškovi</t>
  </si>
  <si>
    <t>Ukupno troškovi</t>
  </si>
  <si>
    <t>CD</t>
  </si>
  <si>
    <t>Ostali troškovi</t>
  </si>
  <si>
    <t>Profitna stopa</t>
  </si>
  <si>
    <t>Finalna Cijena</t>
  </si>
  <si>
    <t>Ponder EBIT DA- Amort</t>
  </si>
  <si>
    <t>Direktni materijal</t>
  </si>
  <si>
    <t>Kapacitet topionice</t>
  </si>
  <si>
    <t>Ostvariv broj formi</t>
  </si>
  <si>
    <t>GG 20</t>
  </si>
  <si>
    <t>Housing</t>
  </si>
  <si>
    <t>DANA</t>
  </si>
  <si>
    <t>Part Name</t>
  </si>
  <si>
    <t>PN - Machined</t>
  </si>
  <si>
    <t>PN - Casting</t>
  </si>
  <si>
    <t>Custoemr</t>
  </si>
  <si>
    <t>Casting Weight</t>
  </si>
  <si>
    <t>Machined Weight</t>
  </si>
  <si>
    <t>Machined Yield</t>
  </si>
  <si>
    <t>Cavity Nr.</t>
  </si>
  <si>
    <t>Gross/Net in Mould</t>
  </si>
  <si>
    <t>Gross Weigh in Mould</t>
  </si>
  <si>
    <t>Scrap Ratio</t>
  </si>
  <si>
    <t>Material Grade</t>
  </si>
  <si>
    <t>Annual Quantity</t>
  </si>
  <si>
    <t>Annual Quantity to be produced</t>
  </si>
  <si>
    <t>Project Lifecycle</t>
  </si>
  <si>
    <t>Total Produced Quantity for Project</t>
  </si>
  <si>
    <t>Total Quantity for Project</t>
  </si>
  <si>
    <t>Melt Need</t>
  </si>
  <si>
    <t>Melt Capacity</t>
  </si>
  <si>
    <t>Steel Scrap</t>
  </si>
  <si>
    <t>Return Material</t>
  </si>
  <si>
    <t>Steel Scrap - type 1</t>
  </si>
  <si>
    <t>Steel Scrap - type 2</t>
  </si>
  <si>
    <t>Briquets</t>
  </si>
  <si>
    <t>Low Mn - Iron</t>
  </si>
  <si>
    <t xml:space="preserve">Element  </t>
  </si>
  <si>
    <t xml:space="preserve">Achieved mass in input  </t>
  </si>
  <si>
    <t xml:space="preserve">Required mass in input  </t>
  </si>
  <si>
    <t xml:space="preserve">Alloying required  </t>
  </si>
  <si>
    <t xml:space="preserve">Net addition  </t>
  </si>
  <si>
    <t xml:space="preserve">Alloy  </t>
  </si>
  <si>
    <t xml:space="preserve">Purity  </t>
  </si>
  <si>
    <t xml:space="preserve">Mass  </t>
  </si>
  <si>
    <t xml:space="preserve">Price  </t>
  </si>
  <si>
    <t xml:space="preserve">Target Chemical Composition  </t>
  </si>
  <si>
    <t xml:space="preserve">Target content  </t>
  </si>
  <si>
    <t xml:space="preserve">Lower limit  </t>
  </si>
  <si>
    <t xml:space="preserve">Upper limit  </t>
  </si>
  <si>
    <t xml:space="preserve">Chemical composition control / Furnace chemistry  </t>
  </si>
  <si>
    <t xml:space="preserve">Target melt weight  </t>
  </si>
  <si>
    <t xml:space="preserve">Cost of base materials in the melt batch  </t>
  </si>
  <si>
    <t>Material Inputs</t>
  </si>
  <si>
    <t xml:space="preserve">Name  </t>
  </si>
  <si>
    <t xml:space="preserve">Length  </t>
  </si>
  <si>
    <t xml:space="preserve">Width  </t>
  </si>
  <si>
    <t xml:space="preserve">Thickness  </t>
  </si>
  <si>
    <t xml:space="preserve">Compaction factor  </t>
  </si>
  <si>
    <t xml:space="preserve">Specific weight of sand in mold  </t>
  </si>
  <si>
    <t xml:space="preserve">Amount of sand in mold  </t>
  </si>
  <si>
    <t xml:space="preserve">Sand consumption  </t>
  </si>
  <si>
    <t xml:space="preserve">Number of molds per hour  </t>
  </si>
  <si>
    <t>AUXILIARY MATERIAL</t>
  </si>
  <si>
    <t>Slag Collector (PE-FE)</t>
  </si>
  <si>
    <t>Graphite Coating</t>
  </si>
  <si>
    <t>Temperature Probes</t>
  </si>
  <si>
    <t>Plugs for Casting Machine</t>
  </si>
  <si>
    <t>Siphons for Casting Machine</t>
  </si>
  <si>
    <t>Lining of Casting Machine</t>
  </si>
  <si>
    <t>Lining of Casting Ladle</t>
  </si>
  <si>
    <t>Lining of Melting Furnace</t>
  </si>
  <si>
    <t>Graphite Electrode</t>
  </si>
  <si>
    <t>Steel Shot GN 16</t>
  </si>
  <si>
    <t>Internal / Repeated</t>
  </si>
  <si>
    <t>Die Grinder - Rotary File</t>
  </si>
  <si>
    <t>Grinding Discs for Finishing</t>
  </si>
  <si>
    <t>Grinding Stone for Finishing</t>
  </si>
  <si>
    <t>Painting</t>
  </si>
  <si>
    <t>Packaging</t>
  </si>
  <si>
    <t>COST CENTER</t>
  </si>
  <si>
    <t>Preparation</t>
  </si>
  <si>
    <t>Melting Shop</t>
  </si>
  <si>
    <t>Molding</t>
  </si>
  <si>
    <t>Sand Preparation</t>
  </si>
  <si>
    <t>Casting</t>
  </si>
  <si>
    <t>Shot Blasting</t>
  </si>
  <si>
    <t>Finishing</t>
  </si>
  <si>
    <t>Other</t>
  </si>
  <si>
    <t>Facilities</t>
  </si>
  <si>
    <t>Jedro</t>
  </si>
  <si>
    <t>Nr. Cores</t>
  </si>
  <si>
    <t>Total core weight per casting</t>
  </si>
  <si>
    <t>Casting weight</t>
  </si>
  <si>
    <t>Scrap ratio</t>
  </si>
  <si>
    <t>Length</t>
  </si>
  <si>
    <t>Width</t>
  </si>
  <si>
    <t>Tickness</t>
  </si>
  <si>
    <t>Number of moulds per hour</t>
  </si>
  <si>
    <t>Energy Cost</t>
  </si>
  <si>
    <t>Grinding time</t>
  </si>
  <si>
    <t>Final Price</t>
  </si>
  <si>
    <t>Profit margin</t>
  </si>
  <si>
    <t>Profit Margin</t>
  </si>
  <si>
    <t>Filter</t>
  </si>
  <si>
    <t>EXO Feeder</t>
  </si>
  <si>
    <t>Monthly Salary</t>
  </si>
  <si>
    <t>Annual Amortization</t>
  </si>
  <si>
    <t>Casting Information</t>
  </si>
  <si>
    <t>Data</t>
  </si>
  <si>
    <t>Base Material</t>
  </si>
  <si>
    <t>Auxiliary Materials</t>
  </si>
  <si>
    <t>Summary</t>
  </si>
  <si>
    <t>Price List</t>
  </si>
  <si>
    <t>Price</t>
  </si>
  <si>
    <t>Estimated EXW Price</t>
  </si>
  <si>
    <t>Yield</t>
  </si>
  <si>
    <t>General cost</t>
  </si>
  <si>
    <t>Mg (Before fade)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</si>
</sst>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164" formatCode="0.0%"/>
    <numFmt numFmtId="165" formatCode="#,##0.00\ &quot;kg&quot;"/>
    <numFmt numFmtId="166" formatCode="0.000%"/>
    <numFmt numFmtId="167" formatCode="#,##0.00\ &quot;t&quot;"/>
    <numFmt numFmtId="168" formatCode="#,##0.00\ &quot;€/kg&quot;"/>
    <numFmt numFmtId="169" formatCode="#,##0.00\ &quot;€&quot;"/>
    <numFmt numFmtId="170" formatCode="#,##0\ &quot;pcs&quot;"/>
    <numFmt numFmtId="171" formatCode="#,##0.000\ &quot;kg/pcs&quot;"/>
    <numFmt numFmtId="172" formatCode="#,##0.0\ &quot;god&quot;"/>
    <numFmt numFmtId="173" formatCode="#,##0.000\ &quot;kom/toni taline&quot;"/>
    <numFmt numFmtId="174" formatCode="#,##0.000\ &quot;kg/toni taline&quot;"/>
    <numFmt numFmtId="175" formatCode="#,##0.0\ &quot;mjeseca&quot;"/>
    <numFmt numFmtId="176" formatCode="#,##0.0\ &quot;dana&quot;"/>
    <numFmt numFmtId="177" formatCode="#,##0.0\ &quot;talina&quot;"/>
    <numFmt numFmtId="178" formatCode="#,##0.000\ &quot;€/kg&quot;"/>
    <numFmt numFmtId="179" formatCode="#,##0.00\ &quot;€/kom&quot;"/>
    <numFmt numFmtId="180" formatCode="#,##0\ &quot;t/god&quot;"/>
    <numFmt numFmtId="181" formatCode="#,##0.0000\ &quot;€/kg taline&quot;"/>
    <numFmt numFmtId="182" formatCode="#,##0\ &quot;mm&quot;"/>
    <numFmt numFmtId="183" formatCode="#,##0.00\ &quot;kg/m3&quot;"/>
    <numFmt numFmtId="184" formatCode="#,##0.00\ &quot;kg/kalupu&quot;"/>
    <numFmt numFmtId="185" formatCode="#,##0.00\ &quot;kg/kom&quot;"/>
    <numFmt numFmtId="186" formatCode="#,##0.000\ &quot;€/kom&quot;"/>
    <numFmt numFmtId="187" formatCode="#,##0.00\ &quot;€/l&quot;"/>
    <numFmt numFmtId="188" formatCode="#,##0.00\ &quot;l/sat&quot;"/>
    <numFmt numFmtId="189" formatCode="#,##0\ &quot;formi/sat&quot;"/>
    <numFmt numFmtId="190" formatCode="#,##0.0000\ &quot;€/kg&quot;"/>
    <numFmt numFmtId="191" formatCode="#,##0\ &quot;kom/formi&quot;"/>
    <numFmt numFmtId="192" formatCode="#,##0\ &quot;kom/odlivku&quot;"/>
    <numFmt numFmtId="193" formatCode="#,##0\ &quot;kom&quot;"/>
    <numFmt numFmtId="194" formatCode="#,##0.00\ &quot;l/kom&quot;"/>
    <numFmt numFmtId="195" formatCode="#,##0.00\ &quot;kg/toni&quot;"/>
    <numFmt numFmtId="196" formatCode="#,##0.00\ &quot;€/paleti&quot;"/>
    <numFmt numFmtId="197" formatCode="#,##0\ &quot;kom/paleti&quot;"/>
    <numFmt numFmtId="198" formatCode="#,##0\ &quot;KW&quot;"/>
    <numFmt numFmtId="199" formatCode="#,##0\ &quot;uposl.&quot;"/>
    <numFmt numFmtId="200" formatCode="#,##0\ &quot;€&quot;"/>
    <numFmt numFmtId="201" formatCode="#,##0.00\ &quot;min/kom&quot;"/>
    <numFmt numFmtId="202" formatCode="#,##0.000\ &quot;€/kW&quot;"/>
    <numFmt numFmtId="203" formatCode="#,##0.00\ &quot;€/uposl&quot;"/>
    <numFmt numFmtId="204" formatCode="#,##0.00\ &quot;t/h&quot;"/>
    <numFmt numFmtId="205" formatCode="#,##0\ &quot;forme&quot;"/>
    <numFmt numFmtId="207" formatCode="0.0000"/>
  </numFmts>
  <fonts count="16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b/>
      <i/>
      <sz val="10"/>
      <name val="Arial"/>
      <family val="2"/>
      <charset val="238"/>
    </font>
    <font>
      <b/>
      <i/>
      <sz val="11"/>
      <name val="Arial"/>
      <family val="2"/>
      <charset val="238"/>
    </font>
    <font>
      <b/>
      <i/>
      <u/>
      <sz val="1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i/>
      <sz val="10"/>
      <color theme="1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</font>
    <font>
      <sz val="10"/>
      <name val="Arial"/>
      <family val="2"/>
    </font>
    <font>
      <i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theme="4" tint="0.59999389629810485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9"/>
        <bgColor theme="4" tint="0.59999389629810485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99">
    <xf numFmtId="0" fontId="0" fillId="0" borderId="0" xfId="0"/>
    <xf numFmtId="0" fontId="2" fillId="3" borderId="9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right" wrapText="1"/>
    </xf>
    <xf numFmtId="165" fontId="4" fillId="2" borderId="7" xfId="0" applyNumberFormat="1" applyFont="1" applyFill="1" applyBorder="1" applyAlignment="1">
      <alignment horizontal="right" wrapText="1"/>
    </xf>
    <xf numFmtId="165" fontId="4" fillId="2" borderId="3" xfId="0" applyNumberFormat="1" applyFont="1" applyFill="1" applyBorder="1" applyAlignment="1">
      <alignment horizontal="right" wrapText="1"/>
    </xf>
    <xf numFmtId="165" fontId="1" fillId="2" borderId="7" xfId="0" applyNumberFormat="1" applyFont="1" applyFill="1" applyBorder="1" applyAlignment="1">
      <alignment horizontal="right" wrapText="1"/>
    </xf>
    <xf numFmtId="165" fontId="1" fillId="2" borderId="1" xfId="0" applyNumberFormat="1" applyFont="1" applyFill="1" applyBorder="1" applyAlignment="1">
      <alignment horizontal="right" wrapText="1"/>
    </xf>
    <xf numFmtId="165" fontId="1" fillId="2" borderId="3" xfId="0" applyNumberFormat="1" applyFont="1" applyFill="1" applyBorder="1" applyAlignment="1">
      <alignment horizontal="right" wrapText="1"/>
    </xf>
    <xf numFmtId="165" fontId="8" fillId="2" borderId="8" xfId="0" applyNumberFormat="1" applyFont="1" applyFill="1" applyBorder="1" applyAlignment="1">
      <alignment horizontal="right" wrapText="1"/>
    </xf>
    <xf numFmtId="165" fontId="8" fillId="2" borderId="5" xfId="0" applyNumberFormat="1" applyFont="1" applyFill="1" applyBorder="1" applyAlignment="1">
      <alignment horizontal="right" wrapText="1"/>
    </xf>
    <xf numFmtId="165" fontId="8" fillId="2" borderId="6" xfId="0" applyNumberFormat="1" applyFont="1" applyFill="1" applyBorder="1" applyAlignment="1">
      <alignment horizontal="right" wrapText="1"/>
    </xf>
    <xf numFmtId="0" fontId="2" fillId="6" borderId="1" xfId="0" applyFont="1" applyFill="1" applyBorder="1" applyAlignment="1">
      <alignment horizontal="center" vertical="center" wrapText="1"/>
    </xf>
    <xf numFmtId="164" fontId="2" fillId="6" borderId="1" xfId="2" applyNumberFormat="1" applyFont="1" applyFill="1" applyBorder="1" applyAlignment="1">
      <alignment horizontal="center" vertical="center" wrapText="1"/>
    </xf>
    <xf numFmtId="166" fontId="4" fillId="5" borderId="1" xfId="2" applyNumberFormat="1" applyFont="1" applyFill="1" applyBorder="1" applyAlignment="1">
      <alignment horizontal="center" vertical="center" wrapText="1"/>
    </xf>
    <xf numFmtId="166" fontId="4" fillId="5" borderId="7" xfId="2" applyNumberFormat="1" applyFont="1" applyFill="1" applyBorder="1" applyAlignment="1">
      <alignment horizontal="center" vertical="center" wrapText="1"/>
    </xf>
    <xf numFmtId="166" fontId="4" fillId="5" borderId="3" xfId="2" applyNumberFormat="1" applyFont="1" applyFill="1" applyBorder="1" applyAlignment="1">
      <alignment horizontal="center" vertical="center" wrapText="1"/>
    </xf>
    <xf numFmtId="10" fontId="4" fillId="2" borderId="8" xfId="2" applyNumberFormat="1" applyFont="1" applyFill="1" applyBorder="1" applyAlignment="1">
      <alignment horizontal="center" wrapText="1"/>
    </xf>
    <xf numFmtId="10" fontId="4" fillId="2" borderId="5" xfId="2" applyNumberFormat="1" applyFont="1" applyFill="1" applyBorder="1" applyAlignment="1">
      <alignment horizontal="center" wrapText="1"/>
    </xf>
    <xf numFmtId="10" fontId="4" fillId="2" borderId="6" xfId="2" applyNumberFormat="1" applyFont="1" applyFill="1" applyBorder="1" applyAlignment="1">
      <alignment horizontal="center" wrapText="1"/>
    </xf>
    <xf numFmtId="165" fontId="2" fillId="7" borderId="1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169" fontId="9" fillId="8" borderId="10" xfId="0" applyNumberFormat="1" applyFont="1" applyFill="1" applyBorder="1" applyAlignment="1">
      <alignment horizontal="center" vertical="center" wrapText="1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 vertical="center"/>
    </xf>
    <xf numFmtId="198" fontId="4" fillId="10" borderId="11" xfId="0" applyNumberFormat="1" applyFont="1" applyFill="1" applyBorder="1" applyAlignment="1">
      <alignment horizontal="center" vertical="center"/>
    </xf>
    <xf numFmtId="198" fontId="4" fillId="10" borderId="12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4" xfId="0" applyBorder="1"/>
    <xf numFmtId="0" fontId="12" fillId="0" borderId="13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71" fontId="0" fillId="0" borderId="0" xfId="0" applyNumberFormat="1" applyAlignment="1">
      <alignment horizontal="center"/>
    </xf>
    <xf numFmtId="9" fontId="0" fillId="0" borderId="0" xfId="2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10" fontId="0" fillId="0" borderId="0" xfId="2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80" fontId="4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15" xfId="0" applyBorder="1"/>
    <xf numFmtId="0" fontId="0" fillId="0" borderId="16" xfId="0" applyBorder="1"/>
    <xf numFmtId="0" fontId="11" fillId="11" borderId="19" xfId="0" applyFont="1" applyFill="1" applyBorder="1"/>
    <xf numFmtId="167" fontId="2" fillId="0" borderId="0" xfId="1" applyNumberFormat="1" applyFont="1" applyAlignment="1">
      <alignment horizontal="center"/>
    </xf>
    <xf numFmtId="165" fontId="9" fillId="8" borderId="18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" fillId="9" borderId="14" xfId="0" applyFont="1" applyFill="1" applyBorder="1" applyAlignment="1">
      <alignment horizontal="right" wrapText="1"/>
    </xf>
    <xf numFmtId="165" fontId="5" fillId="8" borderId="0" xfId="0" applyNumberFormat="1" applyFont="1" applyFill="1" applyAlignment="1">
      <alignment horizontal="center" vertical="center" wrapText="1"/>
    </xf>
    <xf numFmtId="168" fontId="5" fillId="4" borderId="0" xfId="0" applyNumberFormat="1" applyFont="1" applyFill="1" applyAlignment="1">
      <alignment horizontal="center" vertical="center" wrapText="1"/>
    </xf>
    <xf numFmtId="166" fontId="0" fillId="4" borderId="0" xfId="2" applyNumberFormat="1" applyFont="1" applyFill="1" applyBorder="1" applyAlignment="1">
      <alignment horizontal="center" vertical="center" wrapText="1"/>
    </xf>
    <xf numFmtId="166" fontId="0" fillId="0" borderId="0" xfId="2" applyNumberFormat="1" applyFont="1" applyBorder="1" applyAlignment="1">
      <alignment horizontal="center" vertical="center" wrapText="1"/>
    </xf>
    <xf numFmtId="166" fontId="1" fillId="4" borderId="0" xfId="2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right" wrapText="1"/>
    </xf>
    <xf numFmtId="165" fontId="5" fillId="0" borderId="0" xfId="0" applyNumberFormat="1" applyFont="1" applyAlignment="1">
      <alignment horizontal="center" vertical="center" wrapText="1"/>
    </xf>
    <xf numFmtId="168" fontId="5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0" borderId="3" xfId="0" applyBorder="1"/>
    <xf numFmtId="165" fontId="2" fillId="7" borderId="3" xfId="0" applyNumberFormat="1" applyFont="1" applyFill="1" applyBorder="1" applyAlignment="1">
      <alignment horizontal="right" wrapText="1"/>
    </xf>
    <xf numFmtId="0" fontId="0" fillId="0" borderId="21" xfId="0" applyBorder="1"/>
    <xf numFmtId="0" fontId="7" fillId="0" borderId="21" xfId="0" applyFont="1" applyBorder="1" applyAlignment="1">
      <alignment horizontal="right"/>
    </xf>
    <xf numFmtId="168" fontId="9" fillId="4" borderId="22" xfId="0" applyNumberFormat="1" applyFont="1" applyFill="1" applyBorder="1" applyAlignment="1">
      <alignment horizontal="center" vertical="center" wrapText="1"/>
    </xf>
    <xf numFmtId="168" fontId="9" fillId="4" borderId="23" xfId="0" applyNumberFormat="1" applyFont="1" applyFill="1" applyBorder="1" applyAlignment="1">
      <alignment horizontal="center" vertical="center" wrapText="1"/>
    </xf>
    <xf numFmtId="0" fontId="6" fillId="10" borderId="24" xfId="0" applyFont="1" applyFill="1" applyBorder="1" applyAlignment="1">
      <alignment horizontal="right"/>
    </xf>
    <xf numFmtId="167" fontId="2" fillId="10" borderId="25" xfId="1" applyNumberFormat="1" applyFont="1" applyFill="1" applyBorder="1" applyAlignment="1">
      <alignment horizontal="center"/>
    </xf>
    <xf numFmtId="0" fontId="11" fillId="11" borderId="26" xfId="0" applyFont="1" applyFill="1" applyBorder="1"/>
    <xf numFmtId="0" fontId="11" fillId="11" borderId="20" xfId="0" applyFont="1" applyFill="1" applyBorder="1"/>
    <xf numFmtId="0" fontId="0" fillId="0" borderId="14" xfId="0" applyBorder="1" applyAlignment="1">
      <alignment horizontal="right"/>
    </xf>
    <xf numFmtId="174" fontId="1" fillId="10" borderId="0" xfId="0" applyNumberFormat="1" applyFont="1" applyFill="1" applyAlignment="1">
      <alignment horizontal="center" vertical="center"/>
    </xf>
    <xf numFmtId="17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0" fontId="1" fillId="0" borderId="0" xfId="2" applyNumberFormat="1" applyFont="1" applyBorder="1" applyAlignment="1">
      <alignment horizontal="center"/>
    </xf>
    <xf numFmtId="181" fontId="0" fillId="0" borderId="0" xfId="0" applyNumberFormat="1" applyAlignment="1">
      <alignment horizontal="center"/>
    </xf>
    <xf numFmtId="173" fontId="1" fillId="10" borderId="0" xfId="0" applyNumberFormat="1" applyFont="1" applyFill="1" applyAlignment="1">
      <alignment horizontal="center" vertical="center"/>
    </xf>
    <xf numFmtId="179" fontId="1" fillId="10" borderId="0" xfId="0" applyNumberFormat="1" applyFont="1" applyFill="1" applyAlignment="1">
      <alignment horizontal="center" vertical="center"/>
    </xf>
    <xf numFmtId="0" fontId="1" fillId="0" borderId="14" xfId="0" applyFont="1" applyBorder="1" applyAlignment="1">
      <alignment horizontal="right"/>
    </xf>
    <xf numFmtId="175" fontId="1" fillId="1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170" fontId="1" fillId="0" borderId="0" xfId="0" applyNumberFormat="1" applyFont="1" applyAlignment="1">
      <alignment horizontal="center"/>
    </xf>
    <xf numFmtId="0" fontId="0" fillId="10" borderId="0" xfId="0" applyFill="1"/>
    <xf numFmtId="177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82" fontId="1" fillId="10" borderId="0" xfId="0" applyNumberFormat="1" applyFont="1" applyFill="1" applyAlignment="1">
      <alignment horizontal="center" vertical="center"/>
    </xf>
    <xf numFmtId="183" fontId="1" fillId="10" borderId="0" xfId="0" applyNumberFormat="1" applyFont="1" applyFill="1" applyAlignment="1">
      <alignment horizontal="center" vertical="center"/>
    </xf>
    <xf numFmtId="184" fontId="1" fillId="10" borderId="0" xfId="0" applyNumberFormat="1" applyFont="1" applyFill="1" applyAlignment="1">
      <alignment horizontal="center" vertical="center"/>
    </xf>
    <xf numFmtId="185" fontId="1" fillId="0" borderId="0" xfId="0" applyNumberFormat="1" applyFont="1" applyAlignment="1">
      <alignment horizontal="center" vertical="center"/>
    </xf>
    <xf numFmtId="189" fontId="1" fillId="10" borderId="0" xfId="0" applyNumberFormat="1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 wrapText="1"/>
    </xf>
    <xf numFmtId="10" fontId="1" fillId="0" borderId="0" xfId="2" applyNumberFormat="1" applyFont="1" applyBorder="1" applyAlignment="1">
      <alignment horizontal="center" vertical="center"/>
    </xf>
    <xf numFmtId="186" fontId="0" fillId="0" borderId="0" xfId="0" applyNumberFormat="1" applyAlignment="1">
      <alignment horizontal="center"/>
    </xf>
    <xf numFmtId="190" fontId="0" fillId="0" borderId="0" xfId="0" applyNumberFormat="1" applyAlignment="1">
      <alignment horizontal="center"/>
    </xf>
    <xf numFmtId="10" fontId="1" fillId="10" borderId="0" xfId="2" applyNumberFormat="1" applyFont="1" applyFill="1" applyBorder="1" applyAlignment="1">
      <alignment horizontal="center" vertical="center"/>
    </xf>
    <xf numFmtId="188" fontId="1" fillId="10" borderId="0" xfId="2" applyNumberFormat="1" applyFont="1" applyFill="1" applyBorder="1" applyAlignment="1">
      <alignment horizontal="center" vertical="center"/>
    </xf>
    <xf numFmtId="188" fontId="4" fillId="0" borderId="0" xfId="2" applyNumberFormat="1" applyFont="1" applyFill="1" applyBorder="1" applyAlignment="1">
      <alignment horizontal="center" vertical="center"/>
    </xf>
    <xf numFmtId="187" fontId="1" fillId="10" borderId="0" xfId="0" applyNumberFormat="1" applyFont="1" applyFill="1" applyAlignment="1">
      <alignment horizontal="center" vertical="center"/>
    </xf>
    <xf numFmtId="191" fontId="1" fillId="10" borderId="0" xfId="2" applyNumberFormat="1" applyFont="1" applyFill="1" applyBorder="1" applyAlignment="1">
      <alignment horizontal="center" vertical="center"/>
    </xf>
    <xf numFmtId="191" fontId="1" fillId="0" borderId="0" xfId="2" applyNumberFormat="1" applyFont="1" applyFill="1" applyBorder="1" applyAlignment="1">
      <alignment horizontal="center" vertical="center"/>
    </xf>
    <xf numFmtId="186" fontId="1" fillId="10" borderId="0" xfId="0" applyNumberFormat="1" applyFont="1" applyFill="1" applyAlignment="1">
      <alignment horizontal="center" vertical="center"/>
    </xf>
    <xf numFmtId="192" fontId="1" fillId="10" borderId="0" xfId="2" applyNumberFormat="1" applyFont="1" applyFill="1" applyBorder="1" applyAlignment="1">
      <alignment horizontal="center" vertical="center"/>
    </xf>
    <xf numFmtId="192" fontId="1" fillId="0" borderId="0" xfId="0" applyNumberFormat="1" applyFont="1" applyAlignment="1">
      <alignment horizontal="center" vertical="center"/>
    </xf>
    <xf numFmtId="193" fontId="13" fillId="10" borderId="0" xfId="2" applyNumberFormat="1" applyFont="1" applyFill="1" applyBorder="1" applyAlignment="1">
      <alignment horizontal="center" vertical="center"/>
    </xf>
    <xf numFmtId="171" fontId="13" fillId="0" borderId="0" xfId="0" applyNumberFormat="1" applyFont="1" applyAlignment="1">
      <alignment horizontal="center" vertical="center"/>
    </xf>
    <xf numFmtId="178" fontId="13" fillId="10" borderId="0" xfId="0" applyNumberFormat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95" fontId="1" fillId="10" borderId="0" xfId="0" applyNumberFormat="1" applyFont="1" applyFill="1" applyAlignment="1">
      <alignment horizontal="center" vertical="center"/>
    </xf>
    <xf numFmtId="168" fontId="1" fillId="10" borderId="0" xfId="0" applyNumberFormat="1" applyFont="1" applyFill="1" applyAlignment="1">
      <alignment horizontal="center" vertical="center"/>
    </xf>
    <xf numFmtId="186" fontId="0" fillId="0" borderId="0" xfId="0" applyNumberFormat="1" applyAlignment="1">
      <alignment horizontal="center" vertical="center"/>
    </xf>
    <xf numFmtId="168" fontId="0" fillId="10" borderId="0" xfId="0" applyNumberFormat="1" applyFill="1" applyAlignment="1">
      <alignment horizontal="center" vertical="center"/>
    </xf>
    <xf numFmtId="193" fontId="0" fillId="10" borderId="0" xfId="0" applyNumberFormat="1" applyFill="1" applyAlignment="1">
      <alignment horizontal="center" vertical="center"/>
    </xf>
    <xf numFmtId="179" fontId="0" fillId="10" borderId="0" xfId="0" applyNumberFormat="1" applyFill="1" applyAlignment="1">
      <alignment horizontal="center" vertical="center"/>
    </xf>
    <xf numFmtId="194" fontId="0" fillId="10" borderId="0" xfId="0" applyNumberFormat="1" applyFill="1" applyAlignment="1">
      <alignment horizontal="center" vertical="center"/>
    </xf>
    <xf numFmtId="187" fontId="0" fillId="10" borderId="0" xfId="0" applyNumberFormat="1" applyFill="1" applyAlignment="1">
      <alignment horizontal="center" vertical="center"/>
    </xf>
    <xf numFmtId="197" fontId="0" fillId="10" borderId="0" xfId="0" applyNumberFormat="1" applyFill="1" applyAlignment="1">
      <alignment horizontal="center" vertical="center"/>
    </xf>
    <xf numFmtId="196" fontId="0" fillId="10" borderId="0" xfId="0" applyNumberFormat="1" applyFill="1" applyAlignment="1">
      <alignment horizontal="center" vertical="center"/>
    </xf>
    <xf numFmtId="0" fontId="1" fillId="0" borderId="14" xfId="0" applyFont="1" applyBorder="1" applyAlignment="1">
      <alignment horizontal="center"/>
    </xf>
    <xf numFmtId="202" fontId="1" fillId="0" borderId="0" xfId="0" applyNumberFormat="1" applyFont="1" applyAlignment="1">
      <alignment horizontal="center"/>
    </xf>
    <xf numFmtId="203" fontId="0" fillId="0" borderId="0" xfId="0" applyNumberFormat="1" applyAlignment="1">
      <alignment horizontal="center"/>
    </xf>
    <xf numFmtId="204" fontId="0" fillId="10" borderId="0" xfId="0" applyNumberFormat="1" applyFill="1" applyAlignment="1">
      <alignment horizontal="center"/>
    </xf>
    <xf numFmtId="204" fontId="0" fillId="0" borderId="0" xfId="0" applyNumberFormat="1" applyAlignment="1">
      <alignment horizontal="center"/>
    </xf>
    <xf numFmtId="205" fontId="0" fillId="0" borderId="0" xfId="0" applyNumberFormat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15" xfId="0" applyFont="1" applyBorder="1"/>
    <xf numFmtId="199" fontId="0" fillId="10" borderId="0" xfId="0" applyNumberFormat="1" applyFill="1" applyAlignment="1">
      <alignment horizontal="center" vertical="center"/>
    </xf>
    <xf numFmtId="200" fontId="0" fillId="10" borderId="0" xfId="0" applyNumberFormat="1" applyFill="1" applyAlignment="1">
      <alignment horizontal="center" vertical="center"/>
    </xf>
    <xf numFmtId="201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201" fontId="10" fillId="0" borderId="0" xfId="0" applyNumberFormat="1" applyFont="1" applyAlignment="1">
      <alignment horizontal="center" vertical="center"/>
    </xf>
    <xf numFmtId="186" fontId="10" fillId="0" borderId="0" xfId="0" applyNumberFormat="1" applyFont="1" applyAlignment="1">
      <alignment horizontal="center" vertical="center"/>
    </xf>
    <xf numFmtId="199" fontId="0" fillId="10" borderId="0" xfId="0" applyNumberFormat="1" applyFill="1" applyAlignment="1">
      <alignment horizontal="center"/>
    </xf>
    <xf numFmtId="200" fontId="0" fillId="10" borderId="0" xfId="0" applyNumberFormat="1" applyFill="1" applyAlignment="1">
      <alignment horizontal="center"/>
    </xf>
    <xf numFmtId="0" fontId="1" fillId="0" borderId="16" xfId="0" applyFont="1" applyBorder="1" applyAlignment="1">
      <alignment horizontal="center"/>
    </xf>
    <xf numFmtId="198" fontId="4" fillId="0" borderId="27" xfId="0" applyNumberFormat="1" applyFont="1" applyBorder="1" applyAlignment="1">
      <alignment horizontal="center" vertical="center"/>
    </xf>
    <xf numFmtId="199" fontId="0" fillId="0" borderId="21" xfId="0" applyNumberFormat="1" applyBorder="1" applyAlignment="1">
      <alignment horizontal="center" vertical="center"/>
    </xf>
    <xf numFmtId="200" fontId="0" fillId="0" borderId="21" xfId="0" applyNumberFormat="1" applyBorder="1" applyAlignment="1">
      <alignment horizontal="center" vertical="center"/>
    </xf>
    <xf numFmtId="201" fontId="0" fillId="0" borderId="21" xfId="0" applyNumberFormat="1" applyBorder="1" applyAlignment="1">
      <alignment horizontal="center" vertical="center"/>
    </xf>
    <xf numFmtId="186" fontId="0" fillId="0" borderId="21" xfId="0" applyNumberFormat="1" applyBorder="1" applyAlignment="1">
      <alignment horizontal="center" vertical="center"/>
    </xf>
    <xf numFmtId="178" fontId="0" fillId="0" borderId="21" xfId="0" applyNumberFormat="1" applyBorder="1" applyAlignment="1">
      <alignment horizontal="center" vertical="center"/>
    </xf>
    <xf numFmtId="178" fontId="0" fillId="0" borderId="17" xfId="0" applyNumberFormat="1" applyBorder="1" applyAlignment="1">
      <alignment horizontal="center" vertical="center"/>
    </xf>
    <xf numFmtId="0" fontId="0" fillId="11" borderId="26" xfId="0" applyFill="1" applyBorder="1"/>
    <xf numFmtId="0" fontId="0" fillId="11" borderId="20" xfId="0" applyFill="1" applyBorder="1"/>
    <xf numFmtId="178" fontId="1" fillId="0" borderId="0" xfId="0" applyNumberFormat="1" applyFont="1" applyAlignment="1">
      <alignment horizontal="center"/>
    </xf>
    <xf numFmtId="0" fontId="1" fillId="0" borderId="15" xfId="0" applyFont="1" applyBorder="1" applyAlignment="1">
      <alignment horizontal="center"/>
    </xf>
    <xf numFmtId="10" fontId="0" fillId="0" borderId="15" xfId="2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78" fontId="5" fillId="0" borderId="0" xfId="0" applyNumberFormat="1" applyFont="1" applyAlignment="1">
      <alignment horizontal="center"/>
    </xf>
    <xf numFmtId="179" fontId="5" fillId="0" borderId="0" xfId="0" applyNumberFormat="1" applyFont="1" applyAlignment="1">
      <alignment horizontal="center" vertical="center"/>
    </xf>
    <xf numFmtId="10" fontId="5" fillId="0" borderId="15" xfId="2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78" fontId="2" fillId="0" borderId="0" xfId="0" applyNumberFormat="1" applyFont="1" applyAlignment="1">
      <alignment horizontal="center"/>
    </xf>
    <xf numFmtId="179" fontId="2" fillId="0" borderId="0" xfId="0" applyNumberFormat="1" applyFont="1" applyAlignment="1">
      <alignment horizontal="center" vertical="center"/>
    </xf>
    <xf numFmtId="10" fontId="2" fillId="0" borderId="15" xfId="2" applyNumberFormat="1" applyFont="1" applyBorder="1" applyAlignment="1">
      <alignment horizontal="center"/>
    </xf>
    <xf numFmtId="10" fontId="0" fillId="10" borderId="15" xfId="2" applyNumberFormat="1" applyFont="1" applyFill="1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15" xfId="2" applyFont="1" applyBorder="1" applyAlignment="1">
      <alignment horizontal="center"/>
    </xf>
    <xf numFmtId="179" fontId="0" fillId="0" borderId="21" xfId="0" applyNumberForma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11" fillId="11" borderId="19" xfId="0" applyFont="1" applyFill="1" applyBorder="1" applyAlignment="1">
      <alignment horizontal="center"/>
    </xf>
    <xf numFmtId="0" fontId="11" fillId="0" borderId="14" xfId="0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78" fontId="11" fillId="0" borderId="21" xfId="0" applyNumberFormat="1" applyFont="1" applyBorder="1" applyAlignment="1">
      <alignment horizontal="center"/>
    </xf>
    <xf numFmtId="168" fontId="15" fillId="0" borderId="15" xfId="0" applyNumberFormat="1" applyFont="1" applyBorder="1" applyAlignment="1">
      <alignment horizontal="center" vertical="center" wrapText="1"/>
    </xf>
    <xf numFmtId="178" fontId="12" fillId="0" borderId="15" xfId="0" applyNumberFormat="1" applyFont="1" applyBorder="1" applyAlignment="1">
      <alignment horizontal="center" vertical="center"/>
    </xf>
    <xf numFmtId="179" fontId="12" fillId="0" borderId="15" xfId="0" applyNumberFormat="1" applyFont="1" applyBorder="1" applyAlignment="1">
      <alignment horizontal="center" vertical="center"/>
    </xf>
    <xf numFmtId="187" fontId="12" fillId="0" borderId="15" xfId="0" applyNumberFormat="1" applyFont="1" applyBorder="1" applyAlignment="1">
      <alignment horizontal="center" vertical="center"/>
    </xf>
    <xf numFmtId="186" fontId="12" fillId="0" borderId="15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168" fontId="12" fillId="0" borderId="15" xfId="0" applyNumberFormat="1" applyFont="1" applyBorder="1" applyAlignment="1">
      <alignment horizontal="center" vertical="center"/>
    </xf>
    <xf numFmtId="196" fontId="12" fillId="0" borderId="17" xfId="0" applyNumberFormat="1" applyFont="1" applyBorder="1" applyAlignment="1">
      <alignment horizontal="center" vertical="center"/>
    </xf>
    <xf numFmtId="0" fontId="11" fillId="11" borderId="2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14" fillId="0" borderId="0" xfId="0" applyFont="1" applyBorder="1" applyAlignment="1">
      <alignment horizontal="left"/>
    </xf>
    <xf numFmtId="0" fontId="14" fillId="0" borderId="0" xfId="0" applyFont="1" applyBorder="1"/>
    <xf numFmtId="207" fontId="12" fillId="0" borderId="0" xfId="0" applyNumberFormat="1" applyFont="1" applyBorder="1" applyAlignment="1">
      <alignment horizontal="center"/>
    </xf>
    <xf numFmtId="207" fontId="0" fillId="0" borderId="0" xfId="0" applyNumberFormat="1" applyBorder="1" applyAlignment="1">
      <alignment horizontal="center"/>
    </xf>
    <xf numFmtId="207" fontId="12" fillId="0" borderId="0" xfId="2" applyNumberFormat="1" applyFont="1" applyFill="1" applyBorder="1" applyAlignment="1">
      <alignment horizontal="center"/>
    </xf>
    <xf numFmtId="207" fontId="12" fillId="0" borderId="0" xfId="2" applyNumberFormat="1" applyFont="1" applyBorder="1" applyAlignment="1">
      <alignment horizontal="center"/>
    </xf>
    <xf numFmtId="207" fontId="4" fillId="0" borderId="0" xfId="0" applyNumberFormat="1" applyFont="1" applyBorder="1" applyAlignment="1">
      <alignment horizontal="center" vertical="center"/>
    </xf>
    <xf numFmtId="207" fontId="4" fillId="0" borderId="0" xfId="0" applyNumberFormat="1" applyFont="1" applyBorder="1" applyAlignment="1">
      <alignment horizontal="center"/>
    </xf>
    <xf numFmtId="207" fontId="14" fillId="0" borderId="0" xfId="0" applyNumberFormat="1" applyFont="1" applyBorder="1" applyAlignment="1">
      <alignment horizontal="center" vertical="center"/>
    </xf>
    <xf numFmtId="207" fontId="14" fillId="0" borderId="0" xfId="2" applyNumberFormat="1" applyFont="1" applyBorder="1" applyAlignment="1">
      <alignment horizontal="center" vertical="center"/>
    </xf>
    <xf numFmtId="207" fontId="11" fillId="0" borderId="0" xfId="0" applyNumberFormat="1" applyFont="1" applyBorder="1" applyAlignment="1">
      <alignment horizontal="center"/>
    </xf>
  </cellXfs>
  <cellStyles count="3">
    <cellStyle name="Navadno" xfId="0" builtinId="0"/>
    <cellStyle name="Normal_ZBIRNA TABELA" xfId="1" xr:uid="{00000000-0005-0000-0000-000001000000}"/>
    <cellStyle name="Odstotek" xfId="2" builtinId="5"/>
  </cellStyles>
  <dxfs count="12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alignment horizontal="center" vertical="bottom" textRotation="0" wrapText="0" indent="0" justifyLastLine="0" shrinkToFit="0" readingOrder="0"/>
    </dxf>
    <dxf>
      <numFmt numFmtId="179" formatCode="#,##0.00\ &quot;€/kom&quot;"/>
      <alignment horizontal="center" vertical="center" textRotation="0" wrapText="0" indent="0" justifyLastLine="0" shrinkToFit="0" readingOrder="0"/>
    </dxf>
    <dxf>
      <numFmt numFmtId="178" formatCode="#,##0.000\ &quot;€/kg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numFmt numFmtId="178" formatCode="#,##0.000\ &quot;€/kg&quot;"/>
      <alignment horizontal="center" vertical="center" textRotation="0" wrapText="0" indent="0" justifyLastLine="0" shrinkToFit="0" readingOrder="0"/>
    </dxf>
    <dxf>
      <numFmt numFmtId="178" formatCode="#,##0.000\ &quot;€/kg&quot;"/>
      <alignment horizontal="center" vertical="center" textRotation="0" wrapText="0" indent="0" justifyLastLine="0" shrinkToFit="0" readingOrder="0"/>
    </dxf>
    <dxf>
      <numFmt numFmtId="186" formatCode="#,##0.000\ &quot;€/kom&quot;"/>
      <alignment horizontal="center" vertical="center" textRotation="0" wrapText="0" indent="0" justifyLastLine="0" shrinkToFit="0" readingOrder="0"/>
    </dxf>
    <dxf>
      <numFmt numFmtId="186" formatCode="#,##0.000\ &quot;€/kom&quot;"/>
      <alignment horizontal="center" vertical="center" textRotation="0" wrapText="0" indent="0" justifyLastLine="0" shrinkToFit="0" readingOrder="0"/>
    </dxf>
    <dxf>
      <numFmt numFmtId="178" formatCode="#,##0.000\ &quot;€/kg&quot;"/>
      <alignment horizontal="center" vertical="center" textRotation="0" wrapText="0" indent="0" justifyLastLine="0" shrinkToFit="0" readingOrder="0"/>
    </dxf>
    <dxf>
      <numFmt numFmtId="178" formatCode="#,##0.000\ &quot;€/kg&quot;"/>
      <alignment horizontal="center" vertical="center" textRotation="0" wrapText="0" indent="0" justifyLastLine="0" shrinkToFit="0" readingOrder="0"/>
    </dxf>
    <dxf>
      <numFmt numFmtId="186" formatCode="#,##0.000\ &quot;€/kom&quot;"/>
      <alignment horizontal="center" vertical="center" textRotation="0" wrapText="0" indent="0" justifyLastLine="0" shrinkToFit="0" readingOrder="0"/>
    </dxf>
    <dxf>
      <numFmt numFmtId="186" formatCode="#,##0.000\ &quot;€/kom&quot;"/>
      <alignment horizontal="center" vertical="center" textRotation="0" wrapText="0" indent="0" justifyLastLine="0" shrinkToFit="0" readingOrder="0"/>
    </dxf>
    <dxf>
      <numFmt numFmtId="178" formatCode="#,##0.000\ &quot;€/kg&quot;"/>
      <alignment horizontal="center" vertical="center" textRotation="0" wrapText="0" indent="0" justifyLastLine="0" shrinkToFit="0" readingOrder="0"/>
    </dxf>
    <dxf>
      <numFmt numFmtId="178" formatCode="#,##0.000\ &quot;€/kg&quot;"/>
      <alignment horizontal="center" vertical="center" textRotation="0" wrapText="0" indent="0" justifyLastLine="0" shrinkToFit="0" readingOrder="0"/>
    </dxf>
    <dxf>
      <numFmt numFmtId="186" formatCode="#,##0.000\ &quot;€/kom&quot;"/>
      <alignment horizontal="center" vertical="center" textRotation="0" wrapText="0" indent="0" justifyLastLine="0" shrinkToFit="0" readingOrder="0"/>
    </dxf>
    <dxf>
      <numFmt numFmtId="186" formatCode="#,##0.000\ &quot;€/kom&quot;"/>
      <alignment horizontal="center" vertical="center" textRotation="0" wrapText="0" indent="0" justifyLastLine="0" shrinkToFit="0" readingOrder="0"/>
    </dxf>
    <dxf>
      <numFmt numFmtId="201" formatCode="#,##0.00\ &quot;min/kom&quot;"/>
      <alignment horizontal="center" vertical="center" textRotation="0" wrapText="0" indent="0" justifyLastLine="0" shrinkToFit="0" readingOrder="0"/>
    </dxf>
    <dxf>
      <numFmt numFmtId="201" formatCode="#,##0.00\ &quot;min/kom&quot;"/>
      <alignment horizontal="center" vertical="center" textRotation="0" wrapText="0" indent="0" justifyLastLine="0" shrinkToFit="0" readingOrder="0"/>
    </dxf>
    <dxf>
      <numFmt numFmtId="200" formatCode="#,##0\ &quot;€&quot;"/>
      <alignment horizontal="center" vertical="center" textRotation="0" wrapText="0" indent="0" justifyLastLine="0" shrinkToFit="0" readingOrder="0"/>
    </dxf>
    <dxf>
      <numFmt numFmtId="200" formatCode="#,##0\ &quot;€&quot;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199" formatCode="#,##0\ &quot;uposl.&quot;"/>
      <alignment horizontal="center" vertical="center" textRotation="0" wrapText="0" indent="0" justifyLastLine="0" shrinkToFit="0" readingOrder="0"/>
    </dxf>
    <dxf>
      <numFmt numFmtId="199" formatCode="#,##0\ &quot;uposl.&quot;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198" formatCode="#,##0\ &quot;KW&quot;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8" formatCode="#,##0\ &quot;KW&quot;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numFmt numFmtId="190" formatCode="#,##0.0000\ &quot;€/kg&quot;"/>
      <alignment horizontal="center" vertical="bottom" textRotation="0" wrapText="0" indent="0" justifyLastLine="0" shrinkToFit="0" readingOrder="0"/>
    </dxf>
    <dxf>
      <numFmt numFmtId="190" formatCode="#,##0.0000\ &quot;€/kg&quot;"/>
      <alignment horizontal="center" vertical="bottom" textRotation="0" wrapText="0" indent="0" justifyLastLine="0" shrinkToFit="0" readingOrder="0"/>
    </dxf>
    <dxf>
      <numFmt numFmtId="186" formatCode="#,##0.000\ &quot;€/kom&quot;"/>
      <alignment horizontal="center" vertical="center" textRotation="0" wrapText="0" indent="0" justifyLastLine="0" shrinkToFit="0" readingOrder="0"/>
    </dxf>
    <dxf>
      <numFmt numFmtId="186" formatCode="#,##0.000\ &quot;€/kom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#,##0.00\ &quot;€/kom&quot;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3" formatCode="#,##0\ &quot;kom&quot;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numFmt numFmtId="190" formatCode="#,##0.0000\ &quot;€/kg&quot;"/>
      <alignment horizontal="center" vertical="bottom" textRotation="0" wrapText="0" indent="0" justifyLastLine="0" shrinkToFit="0" readingOrder="0"/>
    </dxf>
    <dxf>
      <numFmt numFmtId="190" formatCode="#,##0.0000\ &quot;€/kg&quot;"/>
      <alignment horizontal="center" vertical="bottom" textRotation="0" wrapText="0" indent="0" justifyLastLine="0" shrinkToFit="0" readingOrder="0"/>
    </dxf>
    <dxf>
      <numFmt numFmtId="186" formatCode="#,##0.000\ &quot;€/kom&quot;"/>
      <alignment horizontal="center" vertical="bottom" textRotation="0" wrapText="0" indent="0" justifyLastLine="0" shrinkToFit="0" readingOrder="0"/>
    </dxf>
    <dxf>
      <numFmt numFmtId="186" formatCode="#,##0.000\ &quot;€/ko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numFmt numFmtId="181" formatCode="#,##0.0000\ &quot;€/kg taline&quot;"/>
      <alignment horizontal="center" vertical="bottom" textRotation="0" wrapText="0" indent="0" justifyLastLine="0" shrinkToFit="0" readingOrder="0"/>
    </dxf>
    <dxf>
      <numFmt numFmtId="181" formatCode="#,##0.0000\ &quot;€/kg taline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9" formatCode="#,##0.00\ &quot;€/kom&quot;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66" formatCode="0.000%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0.000%"/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66" formatCode="0.000%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0.000%"/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66" formatCode="0.000%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0.000%"/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66" formatCode="0.000%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0.000%"/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66" formatCode="0.000%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0.000%"/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66" formatCode="0.000%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0.000%"/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66" formatCode="0.000%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0.000%"/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66" formatCode="0.000%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0.000%"/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66" formatCode="0.000%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0.000%"/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66" formatCode="0.000%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0.000%"/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66" formatCode="0.000%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0.000%"/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66" formatCode="0.000%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0.000%"/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66" formatCode="0.000%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0.000%"/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66" formatCode="0.000%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0.0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66" formatCode="0.000%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0.000%"/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66" formatCode="0.000%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0.000%"/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68" formatCode="#,##0.00\ &quot;€/kg&quot;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#,##0.00\ &quot;€/kg&quot;"/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65" formatCode="#,##0.00\ &quot;kg&quot;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\ &quot;kg&quot;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right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6" tint="0.59999389629810485"/>
        </patternFill>
      </fill>
      <alignment horizontal="right" vertical="bottom"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numFmt numFmtId="170" formatCode="#,##0\ &quot;pcs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33:B54" totalsRowShown="0" headerRowDxfId="123" dataDxfId="121" headerRowBorderDxfId="122" tableBorderDxfId="120">
  <autoFilter ref="A33:B54" xr:uid="{00000000-0009-0000-0100-000004000000}"/>
  <tableColumns count="2">
    <tableColumn id="1" xr3:uid="{00000000-0010-0000-0000-000001000000}" name="Casting Information" dataDxfId="119"/>
    <tableColumn id="2" xr3:uid="{00000000-0010-0000-0000-000002000000}" name="Data" dataDxfId="11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69:S80" totalsRowCount="1" headerRowDxfId="117" dataDxfId="116" totalsRowDxfId="115">
  <autoFilter ref="A69:S79" xr:uid="{00000000-0009-0000-0100-000001000000}"/>
  <tableColumns count="19">
    <tableColumn id="1" xr3:uid="{00000000-0010-0000-0100-000001000000}" name="Material Inputs" totalsRowLabel="Total" dataDxfId="114" totalsRowDxfId="113"/>
    <tableColumn id="18" xr3:uid="{00000000-0010-0000-0100-000012000000}" name="Mase uloška" totalsRowFunction="sum" dataDxfId="112" totalsRowDxfId="111">
      <calculatedColumnFormula>($B$60*1000-$T$90)*F70</calculatedColumnFormula>
    </tableColumn>
    <tableColumn id="19" xr3:uid="{00000000-0010-0000-0100-000013000000}" name="Cijene" dataDxfId="110" totalsRowDxfId="109"/>
    <tableColumn id="2" xr3:uid="{00000000-0010-0000-0100-000002000000}" name="Udio" totalsRowFunction="sum" dataDxfId="108" totalsRowDxfId="107"/>
    <tableColumn id="3" xr3:uid="{00000000-0010-0000-0100-000003000000}" name="Odgor" totalsRowFunction="custom" dataDxfId="106" totalsRowDxfId="105">
      <totalsRowFormula>SUMPRODUCT(D70:D79,E70:E79)</totalsRowFormula>
    </tableColumn>
    <tableColumn id="15" xr3:uid="{00000000-0010-0000-0100-00000F000000}" name="Udio prije odgora" totalsRowFunction="sum" dataDxfId="104" totalsRowDxfId="103">
      <calculatedColumnFormula>IF(Table1[[#This Row],[Odgor]]="",0%,Table1[[#This Row],[Udio]]/(100%-Table1[[#This Row],[Odgor]]))</calculatedColumnFormula>
    </tableColumn>
    <tableColumn id="4" xr3:uid="{00000000-0010-0000-0100-000004000000}" name="C" totalsRowFunction="custom" dataDxfId="102" totalsRowDxfId="101">
      <totalsRowFormula>SUMPRODUCT($D$70:$D$79,G70:G79)</totalsRowFormula>
    </tableColumn>
    <tableColumn id="5" xr3:uid="{00000000-0010-0000-0100-000005000000}" name="Si" totalsRowFunction="custom" dataDxfId="100" totalsRowDxfId="99">
      <totalsRowFormula>SUMPRODUCT($D$70:$D$79,H70:H79)</totalsRowFormula>
    </tableColumn>
    <tableColumn id="6" xr3:uid="{00000000-0010-0000-0100-000006000000}" name="Mn" totalsRowFunction="custom" dataDxfId="98" totalsRowDxfId="97">
      <totalsRowFormula>SUMPRODUCT($D$70:$D$79,I70:I79)</totalsRowFormula>
    </tableColumn>
    <tableColumn id="7" xr3:uid="{00000000-0010-0000-0100-000007000000}" name="P" totalsRowFunction="custom" dataDxfId="96" totalsRowDxfId="95">
      <totalsRowFormula>SUMPRODUCT($D$70:$D$79,J70:J79)</totalsRowFormula>
    </tableColumn>
    <tableColumn id="8" xr3:uid="{00000000-0010-0000-0100-000008000000}" name="S" totalsRowFunction="custom" dataDxfId="94" totalsRowDxfId="93">
      <totalsRowFormula>SUMPRODUCT($D$70:$D$79,K70:K79)</totalsRowFormula>
    </tableColumn>
    <tableColumn id="9" xr3:uid="{00000000-0010-0000-0100-000009000000}" name="Cr" totalsRowFunction="custom" dataDxfId="92" totalsRowDxfId="91">
      <totalsRowFormula>SUMPRODUCT($D$70:$D$79,L70:L79)</totalsRowFormula>
    </tableColumn>
    <tableColumn id="10" xr3:uid="{00000000-0010-0000-0100-00000A000000}" name="Cu" totalsRowFunction="custom" dataDxfId="90" totalsRowDxfId="89">
      <totalsRowFormula>SUMPRODUCT($D$70:$D$79,M70:M79)</totalsRowFormula>
    </tableColumn>
    <tableColumn id="11" xr3:uid="{00000000-0010-0000-0100-00000B000000}" name="Mo" totalsRowFunction="custom" dataDxfId="88" totalsRowDxfId="87">
      <totalsRowFormula>SUMPRODUCT($D$70:$D$79,N70:N79)</totalsRowFormula>
    </tableColumn>
    <tableColumn id="12" xr3:uid="{00000000-0010-0000-0100-00000C000000}" name="Ni" totalsRowFunction="custom" dataDxfId="86" totalsRowDxfId="85">
      <totalsRowFormula>SUMPRODUCT($D$70:$D$79,O70:O79)</totalsRowFormula>
    </tableColumn>
    <tableColumn id="13" xr3:uid="{00000000-0010-0000-0100-00000D000000}" name="Str" totalsRowFunction="custom" dataDxfId="84" totalsRowDxfId="83">
      <totalsRowFormula>SUMPRODUCT($D$70:$D$79,P70:P79)</totalsRowFormula>
    </tableColumn>
    <tableColumn id="14" xr3:uid="{00000000-0010-0000-0100-00000E000000}" name="Ba" totalsRowFunction="custom" dataDxfId="82" totalsRowDxfId="81">
      <totalsRowFormula>SUMPRODUCT($D$70:$D$79,Q70:Q79)</totalsRowFormula>
    </tableColumn>
    <tableColumn id="16" xr3:uid="{00000000-0010-0000-0100-000010000000}" name="Mg" totalsRowFunction="custom" dataDxfId="80" totalsRowDxfId="79">
      <totalsRowFormula>SUMPRODUCT($D$70:$D$79,R70:R79)</totalsRowFormula>
    </tableColumn>
    <tableColumn id="17" xr3:uid="{00000000-0010-0000-0100-000011000000}" name="CaC2" totalsRowFunction="custom" dataDxfId="78" totalsRowDxfId="77">
      <totalsRowFormula>SUMPRODUCT($D$70:$D$79,S70:S79)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98:H108" totalsRowCount="1" headerRowDxfId="76">
  <autoFilter ref="A98:H107" xr:uid="{00000000-0009-0000-0100-000005000000}"/>
  <tableColumns count="8">
    <tableColumn id="1" xr3:uid="{00000000-0010-0000-0200-000001000000}" name="AUXILIARY MATERIAL" totalsRowLabel="Total" dataDxfId="75" totalsRowDxfId="74"/>
    <tableColumn id="2" xr3:uid="{00000000-0010-0000-0200-000002000000}" name="Mjesto troška" dataDxfId="73" totalsRowDxfId="72"/>
    <tableColumn id="3" xr3:uid="{00000000-0010-0000-0200-000003000000}" name="Postojanost" dataDxfId="71" totalsRowDxfId="70"/>
    <tableColumn id="4" xr3:uid="{00000000-0010-0000-0200-000004000000}" name="Trošak" dataDxfId="69" totalsRowDxfId="68"/>
    <tableColumn id="5" xr3:uid="{00000000-0010-0000-0200-000005000000}" name="Status 1/0" dataDxfId="67" totalsRowDxfId="66"/>
    <tableColumn id="6" xr3:uid="{00000000-0010-0000-0200-000006000000}" name="Planske koičine"/>
    <tableColumn id="7" xr3:uid="{00000000-0010-0000-0200-000007000000}" name="Udio u proizvodnji" dataDxfId="65" totalsRowDxfId="64">
      <calculatedColumnFormula>('Price Calculator'!$B$47*('Price Calculator'!$B$43/'Price Calculator'!$B$41)/1000)/'Price Calculator'!$B$52</calculatedColumnFormula>
    </tableColumn>
    <tableColumn id="8" xr3:uid="{00000000-0010-0000-0200-000008000000}" name="Trošak2" totalsRowFunction="sum" dataDxfId="63" totalsRowDxfId="62">
      <calculatedColumnFormula>IF(F99="N/A",E99*D99*C99/1000,G99*E99*D99/(F99*('Price Calculator'!$B$43/'Price Calculator'!$B$41)))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11:B119" totalsRowShown="0">
  <autoFilter ref="A111:B119" xr:uid="{00000000-0009-0000-0100-000006000000}"/>
  <tableColumns count="2">
    <tableColumn id="1" xr3:uid="{00000000-0010-0000-0300-000001000000}" name="Name  " dataDxfId="61"/>
    <tableColumn id="2" xr3:uid="{00000000-0010-0000-0300-000002000000}" name="Podatak" dataDxfId="6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21:G135" totalsRowCount="1">
  <autoFilter ref="A121:G134" xr:uid="{00000000-0009-0000-0100-000007000000}"/>
  <tableColumns count="7">
    <tableColumn id="1" xr3:uid="{00000000-0010-0000-0400-000001000000}" name="Pomoćni Materijal" totalsRowLabel="Total" dataDxfId="59" totalsRowDxfId="58"/>
    <tableColumn id="2" xr3:uid="{00000000-0010-0000-0400-000002000000}" name="Mjesto troška" dataDxfId="57" totalsRowDxfId="56"/>
    <tableColumn id="3" xr3:uid="{00000000-0010-0000-0400-000003000000}" name="Procenat osvježavanja_x000a_/     Frekvencija" dataDxfId="55" totalsRowDxfId="54"/>
    <tableColumn id="4" xr3:uid="{00000000-0010-0000-0400-000004000000}" name="Količina materijala" dataDxfId="53" totalsRowDxfId="52"/>
    <tableColumn id="5" xr3:uid="{00000000-0010-0000-0400-000005000000}" name="Cijena" dataDxfId="51" totalsRowDxfId="50"/>
    <tableColumn id="6" xr3:uid="{00000000-0010-0000-0400-000006000000}" name="Trošak" totalsRowFunction="sum" dataDxfId="49" totalsRowDxfId="48">
      <calculatedColumnFormula>Table7[[#This Row],[Cijena]]*Table7[[#This Row],[Količina materijala]]</calculatedColumnFormula>
    </tableColumn>
    <tableColumn id="7" xr3:uid="{00000000-0010-0000-0400-000007000000}" name="Trošak po kg" totalsRowFunction="sum" dataDxfId="47" totalsRowDxfId="46">
      <calculatedColumnFormula>F122/'Price Calculator'!$B$39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A138:F146" totalsRowCount="1" headerRowDxfId="45" dataDxfId="44">
  <autoFilter ref="A138:F145" xr:uid="{00000000-0009-0000-0100-000008000000}"/>
  <tableColumns count="6">
    <tableColumn id="1" xr3:uid="{00000000-0010-0000-0500-000001000000}" name="AUXILIARY MATERIAL" totalsRowLabel="Total" dataDxfId="43" totalsRowDxfId="42"/>
    <tableColumn id="2" xr3:uid="{00000000-0010-0000-0500-000002000000}" name="Mjesto troška" dataDxfId="41" totalsRowDxfId="40"/>
    <tableColumn id="3" xr3:uid="{00000000-0010-0000-0500-000003000000}" name="Postojanost / Protok" dataDxfId="39" totalsRowDxfId="38"/>
    <tableColumn id="4" xr3:uid="{00000000-0010-0000-0500-000004000000}" name="Cijena" dataDxfId="37" totalsRowDxfId="36"/>
    <tableColumn id="5" xr3:uid="{00000000-0010-0000-0500-000005000000}" name="Trošak" totalsRowFunction="sum" dataDxfId="35" totalsRowDxfId="34">
      <calculatedColumnFormula>D139/C139</calculatedColumnFormula>
    </tableColumn>
    <tableColumn id="6" xr3:uid="{00000000-0010-0000-0500-000006000000}" name="Trošak po kg" totalsRowFunction="sum" dataDxfId="33" totalsRowDxfId="32">
      <calculatedColumnFormula>E139/'Price Calculator'!$B$39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A151:B157" totalsRowShown="0" headerRowDxfId="31">
  <autoFilter ref="A151:B157" xr:uid="{00000000-0009-0000-0100-000009000000}"/>
  <tableColumns count="2">
    <tableColumn id="1" xr3:uid="{00000000-0010-0000-0600-000001000000}" name="Stroj" dataDxfId="30"/>
    <tableColumn id="2" xr3:uid="{00000000-0010-0000-0600-000002000000}" name="Naziv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10" displayName="Table10" ref="A159:K170" totalsRowCount="1" dataDxfId="29">
  <autoFilter ref="A159:K169" xr:uid="{00000000-0009-0000-0100-00000A000000}"/>
  <tableColumns count="11">
    <tableColumn id="1" xr3:uid="{00000000-0010-0000-0700-000001000000}" name="COST CENTER" totalsRowLabel="Total" dataDxfId="28" totalsRowDxfId="27"/>
    <tableColumn id="2" xr3:uid="{00000000-0010-0000-0700-000002000000}" name="Snaga" totalsRowFunction="sum" dataDxfId="26" totalsRowDxfId="25"/>
    <tableColumn id="3" xr3:uid="{00000000-0010-0000-0700-000003000000}" name="Broj Uposlenih" totalsRowFunction="sum" dataDxfId="24" totalsRowDxfId="23"/>
    <tableColumn id="4" xr3:uid="{00000000-0010-0000-0700-000004000000}" name="Vrijednost godišnje amortizacije" totalsRowFunction="sum" dataDxfId="22" totalsRowDxfId="21">
      <calculatedColumnFormula>'Price Calculator'!B24</calculatedColumnFormula>
    </tableColumn>
    <tableColumn id="5" xr3:uid="{00000000-0010-0000-0700-000005000000}" name="Taktno vrijeme" totalsRowFunction="sum" dataDxfId="20" totalsRowDxfId="19">
      <calculatedColumnFormula>E159</calculatedColumnFormula>
    </tableColumn>
    <tableColumn id="10" xr3:uid="{00000000-0010-0000-0700-00000A000000}" name="Troš Amortizacije" totalsRowFunction="sum" dataDxfId="18" totalsRowDxfId="17">
      <calculatedColumnFormula>Table10[[#This Row],[Vrijednost godišnje amortizacije]]/(280*22.5*60)*Table10[[#This Row],[Taktno vrijeme]]</calculatedColumnFormula>
    </tableColumn>
    <tableColumn id="11" xr3:uid="{00000000-0010-0000-0700-00000B000000}" name="Tr. Am po kg" totalsRowFunction="sum" dataDxfId="16" totalsRowDxfId="15">
      <calculatedColumnFormula>F160/'Price Calculator'!$B$39</calculatedColumnFormula>
    </tableColumn>
    <tableColumn id="6" xr3:uid="{00000000-0010-0000-0700-000006000000}" name="Trošak el. Energije" totalsRowFunction="sum" dataDxfId="14" totalsRowDxfId="13">
      <calculatedColumnFormula>Table10[[#This Row],[Taktno vrijeme]]/60*Table10[[#This Row],[Snaga]]*$B$153*$B$152</calculatedColumnFormula>
    </tableColumn>
    <tableColumn id="8" xr3:uid="{00000000-0010-0000-0700-000008000000}" name="Troš ee po kg" totalsRowFunction="sum" dataDxfId="12" totalsRowDxfId="11">
      <calculatedColumnFormula>Table10[[#This Row],[Trošak el. Energije]]/'Price Calculator'!$B$39</calculatedColumnFormula>
    </tableColumn>
    <tableColumn id="7" xr3:uid="{00000000-0010-0000-0700-000007000000}" name="Trošak Uposlenih" totalsRowFunction="sum" dataDxfId="10" totalsRowDxfId="9">
      <calculatedColumnFormula>$B$154*Table10[[#This Row],[Broj Uposlenih]]*(Table10[[#This Row],[Taktno vrijeme]]/(22*7.5*60))</calculatedColumnFormula>
    </tableColumn>
    <tableColumn id="9" xr3:uid="{00000000-0010-0000-0700-000009000000}" name="Trošak up po kg" totalsRowFunction="sum" dataDxfId="8" totalsRowDxfId="7">
      <calculatedColumnFormula>J160/'Price Calculator'!$B$39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Table13" displayName="Table13" ref="A175:D187" totalsRowShown="0">
  <autoFilter ref="A175:D187" xr:uid="{00000000-0009-0000-0100-00000D000000}"/>
  <tableColumns count="4">
    <tableColumn id="1" xr3:uid="{00000000-0010-0000-0800-000001000000}" name="Trošak" dataDxfId="6"/>
    <tableColumn id="2" xr3:uid="{00000000-0010-0000-0800-000002000000}" name="€/kg" dataDxfId="5"/>
    <tableColumn id="3" xr3:uid="{00000000-0010-0000-0800-000003000000}" name="€/kom" dataDxfId="4"/>
    <tableColumn id="4" xr3:uid="{00000000-0010-0000-0800-000004000000}" name="CD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1C563-D2BE-4D8E-83E7-E9EA07331D79}">
  <dimension ref="A1:T245"/>
  <sheetViews>
    <sheetView tabSelected="1" zoomScaleNormal="100" workbookViewId="0">
      <selection activeCell="C14" sqref="C14"/>
    </sheetView>
  </sheetViews>
  <sheetFormatPr defaultRowHeight="12.75" x14ac:dyDescent="0.2"/>
  <cols>
    <col min="1" max="1" width="35.5703125" bestFit="1" customWidth="1"/>
    <col min="2" max="2" width="17.42578125" bestFit="1" customWidth="1"/>
    <col min="3" max="3" width="23.85546875" bestFit="1" customWidth="1"/>
    <col min="4" max="4" width="35.5703125" bestFit="1" customWidth="1"/>
    <col min="5" max="5" width="17" bestFit="1" customWidth="1"/>
    <col min="6" max="6" width="48.7109375" bestFit="1" customWidth="1"/>
    <col min="7" max="7" width="22.42578125" bestFit="1" customWidth="1"/>
    <col min="8" max="8" width="20.5703125" bestFit="1" customWidth="1"/>
    <col min="9" max="9" width="15.7109375" bestFit="1" customWidth="1"/>
    <col min="10" max="10" width="19" bestFit="1" customWidth="1"/>
    <col min="11" max="11" width="17.85546875" bestFit="1" customWidth="1"/>
    <col min="12" max="12" width="9.5703125" bestFit="1" customWidth="1"/>
    <col min="13" max="15" width="10.5703125" bestFit="1" customWidth="1"/>
    <col min="16" max="18" width="9.5703125" bestFit="1" customWidth="1"/>
    <col min="19" max="19" width="10.28515625" bestFit="1" customWidth="1"/>
    <col min="20" max="20" width="9.28515625" bestFit="1" customWidth="1"/>
  </cols>
  <sheetData>
    <row r="1" spans="1:3" x14ac:dyDescent="0.2">
      <c r="A1" s="186" t="s">
        <v>178</v>
      </c>
      <c r="B1" s="190">
        <v>13</v>
      </c>
      <c r="C1" s="187"/>
    </row>
    <row r="2" spans="1:3" x14ac:dyDescent="0.2">
      <c r="A2" s="186" t="s">
        <v>104</v>
      </c>
      <c r="B2" s="191">
        <v>3</v>
      </c>
      <c r="C2" s="187"/>
    </row>
    <row r="3" spans="1:3" x14ac:dyDescent="0.2">
      <c r="A3" s="186" t="s">
        <v>179</v>
      </c>
      <c r="B3" s="192">
        <v>6.5000000000000002E-2</v>
      </c>
      <c r="C3" s="187"/>
    </row>
    <row r="4" spans="1:3" x14ac:dyDescent="0.2">
      <c r="A4" s="186" t="s">
        <v>177</v>
      </c>
      <c r="B4" s="190">
        <v>6</v>
      </c>
      <c r="C4" s="187"/>
    </row>
    <row r="5" spans="1:3" x14ac:dyDescent="0.2">
      <c r="A5" s="188" t="s">
        <v>201</v>
      </c>
      <c r="B5" s="193">
        <v>0.6</v>
      </c>
      <c r="C5" s="187"/>
    </row>
    <row r="6" spans="1:3" x14ac:dyDescent="0.2">
      <c r="A6" s="188" t="s">
        <v>185</v>
      </c>
      <c r="B6" s="190">
        <v>2.8</v>
      </c>
      <c r="C6" s="187"/>
    </row>
    <row r="7" spans="1:3" x14ac:dyDescent="0.2">
      <c r="A7" s="188" t="s">
        <v>189</v>
      </c>
      <c r="B7" s="190">
        <v>1</v>
      </c>
      <c r="C7" s="187"/>
    </row>
    <row r="8" spans="1:3" x14ac:dyDescent="0.2">
      <c r="A8" s="188" t="s">
        <v>190</v>
      </c>
      <c r="B8" s="190">
        <v>0</v>
      </c>
      <c r="C8" s="187"/>
    </row>
    <row r="9" spans="1:3" x14ac:dyDescent="0.2">
      <c r="A9" s="189" t="s">
        <v>1</v>
      </c>
      <c r="B9" s="192">
        <v>3.4000000000000002E-2</v>
      </c>
      <c r="C9" s="187"/>
    </row>
    <row r="10" spans="1:3" x14ac:dyDescent="0.2">
      <c r="A10" s="187" t="s">
        <v>2</v>
      </c>
      <c r="B10" s="192">
        <v>2.0500000000000001E-2</v>
      </c>
      <c r="C10" s="187"/>
    </row>
    <row r="11" spans="1:3" x14ac:dyDescent="0.2">
      <c r="A11" s="187" t="s">
        <v>3</v>
      </c>
      <c r="B11" s="192">
        <v>6.4999999999999997E-3</v>
      </c>
      <c r="C11" s="187"/>
    </row>
    <row r="12" spans="1:3" x14ac:dyDescent="0.2">
      <c r="A12" s="187" t="s">
        <v>4</v>
      </c>
      <c r="B12" s="192">
        <v>1E-3</v>
      </c>
      <c r="C12" s="187"/>
    </row>
    <row r="13" spans="1:3" x14ac:dyDescent="0.2">
      <c r="A13" s="187" t="s">
        <v>7</v>
      </c>
      <c r="B13" s="192">
        <v>1E-3</v>
      </c>
      <c r="C13" s="187"/>
    </row>
    <row r="14" spans="1:3" x14ac:dyDescent="0.2">
      <c r="A14" s="187" t="s">
        <v>5</v>
      </c>
      <c r="B14" s="192">
        <v>2E-3</v>
      </c>
      <c r="C14" s="187"/>
    </row>
    <row r="15" spans="1:3" x14ac:dyDescent="0.2">
      <c r="A15" s="187" t="s">
        <v>8</v>
      </c>
      <c r="B15" s="192">
        <v>2.5000000000000001E-3</v>
      </c>
      <c r="C15" s="187"/>
    </row>
    <row r="16" spans="1:3" x14ac:dyDescent="0.2">
      <c r="A16" s="188" t="s">
        <v>203</v>
      </c>
      <c r="B16" s="192">
        <v>0</v>
      </c>
      <c r="C16" s="187"/>
    </row>
    <row r="17" spans="1:3" x14ac:dyDescent="0.2">
      <c r="A17" s="188" t="s">
        <v>180</v>
      </c>
      <c r="B17" s="194">
        <v>850</v>
      </c>
      <c r="C17" s="187"/>
    </row>
    <row r="18" spans="1:3" x14ac:dyDescent="0.2">
      <c r="A18" s="188" t="s">
        <v>181</v>
      </c>
      <c r="B18" s="194">
        <v>680</v>
      </c>
      <c r="C18" s="187"/>
    </row>
    <row r="19" spans="1:3" x14ac:dyDescent="0.2">
      <c r="A19" s="188" t="s">
        <v>182</v>
      </c>
      <c r="B19" s="194">
        <v>600</v>
      </c>
      <c r="C19" s="187"/>
    </row>
    <row r="20" spans="1:3" x14ac:dyDescent="0.2">
      <c r="A20" s="188" t="s">
        <v>183</v>
      </c>
      <c r="B20" s="194">
        <v>70</v>
      </c>
      <c r="C20" s="187"/>
    </row>
    <row r="21" spans="1:3" x14ac:dyDescent="0.2">
      <c r="A21" s="188" t="s">
        <v>184</v>
      </c>
      <c r="B21" s="195">
        <v>0.17</v>
      </c>
      <c r="C21" s="187"/>
    </row>
    <row r="22" spans="1:3" x14ac:dyDescent="0.2">
      <c r="A22" s="188" t="s">
        <v>191</v>
      </c>
      <c r="B22" s="190">
        <v>1850</v>
      </c>
      <c r="C22" s="187"/>
    </row>
    <row r="23" spans="1:3" x14ac:dyDescent="0.2">
      <c r="A23" s="188" t="s">
        <v>187</v>
      </c>
      <c r="B23" s="193">
        <v>7.0000000000000007E-2</v>
      </c>
      <c r="C23" s="187"/>
    </row>
    <row r="24" spans="1:3" x14ac:dyDescent="0.2">
      <c r="A24" s="188" t="s">
        <v>192</v>
      </c>
      <c r="B24" s="196">
        <v>2100000</v>
      </c>
      <c r="C24" s="187"/>
    </row>
    <row r="25" spans="1:3" x14ac:dyDescent="0.2">
      <c r="A25" s="188" t="s">
        <v>202</v>
      </c>
      <c r="B25" s="197">
        <v>0.12</v>
      </c>
      <c r="C25" s="187"/>
    </row>
    <row r="26" spans="1:3" x14ac:dyDescent="0.2">
      <c r="A26" s="189" t="s">
        <v>200</v>
      </c>
      <c r="B26" s="198">
        <f ca="1">'Price Calculator'!B191</f>
        <v>2.2509925653821949</v>
      </c>
      <c r="C26" s="187"/>
    </row>
    <row r="27" spans="1:3" x14ac:dyDescent="0.2">
      <c r="A27" s="187"/>
      <c r="B27" s="187"/>
      <c r="C27" s="187"/>
    </row>
    <row r="32" spans="1:3" ht="13.5" thickBot="1" x14ac:dyDescent="0.25"/>
    <row r="33" spans="1:2" ht="13.5" thickBot="1" x14ac:dyDescent="0.25">
      <c r="A33" s="44" t="s">
        <v>193</v>
      </c>
      <c r="B33" s="185" t="s">
        <v>194</v>
      </c>
    </row>
    <row r="34" spans="1:2" x14ac:dyDescent="0.2">
      <c r="A34" s="32" t="s">
        <v>97</v>
      </c>
      <c r="B34" s="31" t="s">
        <v>95</v>
      </c>
    </row>
    <row r="35" spans="1:2" x14ac:dyDescent="0.2">
      <c r="A35" s="32" t="s">
        <v>99</v>
      </c>
      <c r="B35" s="31">
        <v>123456</v>
      </c>
    </row>
    <row r="36" spans="1:2" x14ac:dyDescent="0.2">
      <c r="A36" s="32" t="s">
        <v>98</v>
      </c>
      <c r="B36" s="31">
        <v>6789</v>
      </c>
    </row>
    <row r="37" spans="1:2" x14ac:dyDescent="0.2">
      <c r="A37" s="33" t="s">
        <v>100</v>
      </c>
      <c r="B37" s="31" t="s">
        <v>96</v>
      </c>
    </row>
    <row r="38" spans="1:2" x14ac:dyDescent="0.2">
      <c r="A38" s="33" t="s">
        <v>102</v>
      </c>
      <c r="B38" s="34">
        <v>10</v>
      </c>
    </row>
    <row r="39" spans="1:2" x14ac:dyDescent="0.2">
      <c r="A39" s="30" t="s">
        <v>101</v>
      </c>
      <c r="B39" s="34">
        <f>'Price Calculator'!B1</f>
        <v>13</v>
      </c>
    </row>
    <row r="40" spans="1:2" x14ac:dyDescent="0.2">
      <c r="A40" s="32" t="s">
        <v>103</v>
      </c>
      <c r="B40" s="35">
        <f>IF(B39*B38=0,"",B38/B39)</f>
        <v>0.76923076923076927</v>
      </c>
    </row>
    <row r="41" spans="1:2" x14ac:dyDescent="0.2">
      <c r="A41" s="33" t="s">
        <v>104</v>
      </c>
      <c r="B41" s="36">
        <f>'Price Calculator'!B2</f>
        <v>3</v>
      </c>
    </row>
    <row r="42" spans="1:2" x14ac:dyDescent="0.2">
      <c r="A42" s="32" t="s">
        <v>105</v>
      </c>
      <c r="B42" s="22">
        <v>1.7</v>
      </c>
    </row>
    <row r="43" spans="1:2" x14ac:dyDescent="0.2">
      <c r="A43" s="32" t="s">
        <v>106</v>
      </c>
      <c r="B43" s="22">
        <f>(B41*B39)/B5</f>
        <v>65</v>
      </c>
    </row>
    <row r="44" spans="1:2" x14ac:dyDescent="0.2">
      <c r="A44" s="32" t="s">
        <v>107</v>
      </c>
      <c r="B44" s="37">
        <f>'Price Calculator'!B3</f>
        <v>6.5000000000000002E-2</v>
      </c>
    </row>
    <row r="45" spans="1:2" x14ac:dyDescent="0.2">
      <c r="A45" s="32" t="s">
        <v>108</v>
      </c>
      <c r="B45" s="31" t="s">
        <v>94</v>
      </c>
    </row>
    <row r="46" spans="1:2" x14ac:dyDescent="0.2">
      <c r="A46" s="32" t="s">
        <v>109</v>
      </c>
      <c r="B46" s="36">
        <v>20000</v>
      </c>
    </row>
    <row r="47" spans="1:2" x14ac:dyDescent="0.2">
      <c r="A47" s="32" t="s">
        <v>110</v>
      </c>
      <c r="B47" s="36">
        <f>IF(B46=0,"",B46/(100%-B44))</f>
        <v>21390.3743315508</v>
      </c>
    </row>
    <row r="48" spans="1:2" x14ac:dyDescent="0.2">
      <c r="A48" s="32" t="s">
        <v>111</v>
      </c>
      <c r="B48" s="38">
        <v>5</v>
      </c>
    </row>
    <row r="49" spans="1:20" x14ac:dyDescent="0.2">
      <c r="A49" s="32" t="s">
        <v>113</v>
      </c>
      <c r="B49" s="36">
        <f>IF(B48*B47=0,"",B48*B46)</f>
        <v>100000</v>
      </c>
    </row>
    <row r="50" spans="1:20" x14ac:dyDescent="0.2">
      <c r="A50" s="32" t="s">
        <v>112</v>
      </c>
      <c r="B50" s="36">
        <f>IF(B49=0,"",B49/(100%-B44))</f>
        <v>106951.871657754</v>
      </c>
    </row>
    <row r="51" spans="1:20" x14ac:dyDescent="0.2">
      <c r="A51" s="32" t="s">
        <v>114</v>
      </c>
      <c r="B51" s="39">
        <f>B47*B43/B41/1000</f>
        <v>463.45811051693403</v>
      </c>
    </row>
    <row r="52" spans="1:20" x14ac:dyDescent="0.2">
      <c r="A52" s="32" t="s">
        <v>115</v>
      </c>
      <c r="B52" s="39">
        <v>30000</v>
      </c>
    </row>
    <row r="53" spans="1:20" x14ac:dyDescent="0.2">
      <c r="A53" s="40" t="s">
        <v>176</v>
      </c>
      <c r="B53" s="36">
        <v>1</v>
      </c>
    </row>
    <row r="54" spans="1:20" x14ac:dyDescent="0.2">
      <c r="A54" s="40" t="s">
        <v>177</v>
      </c>
      <c r="B54" s="41">
        <f>'Price Calculator'!B4</f>
        <v>6</v>
      </c>
    </row>
    <row r="58" spans="1:20" ht="13.5" thickBot="1" x14ac:dyDescent="0.25"/>
    <row r="59" spans="1:20" ht="13.5" thickBot="1" x14ac:dyDescent="0.25">
      <c r="A59" s="44" t="s">
        <v>195</v>
      </c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4"/>
    </row>
    <row r="60" spans="1:20" ht="15" thickBot="1" x14ac:dyDescent="0.25">
      <c r="A60" s="71" t="s">
        <v>136</v>
      </c>
      <c r="B60" s="72">
        <v>4</v>
      </c>
      <c r="C60" s="45"/>
      <c r="T60" s="42"/>
    </row>
    <row r="61" spans="1:20" ht="26.25" thickBot="1" x14ac:dyDescent="0.25">
      <c r="A61" s="46" t="s">
        <v>137</v>
      </c>
      <c r="B61" s="23">
        <f ca="1">SUMPRODUCT(B70:B79,C70:C79)+SUMPRODUCT(G90:S90,G91:S91)</f>
        <v>2044.3445553702236</v>
      </c>
      <c r="T61" s="42"/>
    </row>
    <row r="62" spans="1:20" x14ac:dyDescent="0.2">
      <c r="A62" s="29"/>
      <c r="F62" s="47" t="s">
        <v>131</v>
      </c>
      <c r="G62" s="1" t="str">
        <f t="shared" ref="G62:S62" si="0">G69</f>
        <v>C</v>
      </c>
      <c r="H62" s="2" t="str">
        <f t="shared" si="0"/>
        <v>Si</v>
      </c>
      <c r="I62" s="2" t="str">
        <f t="shared" si="0"/>
        <v>Mn</v>
      </c>
      <c r="J62" s="2" t="str">
        <f t="shared" si="0"/>
        <v>P</v>
      </c>
      <c r="K62" s="2" t="str">
        <f t="shared" si="0"/>
        <v>S</v>
      </c>
      <c r="L62" s="2" t="str">
        <f t="shared" si="0"/>
        <v>Cr</v>
      </c>
      <c r="M62" s="2" t="str">
        <f t="shared" si="0"/>
        <v>Cu</v>
      </c>
      <c r="N62" s="2" t="str">
        <f t="shared" si="0"/>
        <v>Mo</v>
      </c>
      <c r="O62" s="2" t="str">
        <f t="shared" si="0"/>
        <v>Ni</v>
      </c>
      <c r="P62" s="2" t="str">
        <f t="shared" si="0"/>
        <v>Str</v>
      </c>
      <c r="Q62" s="2" t="str">
        <f t="shared" si="0"/>
        <v>Ba</v>
      </c>
      <c r="R62" s="2" t="str">
        <f t="shared" si="0"/>
        <v>Mg</v>
      </c>
      <c r="S62" s="3" t="str">
        <f t="shared" si="0"/>
        <v>CaC2</v>
      </c>
      <c r="T62" s="42"/>
    </row>
    <row r="63" spans="1:20" x14ac:dyDescent="0.2">
      <c r="A63" s="29"/>
      <c r="F63" s="47" t="s">
        <v>132</v>
      </c>
      <c r="G63" s="16">
        <f>'Price Calculator'!B9</f>
        <v>3.4000000000000002E-2</v>
      </c>
      <c r="H63" s="15">
        <f>'Price Calculator'!B10</f>
        <v>2.0500000000000001E-2</v>
      </c>
      <c r="I63" s="15">
        <f>'Price Calculator'!B11</f>
        <v>6.4999999999999997E-3</v>
      </c>
      <c r="J63" s="15">
        <f>'Price Calculator'!B12</f>
        <v>1E-3</v>
      </c>
      <c r="K63" s="15">
        <f>'Price Calculator'!B13</f>
        <v>1E-3</v>
      </c>
      <c r="L63" s="15">
        <f>'Price Calculator'!B14</f>
        <v>2E-3</v>
      </c>
      <c r="M63" s="15">
        <f>'Price Calculator'!B15</f>
        <v>2.5000000000000001E-3</v>
      </c>
      <c r="N63" s="15"/>
      <c r="O63" s="15"/>
      <c r="P63" s="15"/>
      <c r="Q63" s="15"/>
      <c r="R63" s="15">
        <f>'Price Calculator'!B16</f>
        <v>0</v>
      </c>
      <c r="S63" s="17"/>
      <c r="T63" s="42"/>
    </row>
    <row r="64" spans="1:20" x14ac:dyDescent="0.2">
      <c r="A64" s="29"/>
      <c r="F64" s="47" t="s">
        <v>133</v>
      </c>
      <c r="G64" s="16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7"/>
      <c r="T64" s="42"/>
    </row>
    <row r="65" spans="1:20" x14ac:dyDescent="0.2">
      <c r="A65" s="29"/>
      <c r="F65" s="47" t="s">
        <v>134</v>
      </c>
      <c r="G65" s="16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7"/>
      <c r="T65" s="42"/>
    </row>
    <row r="66" spans="1:20" ht="13.5" thickBot="1" x14ac:dyDescent="0.25">
      <c r="A66" s="29"/>
      <c r="F66" s="47" t="s">
        <v>135</v>
      </c>
      <c r="G66" s="18">
        <f t="shared" ref="G66:S66" ca="1" si="1">MAX(G83:G84)/($B$80+$T$86)</f>
        <v>3.4121462057271332E-2</v>
      </c>
      <c r="H66" s="19">
        <f t="shared" ca="1" si="1"/>
        <v>2.0573234475707712E-2</v>
      </c>
      <c r="I66" s="19">
        <f t="shared" ca="1" si="1"/>
        <v>6.5232206874195186E-3</v>
      </c>
      <c r="J66" s="19">
        <f t="shared" ca="1" si="1"/>
        <v>1.0035724134491567E-3</v>
      </c>
      <c r="K66" s="19">
        <f t="shared" ca="1" si="1"/>
        <v>1.0035724134491567E-3</v>
      </c>
      <c r="L66" s="19">
        <f t="shared" ca="1" si="1"/>
        <v>2.0071448268983135E-3</v>
      </c>
      <c r="M66" s="19">
        <f t="shared" ca="1" si="1"/>
        <v>2.5089310336228916E-3</v>
      </c>
      <c r="N66" s="19">
        <f t="shared" ca="1" si="1"/>
        <v>0</v>
      </c>
      <c r="O66" s="19">
        <f t="shared" ca="1" si="1"/>
        <v>0</v>
      </c>
      <c r="P66" s="19">
        <f t="shared" ca="1" si="1"/>
        <v>0</v>
      </c>
      <c r="Q66" s="19">
        <f t="shared" ca="1" si="1"/>
        <v>0</v>
      </c>
      <c r="R66" s="19">
        <f t="shared" ca="1" si="1"/>
        <v>0</v>
      </c>
      <c r="S66" s="20">
        <f t="shared" ca="1" si="1"/>
        <v>0</v>
      </c>
      <c r="T66" s="42"/>
    </row>
    <row r="67" spans="1:20" x14ac:dyDescent="0.2">
      <c r="A67" s="29"/>
      <c r="T67" s="42"/>
    </row>
    <row r="68" spans="1:20" x14ac:dyDescent="0.2">
      <c r="A68" s="29"/>
      <c r="T68" s="42"/>
    </row>
    <row r="69" spans="1:20" x14ac:dyDescent="0.2">
      <c r="A69" s="48" t="s">
        <v>138</v>
      </c>
      <c r="B69" s="49" t="s">
        <v>36</v>
      </c>
      <c r="C69" s="49" t="s">
        <v>38</v>
      </c>
      <c r="D69" s="49" t="s">
        <v>24</v>
      </c>
      <c r="E69" s="49" t="s">
        <v>25</v>
      </c>
      <c r="F69" s="49" t="s">
        <v>37</v>
      </c>
      <c r="G69" s="50" t="s">
        <v>1</v>
      </c>
      <c r="H69" s="50" t="s">
        <v>2</v>
      </c>
      <c r="I69" s="50" t="s">
        <v>3</v>
      </c>
      <c r="J69" s="50" t="s">
        <v>4</v>
      </c>
      <c r="K69" s="50" t="s">
        <v>7</v>
      </c>
      <c r="L69" s="50" t="s">
        <v>5</v>
      </c>
      <c r="M69" s="50" t="s">
        <v>8</v>
      </c>
      <c r="N69" s="50" t="s">
        <v>22</v>
      </c>
      <c r="O69" s="50" t="s">
        <v>23</v>
      </c>
      <c r="P69" s="50" t="s">
        <v>42</v>
      </c>
      <c r="Q69" s="50" t="s">
        <v>43</v>
      </c>
      <c r="R69" s="50" t="s">
        <v>44</v>
      </c>
      <c r="S69" s="50" t="s">
        <v>6</v>
      </c>
      <c r="T69" s="51"/>
    </row>
    <row r="70" spans="1:20" x14ac:dyDescent="0.2">
      <c r="A70" s="52" t="s">
        <v>116</v>
      </c>
      <c r="B70" s="53">
        <f t="shared" ref="B70:B79" ca="1" si="2">($B$60*1000-$T$90)*F70</f>
        <v>1402.8811494002689</v>
      </c>
      <c r="C70" s="54">
        <f>B198</f>
        <v>0.43</v>
      </c>
      <c r="D70" s="55">
        <v>0.35</v>
      </c>
      <c r="E70" s="55">
        <v>0.03</v>
      </c>
      <c r="F70" s="56">
        <f>IF(Table1[[#This Row],[Odgor]]="",0%,Table1[[#This Row],[Udio]]/(100%-Table1[[#This Row],[Odgor]]))</f>
        <v>0.36082474226804123</v>
      </c>
      <c r="G70" s="55">
        <v>2.5000000000000001E-3</v>
      </c>
      <c r="H70" s="55">
        <v>5.0000000000000001E-3</v>
      </c>
      <c r="I70" s="55">
        <v>5.0000000000000001E-3</v>
      </c>
      <c r="J70" s="55">
        <v>2.0000000000000001E-4</v>
      </c>
      <c r="K70" s="55">
        <v>2.0000000000000001E-4</v>
      </c>
      <c r="L70" s="55">
        <v>1.5E-3</v>
      </c>
      <c r="M70" s="55"/>
      <c r="N70" s="55"/>
      <c r="O70" s="55"/>
      <c r="P70" s="55"/>
      <c r="Q70" s="55"/>
      <c r="R70" s="57"/>
      <c r="S70" s="57"/>
      <c r="T70" s="42"/>
    </row>
    <row r="71" spans="1:20" x14ac:dyDescent="0.2">
      <c r="A71" s="52" t="s">
        <v>117</v>
      </c>
      <c r="B71" s="53">
        <f t="shared" ca="1" si="2"/>
        <v>1586.9326121495753</v>
      </c>
      <c r="C71" s="54">
        <v>0.5</v>
      </c>
      <c r="D71" s="55">
        <v>0.4</v>
      </c>
      <c r="E71" s="55">
        <v>0.02</v>
      </c>
      <c r="F71" s="56">
        <f>IF(Table1[[#This Row],[Odgor]]="",0%,Table1[[#This Row],[Udio]]/(100%-Table1[[#This Row],[Odgor]]))</f>
        <v>0.40816326530612246</v>
      </c>
      <c r="G71" s="55">
        <v>3.4000000000000002E-2</v>
      </c>
      <c r="H71" s="55">
        <v>2.1000000000000001E-2</v>
      </c>
      <c r="I71" s="55">
        <v>6.4999999999999997E-3</v>
      </c>
      <c r="J71" s="55">
        <v>2.5000000000000001E-4</v>
      </c>
      <c r="K71" s="55">
        <v>4.4999999999999999E-4</v>
      </c>
      <c r="L71" s="55">
        <v>8.9999999999999998E-4</v>
      </c>
      <c r="M71" s="55"/>
      <c r="N71" s="55"/>
      <c r="O71" s="55"/>
      <c r="P71" s="55"/>
      <c r="Q71" s="55"/>
      <c r="R71" s="57"/>
      <c r="S71" s="57"/>
      <c r="T71" s="42"/>
    </row>
    <row r="72" spans="1:20" x14ac:dyDescent="0.2">
      <c r="A72" s="52" t="s">
        <v>118</v>
      </c>
      <c r="B72" s="53">
        <f t="shared" ca="1" si="2"/>
        <v>0</v>
      </c>
      <c r="C72" s="54">
        <v>0.43</v>
      </c>
      <c r="D72" s="55">
        <v>0</v>
      </c>
      <c r="E72" s="55">
        <v>1.4999999999999999E-2</v>
      </c>
      <c r="F72" s="56">
        <f>IF(Table1[[#This Row],[Odgor]]="",0%,Table1[[#This Row],[Udio]]/(100%-Table1[[#This Row],[Odgor]]))</f>
        <v>0</v>
      </c>
      <c r="G72" s="55">
        <v>8.0000000000000004E-4</v>
      </c>
      <c r="H72" s="55">
        <v>3.0000000000000001E-3</v>
      </c>
      <c r="I72" s="55">
        <v>3.0000000000000001E-3</v>
      </c>
      <c r="J72" s="55">
        <v>1.4000000000000001E-4</v>
      </c>
      <c r="K72" s="55">
        <v>1.8999999999999998E-4</v>
      </c>
      <c r="L72" s="55">
        <v>1.4000000000000001E-4</v>
      </c>
      <c r="M72" s="55"/>
      <c r="N72" s="55"/>
      <c r="O72" s="55"/>
      <c r="P72" s="55"/>
      <c r="Q72" s="55"/>
      <c r="R72" s="57"/>
      <c r="S72" s="57"/>
      <c r="T72" s="42"/>
    </row>
    <row r="73" spans="1:20" x14ac:dyDescent="0.2">
      <c r="A73" s="52" t="s">
        <v>119</v>
      </c>
      <c r="B73" s="53">
        <f t="shared" ca="1" si="2"/>
        <v>0</v>
      </c>
      <c r="C73" s="54"/>
      <c r="D73" s="55"/>
      <c r="E73" s="55"/>
      <c r="F73" s="56">
        <f>IF(Table1[[#This Row],[Odgor]]="",0%,Table1[[#This Row],[Udio]]/(100%-Table1[[#This Row],[Odgor]]))</f>
        <v>0</v>
      </c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7"/>
      <c r="S73" s="57"/>
      <c r="T73" s="42"/>
    </row>
    <row r="74" spans="1:20" x14ac:dyDescent="0.2">
      <c r="A74" s="52" t="s">
        <v>120</v>
      </c>
      <c r="B74" s="53">
        <f t="shared" ca="1" si="2"/>
        <v>797.53536405465843</v>
      </c>
      <c r="C74" s="54">
        <v>0.43</v>
      </c>
      <c r="D74" s="55">
        <v>0.2</v>
      </c>
      <c r="E74" s="55">
        <v>2.5000000000000001E-2</v>
      </c>
      <c r="F74" s="56">
        <f>IF(Table1[[#This Row],[Odgor]]="",0%,Table1[[#This Row],[Udio]]/(100%-Table1[[#This Row],[Odgor]]))</f>
        <v>0.20512820512820515</v>
      </c>
      <c r="G74" s="55">
        <v>3.3799999999999997E-2</v>
      </c>
      <c r="H74" s="55">
        <v>2.1000000000000001E-2</v>
      </c>
      <c r="I74" s="55">
        <v>5.0000000000000001E-3</v>
      </c>
      <c r="J74" s="55">
        <v>4.4999999999999999E-4</v>
      </c>
      <c r="K74" s="55">
        <v>2.9999999999999997E-4</v>
      </c>
      <c r="L74" s="55">
        <v>1.6000000000000001E-3</v>
      </c>
      <c r="M74" s="55"/>
      <c r="N74" s="55"/>
      <c r="O74" s="55"/>
      <c r="P74" s="55"/>
      <c r="Q74" s="55"/>
      <c r="R74" s="57"/>
      <c r="S74" s="57"/>
      <c r="T74" s="42"/>
    </row>
    <row r="75" spans="1:20" x14ac:dyDescent="0.2">
      <c r="A75" s="52" t="s">
        <v>121</v>
      </c>
      <c r="B75" s="53">
        <f t="shared" ca="1" si="2"/>
        <v>196.36287372557879</v>
      </c>
      <c r="C75" s="54">
        <v>0.42199999999999999</v>
      </c>
      <c r="D75" s="55">
        <v>0.05</v>
      </c>
      <c r="E75" s="55">
        <v>0.01</v>
      </c>
      <c r="F75" s="56">
        <f>IF(Table1[[#This Row],[Odgor]]="",0%,Table1[[#This Row],[Udio]]/(100%-Table1[[#This Row],[Odgor]]))</f>
        <v>5.0505050505050511E-2</v>
      </c>
      <c r="G75" s="55">
        <v>4.2500000000000003E-2</v>
      </c>
      <c r="H75" s="55">
        <v>1.4999999999999999E-4</v>
      </c>
      <c r="I75" s="55">
        <v>1.4999999999999999E-4</v>
      </c>
      <c r="J75" s="55">
        <v>2.3000000000000001E-4</v>
      </c>
      <c r="K75" s="55">
        <v>6.0000000000000002E-5</v>
      </c>
      <c r="L75" s="55">
        <v>1.5E-3</v>
      </c>
      <c r="M75" s="55"/>
      <c r="N75" s="55"/>
      <c r="O75" s="55"/>
      <c r="P75" s="55"/>
      <c r="Q75" s="55"/>
      <c r="R75" s="57"/>
      <c r="S75" s="57"/>
      <c r="T75" s="42"/>
    </row>
    <row r="76" spans="1:20" x14ac:dyDescent="0.2">
      <c r="A76" s="52" t="s">
        <v>26</v>
      </c>
      <c r="B76" s="53">
        <f t="shared" ca="1" si="2"/>
        <v>0</v>
      </c>
      <c r="C76" s="54"/>
      <c r="D76" s="55"/>
      <c r="E76" s="55"/>
      <c r="F76" s="56">
        <f>IF(Table1[[#This Row],[Odgor]]="",0%,Table1[[#This Row],[Udio]]/(100%-Table1[[#This Row],[Odgor]]))</f>
        <v>0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7"/>
      <c r="S76" s="57"/>
      <c r="T76" s="42"/>
    </row>
    <row r="77" spans="1:20" x14ac:dyDescent="0.2">
      <c r="A77" s="52" t="s">
        <v>27</v>
      </c>
      <c r="B77" s="53">
        <f t="shared" ca="1" si="2"/>
        <v>0</v>
      </c>
      <c r="C77" s="54"/>
      <c r="D77" s="55"/>
      <c r="E77" s="55"/>
      <c r="F77" s="56">
        <f>IF(Table1[[#This Row],[Odgor]]="",0%,Table1[[#This Row],[Udio]]/(100%-Table1[[#This Row],[Odgor]]))</f>
        <v>0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7"/>
      <c r="S77" s="57"/>
      <c r="T77" s="42"/>
    </row>
    <row r="78" spans="1:20" x14ac:dyDescent="0.2">
      <c r="A78" s="52" t="s">
        <v>28</v>
      </c>
      <c r="B78" s="53">
        <f t="shared" ca="1" si="2"/>
        <v>0</v>
      </c>
      <c r="C78" s="54"/>
      <c r="D78" s="55"/>
      <c r="E78" s="55"/>
      <c r="F78" s="56">
        <f>IF(Table1[[#This Row],[Odgor]]="",0%,Table1[[#This Row],[Udio]]/(100%-Table1[[#This Row],[Odgor]]))</f>
        <v>0</v>
      </c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7"/>
      <c r="S78" s="57"/>
      <c r="T78" s="42"/>
    </row>
    <row r="79" spans="1:20" x14ac:dyDescent="0.2">
      <c r="A79" s="52" t="s">
        <v>29</v>
      </c>
      <c r="B79" s="53">
        <f t="shared" ca="1" si="2"/>
        <v>0</v>
      </c>
      <c r="C79" s="54"/>
      <c r="D79" s="55"/>
      <c r="E79" s="55"/>
      <c r="F79" s="56">
        <f>IF(Table1[[#This Row],[Odgor]]="",0%,Table1[[#This Row],[Udio]]/(100%-Table1[[#This Row],[Odgor]]))</f>
        <v>0</v>
      </c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7"/>
      <c r="S79" s="57"/>
      <c r="T79" s="42"/>
    </row>
    <row r="80" spans="1:20" x14ac:dyDescent="0.2">
      <c r="A80" s="58" t="s">
        <v>30</v>
      </c>
      <c r="B80" s="59">
        <f ca="1">SUBTOTAL(109,Table1[Mase uloška])</f>
        <v>3983.7119993300817</v>
      </c>
      <c r="C80" s="60"/>
      <c r="D80" s="61">
        <f>SUBTOTAL(109,Table1[Udio])</f>
        <v>1</v>
      </c>
      <c r="E80" s="61">
        <f>SUMPRODUCT(D70:D79,E70:E79)</f>
        <v>2.4E-2</v>
      </c>
      <c r="F80" s="61">
        <f>SUBTOTAL(109,Table1[Udio prije odgora])</f>
        <v>1.0246212632074194</v>
      </c>
      <c r="G80" s="61">
        <f t="shared" ref="G80:S80" si="3">SUMPRODUCT($D$70:$D$79,G70:G79)</f>
        <v>2.3359999999999999E-2</v>
      </c>
      <c r="H80" s="61">
        <f t="shared" si="3"/>
        <v>1.4357500000000002E-2</v>
      </c>
      <c r="I80" s="61">
        <f t="shared" si="3"/>
        <v>5.3574999999999994E-3</v>
      </c>
      <c r="J80" s="61">
        <f t="shared" si="3"/>
        <v>2.7150000000000004E-4</v>
      </c>
      <c r="K80" s="61">
        <f t="shared" si="3"/>
        <v>3.1300000000000002E-4</v>
      </c>
      <c r="L80" s="61">
        <f t="shared" si="3"/>
        <v>1.2799999999999999E-3</v>
      </c>
      <c r="M80" s="61">
        <f t="shared" si="3"/>
        <v>0</v>
      </c>
      <c r="N80" s="61">
        <f t="shared" si="3"/>
        <v>0</v>
      </c>
      <c r="O80" s="61">
        <f t="shared" si="3"/>
        <v>0</v>
      </c>
      <c r="P80" s="61">
        <f t="shared" si="3"/>
        <v>0</v>
      </c>
      <c r="Q80" s="61">
        <f t="shared" si="3"/>
        <v>0</v>
      </c>
      <c r="R80" s="61">
        <f t="shared" si="3"/>
        <v>0</v>
      </c>
      <c r="S80" s="61">
        <f t="shared" si="3"/>
        <v>0</v>
      </c>
      <c r="T80" s="42"/>
    </row>
    <row r="81" spans="1:20" ht="13.5" thickBot="1" x14ac:dyDescent="0.25">
      <c r="A81" s="29"/>
      <c r="T81" s="42"/>
    </row>
    <row r="82" spans="1:20" x14ac:dyDescent="0.2">
      <c r="A82" s="29"/>
      <c r="F82" s="47" t="s">
        <v>122</v>
      </c>
      <c r="G82" s="1" t="str">
        <f t="shared" ref="G82:S82" si="4">G62</f>
        <v>C</v>
      </c>
      <c r="H82" s="2" t="str">
        <f t="shared" si="4"/>
        <v>Si</v>
      </c>
      <c r="I82" s="2" t="str">
        <f t="shared" si="4"/>
        <v>Mn</v>
      </c>
      <c r="J82" s="2" t="str">
        <f t="shared" si="4"/>
        <v>P</v>
      </c>
      <c r="K82" s="2" t="str">
        <f t="shared" si="4"/>
        <v>S</v>
      </c>
      <c r="L82" s="2" t="str">
        <f t="shared" si="4"/>
        <v>Cr</v>
      </c>
      <c r="M82" s="2" t="str">
        <f t="shared" si="4"/>
        <v>Cu</v>
      </c>
      <c r="N82" s="2" t="str">
        <f t="shared" si="4"/>
        <v>Mo</v>
      </c>
      <c r="O82" s="2" t="str">
        <f t="shared" si="4"/>
        <v>Ni</v>
      </c>
      <c r="P82" s="2" t="str">
        <f t="shared" si="4"/>
        <v>Str</v>
      </c>
      <c r="Q82" s="2" t="str">
        <f t="shared" si="4"/>
        <v>Ba</v>
      </c>
      <c r="R82" s="2" t="str">
        <f t="shared" si="4"/>
        <v>Mg</v>
      </c>
      <c r="S82" s="2" t="str">
        <f t="shared" si="4"/>
        <v>CaC2</v>
      </c>
      <c r="T82" s="3" t="s">
        <v>34</v>
      </c>
    </row>
    <row r="83" spans="1:20" x14ac:dyDescent="0.2">
      <c r="A83" s="62"/>
      <c r="B83" s="63"/>
      <c r="C83" s="63"/>
      <c r="D83" s="63"/>
      <c r="F83" s="47" t="s">
        <v>123</v>
      </c>
      <c r="G83" s="5">
        <f t="shared" ref="G83:S83" ca="1" si="5">G80*$B$80</f>
        <v>93.059512304350704</v>
      </c>
      <c r="H83" s="4">
        <f t="shared" ca="1" si="5"/>
        <v>57.196145030381658</v>
      </c>
      <c r="I83" s="4">
        <f t="shared" ca="1" si="5"/>
        <v>21.342737036410909</v>
      </c>
      <c r="J83" s="4">
        <f t="shared" ca="1" si="5"/>
        <v>1.0815778078181173</v>
      </c>
      <c r="K83" s="4">
        <f t="shared" ca="1" si="5"/>
        <v>1.2469018557903155</v>
      </c>
      <c r="L83" s="4">
        <f t="shared" ca="1" si="5"/>
        <v>5.0991513591425042</v>
      </c>
      <c r="M83" s="4">
        <f t="shared" ca="1" si="5"/>
        <v>0</v>
      </c>
      <c r="N83" s="4">
        <f t="shared" ca="1" si="5"/>
        <v>0</v>
      </c>
      <c r="O83" s="4">
        <f t="shared" ca="1" si="5"/>
        <v>0</v>
      </c>
      <c r="P83" s="4">
        <f t="shared" ca="1" si="5"/>
        <v>0</v>
      </c>
      <c r="Q83" s="4">
        <f t="shared" ca="1" si="5"/>
        <v>0</v>
      </c>
      <c r="R83" s="4">
        <f t="shared" ca="1" si="5"/>
        <v>0</v>
      </c>
      <c r="S83" s="4">
        <f t="shared" ca="1" si="5"/>
        <v>0</v>
      </c>
      <c r="T83" s="6">
        <f ca="1">SUM(G83:S83)</f>
        <v>179.0260253938942</v>
      </c>
    </row>
    <row r="84" spans="1:20" x14ac:dyDescent="0.2">
      <c r="A84" s="29"/>
      <c r="F84" s="47" t="s">
        <v>124</v>
      </c>
      <c r="G84" s="5">
        <f t="shared" ref="G84:S84" ca="1" si="6">G63*($B$80+$T$90)</f>
        <v>139.25472138516318</v>
      </c>
      <c r="H84" s="4">
        <f t="shared" ca="1" si="6"/>
        <v>83.962405541054252</v>
      </c>
      <c r="I84" s="4">
        <f t="shared" ca="1" si="6"/>
        <v>26.622226147163545</v>
      </c>
      <c r="J84" s="4">
        <f t="shared" ca="1" si="6"/>
        <v>4.0957270995636224</v>
      </c>
      <c r="K84" s="4">
        <f t="shared" ca="1" si="6"/>
        <v>4.0957270995636224</v>
      </c>
      <c r="L84" s="4">
        <f t="shared" ca="1" si="6"/>
        <v>8.1914541991272447</v>
      </c>
      <c r="M84" s="4">
        <f t="shared" ca="1" si="6"/>
        <v>10.239317748909055</v>
      </c>
      <c r="N84" s="4">
        <f t="shared" ca="1" si="6"/>
        <v>0</v>
      </c>
      <c r="O84" s="4">
        <f t="shared" ca="1" si="6"/>
        <v>0</v>
      </c>
      <c r="P84" s="4">
        <f t="shared" ca="1" si="6"/>
        <v>0</v>
      </c>
      <c r="Q84" s="4">
        <f t="shared" ca="1" si="6"/>
        <v>0</v>
      </c>
      <c r="R84" s="4">
        <f t="shared" ca="1" si="6"/>
        <v>0</v>
      </c>
      <c r="S84" s="4">
        <f t="shared" ca="1" si="6"/>
        <v>0</v>
      </c>
      <c r="T84" s="6">
        <f ca="1">SUM(G84:S84)</f>
        <v>276.46157922054448</v>
      </c>
    </row>
    <row r="85" spans="1:20" x14ac:dyDescent="0.2">
      <c r="A85" s="29"/>
      <c r="F85" s="47" t="s">
        <v>125</v>
      </c>
      <c r="G85" s="7">
        <f t="shared" ref="G85:S85" ca="1" si="7">G84-G83</f>
        <v>46.195209080812475</v>
      </c>
      <c r="H85" s="8">
        <f t="shared" ca="1" si="7"/>
        <v>26.766260510672595</v>
      </c>
      <c r="I85" s="8">
        <f t="shared" ca="1" si="7"/>
        <v>5.2794891107526354</v>
      </c>
      <c r="J85" s="8">
        <f t="shared" ca="1" si="7"/>
        <v>3.0141492917455048</v>
      </c>
      <c r="K85" s="8">
        <f t="shared" ca="1" si="7"/>
        <v>2.848825243773307</v>
      </c>
      <c r="L85" s="8">
        <f t="shared" ca="1" si="7"/>
        <v>3.0923028399847405</v>
      </c>
      <c r="M85" s="8">
        <f t="shared" ca="1" si="7"/>
        <v>10.239317748909055</v>
      </c>
      <c r="N85" s="8">
        <f t="shared" ca="1" si="7"/>
        <v>0</v>
      </c>
      <c r="O85" s="8">
        <f t="shared" ca="1" si="7"/>
        <v>0</v>
      </c>
      <c r="P85" s="8">
        <f t="shared" ca="1" si="7"/>
        <v>0</v>
      </c>
      <c r="Q85" s="8">
        <f t="shared" ca="1" si="7"/>
        <v>0</v>
      </c>
      <c r="R85" s="8">
        <f t="shared" ca="1" si="7"/>
        <v>0</v>
      </c>
      <c r="S85" s="8">
        <f t="shared" ca="1" si="7"/>
        <v>0</v>
      </c>
      <c r="T85" s="9">
        <f ca="1">SUM(G85:S85)</f>
        <v>97.43555382665032</v>
      </c>
    </row>
    <row r="86" spans="1:20" ht="13.5" thickBot="1" x14ac:dyDescent="0.25">
      <c r="A86" s="29"/>
      <c r="F86" s="47" t="s">
        <v>126</v>
      </c>
      <c r="G86" s="10">
        <f t="shared" ref="G86:S86" ca="1" si="8">IF(G85&lt;0,0,G85)</f>
        <v>46.195209080812475</v>
      </c>
      <c r="H86" s="11">
        <f t="shared" ca="1" si="8"/>
        <v>26.766260510672595</v>
      </c>
      <c r="I86" s="11">
        <f t="shared" ca="1" si="8"/>
        <v>5.2794891107526354</v>
      </c>
      <c r="J86" s="11">
        <f t="shared" ca="1" si="8"/>
        <v>3.0141492917455048</v>
      </c>
      <c r="K86" s="11">
        <f t="shared" ca="1" si="8"/>
        <v>2.848825243773307</v>
      </c>
      <c r="L86" s="11">
        <f t="shared" ca="1" si="8"/>
        <v>3.0923028399847405</v>
      </c>
      <c r="M86" s="11">
        <f t="shared" ca="1" si="8"/>
        <v>10.239317748909055</v>
      </c>
      <c r="N86" s="11">
        <f t="shared" ca="1" si="8"/>
        <v>0</v>
      </c>
      <c r="O86" s="11">
        <f t="shared" ca="1" si="8"/>
        <v>0</v>
      </c>
      <c r="P86" s="11">
        <f t="shared" ca="1" si="8"/>
        <v>0</v>
      </c>
      <c r="Q86" s="11">
        <f t="shared" ca="1" si="8"/>
        <v>0</v>
      </c>
      <c r="R86" s="11">
        <f t="shared" ca="1" si="8"/>
        <v>0</v>
      </c>
      <c r="S86" s="11">
        <f t="shared" ca="1" si="8"/>
        <v>0</v>
      </c>
      <c r="T86" s="12">
        <f ca="1">SUM(G86:S86)</f>
        <v>97.43555382665032</v>
      </c>
    </row>
    <row r="87" spans="1:20" x14ac:dyDescent="0.2">
      <c r="A87" s="29"/>
      <c r="T87" s="42"/>
    </row>
    <row r="88" spans="1:20" x14ac:dyDescent="0.2">
      <c r="A88" s="29"/>
      <c r="F88" s="47" t="s">
        <v>127</v>
      </c>
      <c r="G88" s="13" t="s">
        <v>1</v>
      </c>
      <c r="H88" s="13" t="s">
        <v>32</v>
      </c>
      <c r="I88" s="13" t="s">
        <v>31</v>
      </c>
      <c r="J88" s="13" t="s">
        <v>4</v>
      </c>
      <c r="K88" s="13" t="s">
        <v>7</v>
      </c>
      <c r="L88" s="13" t="s">
        <v>33</v>
      </c>
      <c r="M88" s="13" t="s">
        <v>8</v>
      </c>
      <c r="N88" s="13" t="s">
        <v>35</v>
      </c>
      <c r="O88" s="13" t="s">
        <v>23</v>
      </c>
      <c r="P88" s="13" t="s">
        <v>45</v>
      </c>
      <c r="Q88" s="13" t="s">
        <v>41</v>
      </c>
      <c r="R88" s="13" t="s">
        <v>46</v>
      </c>
      <c r="S88" s="13" t="s">
        <v>6</v>
      </c>
      <c r="T88" s="64" t="s">
        <v>34</v>
      </c>
    </row>
    <row r="89" spans="1:20" x14ac:dyDescent="0.2">
      <c r="A89" s="29"/>
      <c r="F89" s="47" t="s">
        <v>128</v>
      </c>
      <c r="G89" s="14">
        <v>0.9</v>
      </c>
      <c r="H89" s="14">
        <v>0.75</v>
      </c>
      <c r="I89" s="14">
        <v>0.99</v>
      </c>
      <c r="J89" s="14">
        <v>0.95</v>
      </c>
      <c r="K89" s="14">
        <v>0.95</v>
      </c>
      <c r="L89" s="14">
        <v>0.95</v>
      </c>
      <c r="M89" s="14">
        <v>1</v>
      </c>
      <c r="N89" s="14">
        <v>0.95</v>
      </c>
      <c r="O89" s="14">
        <v>1</v>
      </c>
      <c r="P89" s="14">
        <v>0.9</v>
      </c>
      <c r="Q89" s="14">
        <v>0.9</v>
      </c>
      <c r="R89" s="14">
        <v>0.85</v>
      </c>
      <c r="S89" s="14">
        <v>0.9</v>
      </c>
      <c r="T89" s="65"/>
    </row>
    <row r="90" spans="1:20" x14ac:dyDescent="0.2">
      <c r="A90" s="29"/>
      <c r="F90" s="47" t="s">
        <v>129</v>
      </c>
      <c r="G90" s="21">
        <f t="shared" ref="G90:S90" ca="1" si="9">IF(G89=0,0,G86/G89)</f>
        <v>51.32801008979164</v>
      </c>
      <c r="H90" s="21">
        <f t="shared" ca="1" si="9"/>
        <v>35.688347347563457</v>
      </c>
      <c r="I90" s="21">
        <f t="shared" ca="1" si="9"/>
        <v>5.332817283588521</v>
      </c>
      <c r="J90" s="21">
        <f t="shared" ca="1" si="9"/>
        <v>3.1727887281531633</v>
      </c>
      <c r="K90" s="21">
        <f t="shared" ca="1" si="9"/>
        <v>2.9987634144982183</v>
      </c>
      <c r="L90" s="21">
        <f t="shared" ca="1" si="9"/>
        <v>3.2550556210365693</v>
      </c>
      <c r="M90" s="21">
        <f t="shared" ca="1" si="9"/>
        <v>10.239317748909055</v>
      </c>
      <c r="N90" s="21">
        <f t="shared" ca="1" si="9"/>
        <v>0</v>
      </c>
      <c r="O90" s="21">
        <f t="shared" ca="1" si="9"/>
        <v>0</v>
      </c>
      <c r="P90" s="21">
        <f t="shared" ca="1" si="9"/>
        <v>0</v>
      </c>
      <c r="Q90" s="21">
        <f t="shared" ca="1" si="9"/>
        <v>0</v>
      </c>
      <c r="R90" s="21">
        <f t="shared" ca="1" si="9"/>
        <v>0</v>
      </c>
      <c r="S90" s="21">
        <f t="shared" ca="1" si="9"/>
        <v>0</v>
      </c>
      <c r="T90" s="66">
        <f ca="1">SUM(G90:S90)</f>
        <v>112.01510023354064</v>
      </c>
    </row>
    <row r="91" spans="1:20" ht="13.5" thickBot="1" x14ac:dyDescent="0.25">
      <c r="A91" s="43"/>
      <c r="B91" s="67"/>
      <c r="C91" s="67"/>
      <c r="D91" s="67"/>
      <c r="E91" s="67"/>
      <c r="F91" s="68" t="s">
        <v>130</v>
      </c>
      <c r="G91" s="69">
        <v>0.98699999999999999</v>
      </c>
      <c r="H91" s="69">
        <v>1.39</v>
      </c>
      <c r="I91" s="69">
        <v>1.367</v>
      </c>
      <c r="J91" s="69">
        <v>1</v>
      </c>
      <c r="K91" s="69">
        <v>1</v>
      </c>
      <c r="L91" s="69">
        <v>1.5660000000000001</v>
      </c>
      <c r="M91" s="69">
        <v>10.06</v>
      </c>
      <c r="N91" s="69">
        <v>20.38</v>
      </c>
      <c r="O91" s="69">
        <v>15.5</v>
      </c>
      <c r="P91" s="69">
        <v>2.8</v>
      </c>
      <c r="Q91" s="69">
        <v>2.8</v>
      </c>
      <c r="R91" s="69">
        <v>3.85</v>
      </c>
      <c r="S91" s="69">
        <v>1.2</v>
      </c>
      <c r="T91" s="70"/>
    </row>
    <row r="96" spans="1:20" ht="13.5" thickBot="1" x14ac:dyDescent="0.25"/>
    <row r="97" spans="1:11" ht="13.5" thickBot="1" x14ac:dyDescent="0.25">
      <c r="A97" s="44" t="s">
        <v>196</v>
      </c>
      <c r="B97" s="151"/>
      <c r="C97" s="151"/>
      <c r="D97" s="151"/>
      <c r="E97" s="151"/>
      <c r="F97" s="151"/>
      <c r="G97" s="151"/>
      <c r="H97" s="151"/>
      <c r="I97" s="151"/>
      <c r="J97" s="151"/>
      <c r="K97" s="152"/>
    </row>
    <row r="98" spans="1:11" x14ac:dyDescent="0.2">
      <c r="A98" s="75" t="s">
        <v>148</v>
      </c>
      <c r="B98" s="63" t="s">
        <v>47</v>
      </c>
      <c r="C98" s="63" t="s">
        <v>51</v>
      </c>
      <c r="D98" s="63" t="s">
        <v>52</v>
      </c>
      <c r="E98" s="63" t="s">
        <v>57</v>
      </c>
      <c r="F98" s="31" t="s">
        <v>53</v>
      </c>
      <c r="G98" s="63" t="s">
        <v>55</v>
      </c>
      <c r="H98" s="63" t="s">
        <v>58</v>
      </c>
      <c r="K98" s="42"/>
    </row>
    <row r="99" spans="1:11" x14ac:dyDescent="0.2">
      <c r="A99" s="75" t="s">
        <v>149</v>
      </c>
      <c r="B99" s="63" t="s">
        <v>48</v>
      </c>
      <c r="C99" s="76">
        <v>5</v>
      </c>
      <c r="D99" s="77">
        <v>4.5</v>
      </c>
      <c r="E99" s="78">
        <v>1</v>
      </c>
      <c r="F99" s="31" t="s">
        <v>54</v>
      </c>
      <c r="G99" s="79">
        <f>('Price Calculator'!$B$47*('Price Calculator'!$B$43/'Price Calculator'!$B$41)/1000)/'Price Calculator'!$B$52</f>
        <v>1.5448603683897801E-2</v>
      </c>
      <c r="H99" s="80">
        <f>IF(F99="N/A",E99*D99*C99/1000,G99*E99*D99/(F99*('Price Calculator'!$B$43/'Price Calculator'!$B$41)))</f>
        <v>2.2499999999999999E-2</v>
      </c>
      <c r="K99" s="42"/>
    </row>
    <row r="100" spans="1:11" x14ac:dyDescent="0.2">
      <c r="A100" s="75" t="s">
        <v>150</v>
      </c>
      <c r="B100" s="63" t="s">
        <v>48</v>
      </c>
      <c r="C100" s="76">
        <v>0.2</v>
      </c>
      <c r="D100" s="77">
        <v>1.5</v>
      </c>
      <c r="E100" s="78">
        <v>1</v>
      </c>
      <c r="F100" s="31" t="s">
        <v>54</v>
      </c>
      <c r="G100" s="79">
        <f>('Price Calculator'!$B$47*('Price Calculator'!$B$43/'Price Calculator'!$B$41)/1000)/'Price Calculator'!$B$52</f>
        <v>1.5448603683897801E-2</v>
      </c>
      <c r="H100" s="80">
        <f>IF(F100="N/A",E100*D100*C100/1000,G100*E100*D100/(F100*('Price Calculator'!$B$43/'Price Calculator'!$B$41)))</f>
        <v>3.0000000000000003E-4</v>
      </c>
      <c r="K100" s="42"/>
    </row>
    <row r="101" spans="1:11" x14ac:dyDescent="0.2">
      <c r="A101" s="75" t="s">
        <v>151</v>
      </c>
      <c r="B101" s="63" t="s">
        <v>48</v>
      </c>
      <c r="C101" s="81">
        <f>14/4</f>
        <v>3.5</v>
      </c>
      <c r="D101" s="77">
        <v>2.08</v>
      </c>
      <c r="E101" s="78">
        <v>1</v>
      </c>
      <c r="F101" s="31" t="s">
        <v>54</v>
      </c>
      <c r="G101" s="79">
        <f>('Price Calculator'!$B$47*('Price Calculator'!$B$43/'Price Calculator'!$B$41)/1000)/'Price Calculator'!$B$52</f>
        <v>1.5448603683897801E-2</v>
      </c>
      <c r="H101" s="80">
        <f>IF(F101="N/A",E101*D101*C101/1000,G101*E101*D101/(F101*('Price Calculator'!$B$43/'Price Calculator'!$B$41)))</f>
        <v>7.28E-3</v>
      </c>
      <c r="K101" s="42"/>
    </row>
    <row r="102" spans="1:11" x14ac:dyDescent="0.2">
      <c r="A102" s="75" t="s">
        <v>152</v>
      </c>
      <c r="B102" s="63" t="s">
        <v>48</v>
      </c>
      <c r="C102" s="81">
        <f>1/200</f>
        <v>5.0000000000000001E-3</v>
      </c>
      <c r="D102" s="82">
        <v>127</v>
      </c>
      <c r="E102" s="78">
        <v>1</v>
      </c>
      <c r="F102" s="31" t="s">
        <v>54</v>
      </c>
      <c r="G102" s="79">
        <f>('Price Calculator'!$B$47*('Price Calculator'!$B$43/'Price Calculator'!$B$41)/1000)/'Price Calculator'!$B$52</f>
        <v>1.5448603683897801E-2</v>
      </c>
      <c r="H102" s="80">
        <f>IF(F102="N/A",E102*D102*C102/1000,G102*E102*D102/(F102*('Price Calculator'!$B$43/'Price Calculator'!$B$41)))</f>
        <v>6.3500000000000004E-4</v>
      </c>
      <c r="K102" s="42"/>
    </row>
    <row r="103" spans="1:11" x14ac:dyDescent="0.2">
      <c r="A103" s="75" t="s">
        <v>153</v>
      </c>
      <c r="B103" s="63" t="s">
        <v>48</v>
      </c>
      <c r="C103" s="81">
        <f>1/200</f>
        <v>5.0000000000000001E-3</v>
      </c>
      <c r="D103" s="82">
        <v>41.3</v>
      </c>
      <c r="E103" s="78">
        <v>1</v>
      </c>
      <c r="F103" s="31" t="s">
        <v>54</v>
      </c>
      <c r="G103" s="79">
        <f>('Price Calculator'!$B$47*('Price Calculator'!$B$43/'Price Calculator'!$B$41)/1000)/'Price Calculator'!$B$52</f>
        <v>1.5448603683897801E-2</v>
      </c>
      <c r="H103" s="80">
        <f>IF(F103="N/A",E103*D103*C103/1000,G103*E103*D103/(F103*('Price Calculator'!$B$43/'Price Calculator'!$B$41)))</f>
        <v>2.0649999999999998E-4</v>
      </c>
      <c r="K103" s="42"/>
    </row>
    <row r="104" spans="1:11" x14ac:dyDescent="0.2">
      <c r="A104" s="83" t="s">
        <v>154</v>
      </c>
      <c r="B104" s="63" t="s">
        <v>48</v>
      </c>
      <c r="C104" s="84">
        <v>4</v>
      </c>
      <c r="D104" s="82">
        <v>30000</v>
      </c>
      <c r="E104" s="78">
        <v>1</v>
      </c>
      <c r="F104" s="36">
        <f>C104/12*'Price Calculator'!$B$46</f>
        <v>6666.6666666666661</v>
      </c>
      <c r="G104" s="79">
        <f>('Price Calculator'!$B$47*('Price Calculator'!$B$43/'Price Calculator'!$B$41)/1000)/'Price Calculator'!$B$52</f>
        <v>1.5448603683897801E-2</v>
      </c>
      <c r="H104" s="80">
        <f>IF(F104="N/A",E104*D104*C104/1000,G104*E104*D104/(F104*('Price Calculator'!$B$43/'Price Calculator'!$B$41)))</f>
        <v>3.2085561497326204E-3</v>
      </c>
      <c r="K104" s="42"/>
    </row>
    <row r="105" spans="1:11" x14ac:dyDescent="0.2">
      <c r="A105" s="83" t="s">
        <v>155</v>
      </c>
      <c r="B105" s="63" t="s">
        <v>48</v>
      </c>
      <c r="C105" s="85">
        <v>10</v>
      </c>
      <c r="D105" s="82">
        <v>1800</v>
      </c>
      <c r="E105" s="78">
        <v>1</v>
      </c>
      <c r="F105" s="36">
        <f>C105/365*'Price Calculator'!$B$46</f>
        <v>547.94520547945206</v>
      </c>
      <c r="G105" s="79">
        <f>('Price Calculator'!$B$47*('Price Calculator'!$B$43/'Price Calculator'!$B$41)/1000)/'Price Calculator'!$B$52</f>
        <v>1.5448603683897801E-2</v>
      </c>
      <c r="H105" s="80">
        <f>IF(F105="N/A",E105*D105*C105/1000,G105*E105*D105/(F105*('Price Calculator'!$B$43/'Price Calculator'!$B$41)))</f>
        <v>2.3422459893048127E-3</v>
      </c>
      <c r="K105" s="42"/>
    </row>
    <row r="106" spans="1:11" x14ac:dyDescent="0.2">
      <c r="A106" s="83" t="s">
        <v>156</v>
      </c>
      <c r="B106" s="63" t="s">
        <v>48</v>
      </c>
      <c r="C106" s="86">
        <v>100</v>
      </c>
      <c r="D106" s="82">
        <v>5200</v>
      </c>
      <c r="E106" s="78">
        <v>1</v>
      </c>
      <c r="F106" s="87">
        <f>C106*'Price Calculator'!B60*1000/('Price Calculator'!B43/'Price Calculator'!B41)</f>
        <v>18461.538461538461</v>
      </c>
      <c r="G106" s="79">
        <v>1</v>
      </c>
      <c r="H106" s="80">
        <f>IF(F106="N/A",E106*D106*C106/1000,E106*D106/(F106*('Price Calculator'!$B$43/'Price Calculator'!$B$41)))</f>
        <v>1.2999999999999999E-2</v>
      </c>
      <c r="K106" s="42"/>
    </row>
    <row r="107" spans="1:11" x14ac:dyDescent="0.2">
      <c r="A107" s="83" t="s">
        <v>157</v>
      </c>
      <c r="B107" s="63" t="s">
        <v>48</v>
      </c>
      <c r="C107" s="86"/>
      <c r="D107" s="82"/>
      <c r="E107" s="78">
        <v>0</v>
      </c>
      <c r="F107" s="31" t="s">
        <v>54</v>
      </c>
      <c r="G107" s="79">
        <f>('Price Calculator'!$B$47*('Price Calculator'!$B$43/'Price Calculator'!$B$41)/1000)/'Price Calculator'!$B$52</f>
        <v>1.5448603683897801E-2</v>
      </c>
      <c r="H107" s="80">
        <f>IF(F107="N/A",E107*D107*C107/1000,G107*E107*D107/(F107*('Price Calculator'!$B$43/'Price Calculator'!$B$41)))</f>
        <v>0</v>
      </c>
      <c r="K107" s="42"/>
    </row>
    <row r="108" spans="1:11" x14ac:dyDescent="0.2">
      <c r="A108" s="83" t="s">
        <v>30</v>
      </c>
      <c r="B108" s="63"/>
      <c r="C108" s="88"/>
      <c r="D108" s="78"/>
      <c r="E108" s="78"/>
      <c r="G108" s="31"/>
      <c r="H108" s="80">
        <f>SUBTOTAL(109,Table5[Trošak2])</f>
        <v>4.947230213903743E-2</v>
      </c>
      <c r="K108" s="42"/>
    </row>
    <row r="109" spans="1:11" x14ac:dyDescent="0.2">
      <c r="A109" s="83"/>
      <c r="B109" s="63"/>
      <c r="C109" s="89"/>
      <c r="D109" s="90"/>
      <c r="E109" s="63"/>
      <c r="F109" s="22"/>
      <c r="G109" s="22"/>
      <c r="H109" s="22"/>
      <c r="K109" s="42"/>
    </row>
    <row r="110" spans="1:11" x14ac:dyDescent="0.2">
      <c r="A110" s="83"/>
      <c r="B110" s="63"/>
      <c r="C110" s="89"/>
      <c r="D110" s="90"/>
      <c r="E110" s="63"/>
      <c r="F110" s="22"/>
      <c r="G110" s="22"/>
      <c r="H110" s="22"/>
      <c r="K110" s="42"/>
    </row>
    <row r="111" spans="1:11" x14ac:dyDescent="0.2">
      <c r="A111" s="83" t="s">
        <v>139</v>
      </c>
      <c r="B111" s="63" t="s">
        <v>40</v>
      </c>
      <c r="C111" s="89"/>
      <c r="D111" s="90"/>
      <c r="E111" s="63"/>
      <c r="F111" s="22"/>
      <c r="G111" s="22"/>
      <c r="H111" s="22"/>
      <c r="K111" s="42"/>
    </row>
    <row r="112" spans="1:11" x14ac:dyDescent="0.2">
      <c r="A112" s="83" t="s">
        <v>140</v>
      </c>
      <c r="B112" s="91">
        <f>'Price Calculator'!B17</f>
        <v>850</v>
      </c>
      <c r="C112" s="89"/>
      <c r="D112" s="90"/>
      <c r="E112" s="63"/>
      <c r="F112" s="22"/>
      <c r="G112" s="22"/>
      <c r="H112" s="22"/>
      <c r="K112" s="42"/>
    </row>
    <row r="113" spans="1:11" x14ac:dyDescent="0.2">
      <c r="A113" s="83" t="s">
        <v>141</v>
      </c>
      <c r="B113" s="91">
        <f>'Price Calculator'!B18</f>
        <v>680</v>
      </c>
      <c r="C113" s="89"/>
      <c r="D113" s="90"/>
      <c r="E113" s="63"/>
      <c r="F113" s="22"/>
      <c r="G113" s="22"/>
      <c r="H113" s="22"/>
      <c r="K113" s="42"/>
    </row>
    <row r="114" spans="1:11" x14ac:dyDescent="0.2">
      <c r="A114" s="83" t="s">
        <v>142</v>
      </c>
      <c r="B114" s="91">
        <f>'Price Calculator'!B19</f>
        <v>600</v>
      </c>
      <c r="C114" s="89"/>
      <c r="D114" s="90"/>
      <c r="E114" s="63"/>
      <c r="F114" s="22"/>
      <c r="G114" s="22"/>
      <c r="H114" s="22"/>
      <c r="K114" s="42"/>
    </row>
    <row r="115" spans="1:11" x14ac:dyDescent="0.2">
      <c r="A115" s="83" t="s">
        <v>143</v>
      </c>
      <c r="B115" s="78">
        <v>1.38</v>
      </c>
      <c r="C115" s="89"/>
      <c r="D115" s="90"/>
      <c r="E115" s="63"/>
      <c r="F115" s="22"/>
      <c r="G115" s="22"/>
      <c r="H115" s="22"/>
      <c r="K115" s="42"/>
    </row>
    <row r="116" spans="1:11" x14ac:dyDescent="0.2">
      <c r="A116" s="83" t="s">
        <v>144</v>
      </c>
      <c r="B116" s="92">
        <v>1450</v>
      </c>
      <c r="C116" s="89"/>
      <c r="D116" s="90"/>
      <c r="E116" s="63"/>
      <c r="F116" s="22"/>
      <c r="G116" s="22"/>
      <c r="H116" s="22"/>
      <c r="K116" s="42"/>
    </row>
    <row r="117" spans="1:11" x14ac:dyDescent="0.2">
      <c r="A117" s="83" t="s">
        <v>145</v>
      </c>
      <c r="B117" s="93">
        <f>B112/1000*B113/1000*B114/1000*B115*B116</f>
        <v>693.94679999999983</v>
      </c>
      <c r="C117" s="89"/>
      <c r="D117" s="90"/>
      <c r="E117" s="63"/>
      <c r="F117" s="22"/>
      <c r="G117" s="22"/>
      <c r="H117" s="22"/>
      <c r="K117" s="42"/>
    </row>
    <row r="118" spans="1:11" x14ac:dyDescent="0.2">
      <c r="A118" s="83" t="s">
        <v>146</v>
      </c>
      <c r="B118" s="94">
        <f>B117/'Price Calculator'!B41</f>
        <v>231.31559999999993</v>
      </c>
      <c r="C118" s="89"/>
      <c r="D118" s="90"/>
      <c r="E118" s="63"/>
      <c r="F118" s="22"/>
      <c r="G118" s="22"/>
      <c r="H118" s="22"/>
      <c r="K118" s="42"/>
    </row>
    <row r="119" spans="1:11" x14ac:dyDescent="0.2">
      <c r="A119" s="83" t="s">
        <v>147</v>
      </c>
      <c r="B119" s="95">
        <f>'Price Calculator'!B20</f>
        <v>70</v>
      </c>
      <c r="C119" s="89"/>
      <c r="D119" s="90"/>
      <c r="E119" s="63"/>
      <c r="F119" s="22"/>
      <c r="G119" s="22"/>
      <c r="H119" s="22"/>
      <c r="K119" s="42"/>
    </row>
    <row r="120" spans="1:11" x14ac:dyDescent="0.2">
      <c r="A120" s="83"/>
      <c r="B120" s="63"/>
      <c r="C120" s="89"/>
      <c r="D120" s="90"/>
      <c r="E120" s="63"/>
      <c r="F120" s="22"/>
      <c r="G120" s="22"/>
      <c r="H120" s="22"/>
      <c r="K120" s="42"/>
    </row>
    <row r="121" spans="1:11" ht="25.5" x14ac:dyDescent="0.2">
      <c r="A121" s="83" t="s">
        <v>59</v>
      </c>
      <c r="B121" s="63" t="s">
        <v>47</v>
      </c>
      <c r="C121" s="96" t="s">
        <v>63</v>
      </c>
      <c r="D121" s="90" t="s">
        <v>61</v>
      </c>
      <c r="E121" s="63" t="s">
        <v>39</v>
      </c>
      <c r="F121" s="31" t="s">
        <v>52</v>
      </c>
      <c r="G121" s="31" t="s">
        <v>62</v>
      </c>
      <c r="H121" s="22"/>
      <c r="I121" s="22"/>
      <c r="K121" s="42"/>
    </row>
    <row r="122" spans="1:11" x14ac:dyDescent="0.2">
      <c r="A122" s="75" t="s">
        <v>0</v>
      </c>
      <c r="B122" s="63" t="s">
        <v>49</v>
      </c>
      <c r="C122" s="97">
        <f>100%-C123-C124-C125</f>
        <v>0.98780000000000001</v>
      </c>
      <c r="D122" s="94">
        <f>C122*$B$118</f>
        <v>228.49354967999994</v>
      </c>
      <c r="E122" s="77">
        <v>5.0000000000000001E-3</v>
      </c>
      <c r="F122" s="98">
        <f>Table7[[#This Row],[Cijena]]*Table7[[#This Row],[Količina materijala]]</f>
        <v>1.1424677483999996</v>
      </c>
      <c r="G122" s="99">
        <f>F122/'Price Calculator'!$B$39</f>
        <v>8.7882134492307667E-2</v>
      </c>
      <c r="H122" s="22"/>
      <c r="I122" s="22"/>
      <c r="K122" s="42"/>
    </row>
    <row r="123" spans="1:11" x14ac:dyDescent="0.2">
      <c r="A123" s="75" t="s">
        <v>10</v>
      </c>
      <c r="B123" s="63" t="s">
        <v>49</v>
      </c>
      <c r="C123" s="100">
        <v>5.0000000000000001E-3</v>
      </c>
      <c r="D123" s="94">
        <f>C123*$B$118</f>
        <v>1.1565779999999997</v>
      </c>
      <c r="E123" s="77">
        <v>6.8000000000000005E-2</v>
      </c>
      <c r="F123" s="98">
        <f>Table7[[#This Row],[Cijena]]*Table7[[#This Row],[Količina materijala]]</f>
        <v>7.8647303999999987E-2</v>
      </c>
      <c r="G123" s="99">
        <f>F123/'Price Calculator'!$B$39</f>
        <v>6.0497926153846148E-3</v>
      </c>
      <c r="H123" s="22"/>
      <c r="I123" s="22"/>
      <c r="K123" s="42"/>
    </row>
    <row r="124" spans="1:11" x14ac:dyDescent="0.2">
      <c r="A124" s="75" t="s">
        <v>11</v>
      </c>
      <c r="B124" s="63" t="s">
        <v>49</v>
      </c>
      <c r="C124" s="100">
        <v>4.1999999999999997E-3</v>
      </c>
      <c r="D124" s="94">
        <f>C124*$B$118</f>
        <v>0.9715255199999997</v>
      </c>
      <c r="E124" s="77">
        <v>0.15</v>
      </c>
      <c r="F124" s="98">
        <f>Table7[[#This Row],[Cijena]]*Table7[[#This Row],[Količina materijala]]</f>
        <v>0.14572882799999995</v>
      </c>
      <c r="G124" s="99">
        <f>F124/'Price Calculator'!$B$39</f>
        <v>1.1209909846153842E-2</v>
      </c>
      <c r="H124" s="22"/>
      <c r="I124" s="22"/>
      <c r="K124" s="42"/>
    </row>
    <row r="125" spans="1:11" x14ac:dyDescent="0.2">
      <c r="A125" s="75" t="s">
        <v>12</v>
      </c>
      <c r="B125" s="63" t="s">
        <v>49</v>
      </c>
      <c r="C125" s="100">
        <v>3.0000000000000001E-3</v>
      </c>
      <c r="D125" s="94">
        <f>C125*$B$118</f>
        <v>0.69394679999999986</v>
      </c>
      <c r="E125" s="77">
        <v>0.41499999999999998</v>
      </c>
      <c r="F125" s="98">
        <f>Table7[[#This Row],[Cijena]]*Table7[[#This Row],[Količina materijala]]</f>
        <v>0.28798792199999995</v>
      </c>
      <c r="G125" s="99">
        <f>F125/'Price Calculator'!$B$39</f>
        <v>2.2152917076923073E-2</v>
      </c>
      <c r="H125" s="22"/>
      <c r="I125" s="22"/>
      <c r="K125" s="42"/>
    </row>
    <row r="126" spans="1:11" x14ac:dyDescent="0.2">
      <c r="A126" s="75" t="s">
        <v>13</v>
      </c>
      <c r="B126" s="63" t="s">
        <v>49</v>
      </c>
      <c r="C126" s="101">
        <v>0.5</v>
      </c>
      <c r="D126" s="102">
        <f>Table7[[#This Row],[Procenat osvježavanja
/     Frekvencija]]</f>
        <v>0.5</v>
      </c>
      <c r="E126" s="103">
        <v>2.1</v>
      </c>
      <c r="F126" s="98">
        <f>E126*D126/(B119*'Price Calculator'!B41)</f>
        <v>5.0000000000000001E-3</v>
      </c>
      <c r="G126" s="99">
        <f>F126/'Price Calculator'!$B$39</f>
        <v>3.8461538461538462E-4</v>
      </c>
      <c r="H126" s="22"/>
      <c r="I126" s="22"/>
      <c r="K126" s="42"/>
    </row>
    <row r="127" spans="1:11" x14ac:dyDescent="0.2">
      <c r="A127" s="75" t="s">
        <v>19</v>
      </c>
      <c r="B127" s="63" t="s">
        <v>49</v>
      </c>
      <c r="C127" s="104">
        <v>0</v>
      </c>
      <c r="D127" s="105">
        <f>Table7[[#This Row],[Procenat osvježavanja
/     Frekvencija]]</f>
        <v>0</v>
      </c>
      <c r="E127" s="106">
        <v>0.38</v>
      </c>
      <c r="F127" s="98">
        <f>Table7[[#This Row],[Cijena]]*Table7[[#This Row],[Količina materijala]]</f>
        <v>0</v>
      </c>
      <c r="G127" s="99">
        <f>F127/'Price Calculator'!$B$39</f>
        <v>0</v>
      </c>
      <c r="H127" s="22"/>
      <c r="I127" s="22"/>
      <c r="K127" s="42"/>
    </row>
    <row r="128" spans="1:11" x14ac:dyDescent="0.2">
      <c r="A128" s="75" t="s">
        <v>20</v>
      </c>
      <c r="B128" s="63" t="s">
        <v>49</v>
      </c>
      <c r="C128" s="104">
        <f>'Price Calculator'!B7</f>
        <v>1</v>
      </c>
      <c r="D128" s="105">
        <f>Table7[[#This Row],[Procenat osvježavanja
/     Frekvencija]]</f>
        <v>1</v>
      </c>
      <c r="E128" s="106">
        <v>0.2</v>
      </c>
      <c r="F128" s="98">
        <f>Table7[[#This Row],[Cijena]]*Table7[[#This Row],[Količina materijala]]</f>
        <v>0.2</v>
      </c>
      <c r="G128" s="99">
        <f>F128/'Price Calculator'!$B$39</f>
        <v>1.5384615384615385E-2</v>
      </c>
      <c r="H128" s="22"/>
      <c r="I128" s="22"/>
      <c r="K128" s="42"/>
    </row>
    <row r="129" spans="1:11" x14ac:dyDescent="0.2">
      <c r="A129" s="75" t="s">
        <v>14</v>
      </c>
      <c r="B129" s="63" t="s">
        <v>49</v>
      </c>
      <c r="C129" s="104">
        <v>0</v>
      </c>
      <c r="D129" s="105">
        <f>Table7[[#This Row],[Procenat osvježavanja
/     Frekvencija]]</f>
        <v>0</v>
      </c>
      <c r="E129" s="106">
        <v>0.12</v>
      </c>
      <c r="F129" s="98">
        <f>Table7[[#This Row],[Cijena]]*Table7[[#This Row],[Količina materijala]]</f>
        <v>0</v>
      </c>
      <c r="G129" s="99">
        <f>F129/'Price Calculator'!$B$39</f>
        <v>0</v>
      </c>
      <c r="H129" s="22"/>
      <c r="I129" s="22"/>
      <c r="K129" s="42"/>
    </row>
    <row r="130" spans="1:11" x14ac:dyDescent="0.2">
      <c r="A130" s="75" t="s">
        <v>15</v>
      </c>
      <c r="B130" s="63" t="s">
        <v>49</v>
      </c>
      <c r="C130" s="104">
        <f>'Price Calculator'!B8</f>
        <v>0</v>
      </c>
      <c r="D130" s="105">
        <f>Table7[[#This Row],[Procenat osvježavanja
/     Frekvencija]]</f>
        <v>0</v>
      </c>
      <c r="E130" s="106">
        <v>2</v>
      </c>
      <c r="F130" s="98">
        <f>Table7[[#This Row],[Cijena]]*Table7[[#This Row],[Količina materijala]]</f>
        <v>0</v>
      </c>
      <c r="G130" s="99">
        <f>F130/'Price Calculator'!$B$39</f>
        <v>0</v>
      </c>
      <c r="H130" s="22"/>
      <c r="I130" s="22"/>
      <c r="K130" s="42"/>
    </row>
    <row r="131" spans="1:11" x14ac:dyDescent="0.2">
      <c r="A131" s="75" t="s">
        <v>21</v>
      </c>
      <c r="B131" s="63" t="s">
        <v>49</v>
      </c>
      <c r="C131" s="107">
        <v>0</v>
      </c>
      <c r="D131" s="108">
        <v>0</v>
      </c>
      <c r="E131" s="78">
        <v>1.1000000000000001</v>
      </c>
      <c r="F131" s="98">
        <f>Table7[[#This Row],[Cijena]]*Table7[[#This Row],[Količina materijala]]</f>
        <v>0</v>
      </c>
      <c r="G131" s="99">
        <f>F131/'Price Calculator'!$B$39</f>
        <v>0</v>
      </c>
      <c r="H131" s="22"/>
      <c r="I131" s="22"/>
      <c r="K131" s="42"/>
    </row>
    <row r="132" spans="1:11" x14ac:dyDescent="0.2">
      <c r="A132" s="75" t="s">
        <v>16</v>
      </c>
      <c r="B132" s="63" t="s">
        <v>49</v>
      </c>
      <c r="C132" s="100"/>
      <c r="D132" s="63"/>
      <c r="E132" s="78"/>
      <c r="F132" s="98">
        <f>Table7[[#This Row],[Cijena]]*Table7[[#This Row],[Količina materijala]]</f>
        <v>0</v>
      </c>
      <c r="G132" s="99">
        <f>F132/'Price Calculator'!$B$39</f>
        <v>0</v>
      </c>
      <c r="H132" s="22"/>
      <c r="I132" s="22"/>
      <c r="K132" s="42"/>
    </row>
    <row r="133" spans="1:11" x14ac:dyDescent="0.2">
      <c r="A133" s="75" t="s">
        <v>175</v>
      </c>
      <c r="B133" s="63" t="s">
        <v>49</v>
      </c>
      <c r="C133" s="109">
        <f>'Price Calculator'!B53</f>
        <v>1</v>
      </c>
      <c r="D133" s="110">
        <f>'Price Calculator'!B54</f>
        <v>6</v>
      </c>
      <c r="E133" s="111">
        <v>0.35</v>
      </c>
      <c r="F133" s="98">
        <f>Table7[[#This Row],[Cijena]]*Table7[[#This Row],[Količina materijala]]</f>
        <v>2.0999999999999996</v>
      </c>
      <c r="G133" s="99">
        <f>F133/'Price Calculator'!$B$39</f>
        <v>0.16153846153846152</v>
      </c>
      <c r="H133" s="22"/>
      <c r="I133" s="22"/>
      <c r="K133" s="42"/>
    </row>
    <row r="134" spans="1:11" x14ac:dyDescent="0.2">
      <c r="A134" s="75" t="s">
        <v>17</v>
      </c>
      <c r="B134" s="63" t="s">
        <v>49</v>
      </c>
      <c r="C134" s="100"/>
      <c r="D134" s="63"/>
      <c r="E134" s="78"/>
      <c r="F134" s="98">
        <f>Table7[[#This Row],[Cijena]]*Table7[[#This Row],[Količina materijala]]</f>
        <v>0</v>
      </c>
      <c r="G134" s="99">
        <f>F134/'Price Calculator'!$B$39</f>
        <v>0</v>
      </c>
      <c r="H134" s="22"/>
      <c r="I134" s="22"/>
      <c r="K134" s="42"/>
    </row>
    <row r="135" spans="1:11" x14ac:dyDescent="0.2">
      <c r="A135" s="75" t="s">
        <v>30</v>
      </c>
      <c r="B135" s="63"/>
      <c r="C135" s="112"/>
      <c r="D135" s="63"/>
      <c r="E135" s="63"/>
      <c r="F135" s="98">
        <f>SUBTOTAL(109,Table7[Trošak])</f>
        <v>3.9598318023999992</v>
      </c>
      <c r="G135" s="99">
        <f>SUBTOTAL(109,Table7[Trošak po kg])</f>
        <v>0.30460244633846145</v>
      </c>
      <c r="H135" s="22"/>
      <c r="I135" s="22"/>
      <c r="K135" s="42"/>
    </row>
    <row r="136" spans="1:11" x14ac:dyDescent="0.2">
      <c r="A136" s="75"/>
      <c r="B136" s="113"/>
      <c r="C136" s="63"/>
      <c r="D136" s="63"/>
      <c r="E136" s="63"/>
      <c r="F136" s="22"/>
      <c r="G136" s="22"/>
      <c r="H136" s="22"/>
      <c r="K136" s="42"/>
    </row>
    <row r="137" spans="1:11" x14ac:dyDescent="0.2">
      <c r="A137" s="75"/>
      <c r="B137" s="113"/>
      <c r="C137" s="63"/>
      <c r="D137" s="63"/>
      <c r="E137" s="63"/>
      <c r="F137" s="22"/>
      <c r="G137" s="22"/>
      <c r="H137" s="22"/>
      <c r="K137" s="42"/>
    </row>
    <row r="138" spans="1:11" x14ac:dyDescent="0.2">
      <c r="A138" s="83" t="s">
        <v>148</v>
      </c>
      <c r="B138" s="63" t="s">
        <v>47</v>
      </c>
      <c r="C138" s="63" t="s">
        <v>64</v>
      </c>
      <c r="D138" s="63" t="s">
        <v>39</v>
      </c>
      <c r="E138" s="63" t="s">
        <v>52</v>
      </c>
      <c r="F138" s="63" t="s">
        <v>62</v>
      </c>
      <c r="G138" s="22"/>
      <c r="H138" s="22"/>
      <c r="K138" s="42"/>
    </row>
    <row r="139" spans="1:11" x14ac:dyDescent="0.2">
      <c r="A139" s="75" t="s">
        <v>158</v>
      </c>
      <c r="B139" s="63" t="s">
        <v>50</v>
      </c>
      <c r="C139" s="114">
        <v>1.5</v>
      </c>
      <c r="D139" s="115">
        <v>0.86699999999999999</v>
      </c>
      <c r="E139" s="116">
        <f>D139*C139/(1000/'Price Calculator'!$B$39)</f>
        <v>1.6906500000000001E-2</v>
      </c>
      <c r="F139" s="99">
        <f>E139/'Price Calculator'!$B$39</f>
        <v>1.3005E-3</v>
      </c>
      <c r="G139" s="22"/>
      <c r="H139" s="22"/>
      <c r="K139" s="42"/>
    </row>
    <row r="140" spans="1:11" x14ac:dyDescent="0.2">
      <c r="A140" s="83" t="s">
        <v>159</v>
      </c>
      <c r="B140" s="63" t="s">
        <v>50</v>
      </c>
      <c r="C140" s="114">
        <v>0.3</v>
      </c>
      <c r="D140" s="117">
        <v>0.87</v>
      </c>
      <c r="E140" s="116">
        <f>D140*C140/(1000/'Price Calculator'!$B$39)</f>
        <v>3.3930000000000002E-3</v>
      </c>
      <c r="F140" s="99">
        <f>E140/'Price Calculator'!$B$39</f>
        <v>2.61E-4</v>
      </c>
      <c r="G140" s="22"/>
      <c r="H140" s="22"/>
      <c r="K140" s="42"/>
    </row>
    <row r="141" spans="1:11" x14ac:dyDescent="0.2">
      <c r="A141" s="75" t="s">
        <v>160</v>
      </c>
      <c r="B141" s="63" t="s">
        <v>50</v>
      </c>
      <c r="C141" s="118">
        <v>100</v>
      </c>
      <c r="D141" s="119">
        <v>10</v>
      </c>
      <c r="E141" s="116">
        <f>D141/C141</f>
        <v>0.1</v>
      </c>
      <c r="F141" s="99">
        <f>E141/'Price Calculator'!$B$39</f>
        <v>7.6923076923076927E-3</v>
      </c>
      <c r="G141" s="22"/>
      <c r="H141" s="22"/>
      <c r="K141" s="42"/>
    </row>
    <row r="142" spans="1:11" x14ac:dyDescent="0.2">
      <c r="A142" s="75" t="s">
        <v>161</v>
      </c>
      <c r="B142" s="63" t="s">
        <v>50</v>
      </c>
      <c r="C142" s="118">
        <v>100</v>
      </c>
      <c r="D142" s="119">
        <v>10</v>
      </c>
      <c r="E142" s="116">
        <f>D142/C142</f>
        <v>0.1</v>
      </c>
      <c r="F142" s="99">
        <f>E142/'Price Calculator'!$B$39</f>
        <v>7.6923076923076927E-3</v>
      </c>
      <c r="G142" s="22"/>
      <c r="H142" s="22"/>
      <c r="K142" s="42"/>
    </row>
    <row r="143" spans="1:11" x14ac:dyDescent="0.2">
      <c r="A143" s="75" t="s">
        <v>162</v>
      </c>
      <c r="B143" s="63" t="s">
        <v>50</v>
      </c>
      <c r="C143" s="118">
        <v>2500</v>
      </c>
      <c r="D143" s="119">
        <v>650</v>
      </c>
      <c r="E143" s="116">
        <f>D143/C143</f>
        <v>0.26</v>
      </c>
      <c r="F143" s="99">
        <f>E143/'Price Calculator'!$B$39</f>
        <v>0.02</v>
      </c>
      <c r="G143" s="22"/>
      <c r="H143" s="22"/>
      <c r="K143" s="42"/>
    </row>
    <row r="144" spans="1:11" x14ac:dyDescent="0.2">
      <c r="A144" s="83" t="s">
        <v>163</v>
      </c>
      <c r="B144" s="63" t="s">
        <v>50</v>
      </c>
      <c r="C144" s="120">
        <v>0</v>
      </c>
      <c r="D144" s="121">
        <v>2.75</v>
      </c>
      <c r="E144" s="116">
        <f>D144*C144</f>
        <v>0</v>
      </c>
      <c r="F144" s="99">
        <f>E144/'Price Calculator'!$B$39</f>
        <v>0</v>
      </c>
      <c r="G144" s="22"/>
      <c r="H144" s="22"/>
      <c r="K144" s="42"/>
    </row>
    <row r="145" spans="1:11" x14ac:dyDescent="0.2">
      <c r="A145" s="83" t="s">
        <v>164</v>
      </c>
      <c r="B145" s="63" t="s">
        <v>50</v>
      </c>
      <c r="C145" s="122">
        <v>150</v>
      </c>
      <c r="D145" s="123">
        <v>44</v>
      </c>
      <c r="E145" s="116">
        <f>D145/C145</f>
        <v>0.29333333333333333</v>
      </c>
      <c r="F145" s="99">
        <f>E145/'Price Calculator'!$B$39</f>
        <v>2.2564102564102566E-2</v>
      </c>
      <c r="G145" s="22"/>
      <c r="H145" s="22"/>
      <c r="K145" s="42"/>
    </row>
    <row r="146" spans="1:11" x14ac:dyDescent="0.2">
      <c r="A146" s="75" t="s">
        <v>30</v>
      </c>
      <c r="B146" s="63"/>
      <c r="C146" s="113"/>
      <c r="D146" s="113"/>
      <c r="E146" s="116">
        <f>SUBTOTAL(109,Table8[Trošak])</f>
        <v>0.77363283333333333</v>
      </c>
      <c r="F146" s="99">
        <f>SUBTOTAL(109,Table8[Trošak po kg])</f>
        <v>5.9510217948717949E-2</v>
      </c>
      <c r="G146" s="22"/>
      <c r="H146" s="22"/>
      <c r="K146" s="42"/>
    </row>
    <row r="147" spans="1:11" x14ac:dyDescent="0.2">
      <c r="A147" s="75"/>
      <c r="B147" s="113"/>
      <c r="C147" s="113"/>
      <c r="D147" s="113"/>
      <c r="E147" s="113"/>
      <c r="F147" s="22"/>
      <c r="G147" s="22"/>
      <c r="H147" s="22"/>
      <c r="K147" s="42"/>
    </row>
    <row r="148" spans="1:11" x14ac:dyDescent="0.2">
      <c r="A148" s="75"/>
      <c r="B148" s="113"/>
      <c r="C148" s="113"/>
      <c r="D148" s="113"/>
      <c r="E148" s="113"/>
      <c r="F148" s="22"/>
      <c r="G148" s="22"/>
      <c r="H148" s="22"/>
      <c r="K148" s="42"/>
    </row>
    <row r="149" spans="1:11" x14ac:dyDescent="0.2">
      <c r="A149" s="75"/>
      <c r="B149" s="113"/>
      <c r="C149" s="113"/>
      <c r="D149" s="113"/>
      <c r="E149" s="113"/>
      <c r="F149" s="22"/>
      <c r="G149" s="22"/>
      <c r="H149" s="22"/>
      <c r="K149" s="42"/>
    </row>
    <row r="150" spans="1:11" x14ac:dyDescent="0.2">
      <c r="A150" s="29"/>
      <c r="K150" s="42"/>
    </row>
    <row r="151" spans="1:11" x14ac:dyDescent="0.2">
      <c r="A151" s="124" t="s">
        <v>66</v>
      </c>
      <c r="B151" s="31" t="s">
        <v>60</v>
      </c>
      <c r="D151" s="22"/>
      <c r="K151" s="42"/>
    </row>
    <row r="152" spans="1:11" x14ac:dyDescent="0.2">
      <c r="A152" s="124" t="s">
        <v>67</v>
      </c>
      <c r="B152" s="31">
        <v>1</v>
      </c>
      <c r="D152" s="22"/>
      <c r="K152" s="42"/>
    </row>
    <row r="153" spans="1:11" x14ac:dyDescent="0.2">
      <c r="A153" s="124" t="s">
        <v>68</v>
      </c>
      <c r="B153" s="125">
        <f>'Price Calculator'!B21</f>
        <v>0.17</v>
      </c>
      <c r="D153" s="22"/>
      <c r="K153" s="42"/>
    </row>
    <row r="154" spans="1:11" x14ac:dyDescent="0.2">
      <c r="A154" s="124" t="s">
        <v>74</v>
      </c>
      <c r="B154" s="126">
        <f>'Price Calculator'!B22</f>
        <v>1850</v>
      </c>
      <c r="D154" s="22"/>
      <c r="K154" s="42"/>
    </row>
    <row r="155" spans="1:11" x14ac:dyDescent="0.2">
      <c r="A155" s="124" t="s">
        <v>92</v>
      </c>
      <c r="B155" s="127">
        <v>6</v>
      </c>
      <c r="D155" s="22"/>
      <c r="K155" s="42"/>
    </row>
    <row r="156" spans="1:11" x14ac:dyDescent="0.2">
      <c r="A156" s="124" t="s">
        <v>56</v>
      </c>
      <c r="B156" s="128">
        <f>'Price Calculator'!B119*'Price Calculator'!B43/1000</f>
        <v>4.55</v>
      </c>
      <c r="D156" s="22"/>
      <c r="K156" s="42"/>
    </row>
    <row r="157" spans="1:11" x14ac:dyDescent="0.2">
      <c r="A157" s="124" t="s">
        <v>93</v>
      </c>
      <c r="B157" s="129">
        <f>ROUNDDOWN(MIN(B155:B156)*1000/(('Price Calculator'!B43)),0)</f>
        <v>70</v>
      </c>
      <c r="D157" s="22"/>
      <c r="K157" s="42"/>
    </row>
    <row r="158" spans="1:11" x14ac:dyDescent="0.2">
      <c r="A158" s="130"/>
      <c r="B158" s="22"/>
      <c r="D158" s="22"/>
      <c r="K158" s="42"/>
    </row>
    <row r="159" spans="1:11" x14ac:dyDescent="0.2">
      <c r="A159" s="124" t="s">
        <v>165</v>
      </c>
      <c r="B159" s="63" t="s">
        <v>65</v>
      </c>
      <c r="C159" s="131" t="s">
        <v>69</v>
      </c>
      <c r="D159" s="63" t="s">
        <v>70</v>
      </c>
      <c r="E159" s="131" t="s">
        <v>72</v>
      </c>
      <c r="F159" s="131" t="s">
        <v>81</v>
      </c>
      <c r="G159" s="131" t="s">
        <v>82</v>
      </c>
      <c r="H159" s="132" t="s">
        <v>71</v>
      </c>
      <c r="I159" s="132" t="s">
        <v>75</v>
      </c>
      <c r="J159" s="132" t="s">
        <v>73</v>
      </c>
      <c r="K159" s="133" t="s">
        <v>76</v>
      </c>
    </row>
    <row r="160" spans="1:11" x14ac:dyDescent="0.2">
      <c r="A160" s="124" t="s">
        <v>166</v>
      </c>
      <c r="B160" s="26">
        <v>500</v>
      </c>
      <c r="C160" s="134">
        <v>8</v>
      </c>
      <c r="D160" s="135">
        <f>'Price Calculator'!B24</f>
        <v>2100000</v>
      </c>
      <c r="E160" s="136">
        <f>60/('Price Calculator'!B119*'Price Calculator'!B41/(100%+'Price Calculator'!B44))</f>
        <v>0.30428571428571427</v>
      </c>
      <c r="F160" s="116">
        <f>Table10[[#This Row],[Vrijednost godišnje amortizacije]]/(280*22.5*60)*Table10[[#This Row],[Taktno vrijeme]]</f>
        <v>1.6904761904761902</v>
      </c>
      <c r="G160" s="137">
        <f>F160/'Price Calculator'!$B$39</f>
        <v>0.13003663003663002</v>
      </c>
      <c r="H160" s="116">
        <f>Table10[[#This Row],[Taktno vrijeme]]/60*Table10[[#This Row],[Snaga]]*$B$153*$B$152</f>
        <v>0.43107142857142861</v>
      </c>
      <c r="I160" s="137">
        <f>Table10[[#This Row],[Trošak el. Energije]]/'Price Calculator'!$B$39</f>
        <v>3.3159340659340661E-2</v>
      </c>
      <c r="J160" s="116">
        <f>$B$154*Table10[[#This Row],[Broj Uposlenih]]*(Table10[[#This Row],[Taktno vrijeme]]/(22*7.5*60))</f>
        <v>0.45489177489177485</v>
      </c>
      <c r="K160" s="138">
        <f>J160/'Price Calculator'!$B$39</f>
        <v>3.4991674991674986E-2</v>
      </c>
    </row>
    <row r="161" spans="1:11" x14ac:dyDescent="0.2">
      <c r="A161" s="124" t="s">
        <v>167</v>
      </c>
      <c r="B161" s="26">
        <v>5000</v>
      </c>
      <c r="C161" s="134">
        <v>2</v>
      </c>
      <c r="D161" s="135">
        <v>0</v>
      </c>
      <c r="E161" s="139">
        <v>0.04</v>
      </c>
      <c r="F161" s="116">
        <f>Table10[[#This Row],[Vrijednost godišnje amortizacije]]/(280*22.5*60)*Table10[[#This Row],[Taktno vrijeme]]</f>
        <v>0</v>
      </c>
      <c r="G161" s="137">
        <f>F161/'Price Calculator'!$B$39</f>
        <v>0</v>
      </c>
      <c r="H161" s="140">
        <f>Table10[[#This Row],[Taktno vrijeme]]/60*Table10[[#This Row],[Snaga]]*$B$153*$B$152*(MIN(B155:B156)/B155)</f>
        <v>0.42972222222222217</v>
      </c>
      <c r="I161" s="137">
        <f>Table10[[#This Row],[Trošak el. Energije]]/'Price Calculator'!$B$39</f>
        <v>3.3055555555555553E-2</v>
      </c>
      <c r="J161" s="116">
        <f>$B$154*Table10[[#This Row],[Broj Uposlenih]]*(Table10[[#This Row],[Taktno vrijeme]]/(22*7.5*60))</f>
        <v>1.4949494949494949E-2</v>
      </c>
      <c r="K161" s="138">
        <f>J161/'Price Calculator'!$B$39</f>
        <v>1.14996114996115E-3</v>
      </c>
    </row>
    <row r="162" spans="1:11" x14ac:dyDescent="0.2">
      <c r="A162" s="124" t="s">
        <v>168</v>
      </c>
      <c r="B162" s="26">
        <v>250</v>
      </c>
      <c r="C162" s="134">
        <v>5</v>
      </c>
      <c r="D162" s="135">
        <v>0</v>
      </c>
      <c r="E162" s="136">
        <v>0.26</v>
      </c>
      <c r="F162" s="116">
        <f>Table10[[#This Row],[Vrijednost godišnje amortizacije]]/(280*22.5*60)*Table10[[#This Row],[Taktno vrijeme]]</f>
        <v>0</v>
      </c>
      <c r="G162" s="137">
        <f>F162/'Price Calculator'!$B$39</f>
        <v>0</v>
      </c>
      <c r="H162" s="116">
        <f>Table10[[#This Row],[Taktno vrijeme]]/60*Table10[[#This Row],[Snaga]]*$B$153*$B$152</f>
        <v>0.18416666666666667</v>
      </c>
      <c r="I162" s="137">
        <f>Table10[[#This Row],[Trošak el. Energije]]/'Price Calculator'!$B$39</f>
        <v>1.4166666666666668E-2</v>
      </c>
      <c r="J162" s="116">
        <f>$B$154*Table10[[#This Row],[Broj Uposlenih]]*(Table10[[#This Row],[Taktno vrijeme]]/(22*7.5*60))</f>
        <v>0.24292929292929294</v>
      </c>
      <c r="K162" s="138">
        <f>J162/'Price Calculator'!$B$39</f>
        <v>1.8686868686868689E-2</v>
      </c>
    </row>
    <row r="163" spans="1:11" x14ac:dyDescent="0.2">
      <c r="A163" s="124" t="s">
        <v>169</v>
      </c>
      <c r="B163" s="26">
        <v>50</v>
      </c>
      <c r="C163" s="134">
        <v>1</v>
      </c>
      <c r="D163" s="135">
        <v>0</v>
      </c>
      <c r="E163" s="136">
        <f>E162</f>
        <v>0.26</v>
      </c>
      <c r="F163" s="116">
        <f>Table10[[#This Row],[Vrijednost godišnje amortizacije]]/(280*22.5*60)*Table10[[#This Row],[Taktno vrijeme]]</f>
        <v>0</v>
      </c>
      <c r="G163" s="137">
        <f>F163/'Price Calculator'!$B$39</f>
        <v>0</v>
      </c>
      <c r="H163" s="116">
        <f>Table10[[#This Row],[Taktno vrijeme]]/60*Table10[[#This Row],[Snaga]]*$B$153*$B$152</f>
        <v>3.6833333333333336E-2</v>
      </c>
      <c r="I163" s="137">
        <f>Table10[[#This Row],[Trošak el. Energije]]/'Price Calculator'!$B$39</f>
        <v>2.8333333333333335E-3</v>
      </c>
      <c r="J163" s="116">
        <f>$B$154*Table10[[#This Row],[Broj Uposlenih]]*(Table10[[#This Row],[Taktno vrijeme]]/(22*7.5*60))</f>
        <v>4.8585858585858586E-2</v>
      </c>
      <c r="K163" s="138">
        <f>J163/'Price Calculator'!$B$39</f>
        <v>3.7373737373737376E-3</v>
      </c>
    </row>
    <row r="164" spans="1:11" x14ac:dyDescent="0.2">
      <c r="A164" s="124" t="s">
        <v>170</v>
      </c>
      <c r="B164" s="26">
        <v>0</v>
      </c>
      <c r="C164" s="134">
        <v>1</v>
      </c>
      <c r="D164" s="135">
        <v>0</v>
      </c>
      <c r="E164" s="136">
        <v>0.26</v>
      </c>
      <c r="F164" s="116">
        <f>Table10[[#This Row],[Vrijednost godišnje amortizacije]]/(280*22.5*60)*Table10[[#This Row],[Taktno vrijeme]]</f>
        <v>0</v>
      </c>
      <c r="G164" s="137">
        <f>F164/'Price Calculator'!$B$39</f>
        <v>0</v>
      </c>
      <c r="H164" s="116">
        <f>Table10[[#This Row],[Taktno vrijeme]]/60*Table10[[#This Row],[Snaga]]*$B$153*$B$152</f>
        <v>0</v>
      </c>
      <c r="I164" s="137">
        <f>Table10[[#This Row],[Trošak el. Energije]]/'Price Calculator'!$B$39</f>
        <v>0</v>
      </c>
      <c r="J164" s="116">
        <f>$B$154*Table10[[#This Row],[Broj Uposlenih]]*(Table10[[#This Row],[Taktno vrijeme]]/(22*7.5*60))</f>
        <v>4.8585858585858586E-2</v>
      </c>
      <c r="K164" s="138">
        <f>J164/'Price Calculator'!$B$39</f>
        <v>3.7373737373737376E-3</v>
      </c>
    </row>
    <row r="165" spans="1:11" x14ac:dyDescent="0.2">
      <c r="A165" s="124" t="s">
        <v>171</v>
      </c>
      <c r="B165" s="26">
        <v>50</v>
      </c>
      <c r="C165" s="134">
        <v>2</v>
      </c>
      <c r="D165" s="135">
        <v>0</v>
      </c>
      <c r="E165" s="136">
        <f>E164</f>
        <v>0.26</v>
      </c>
      <c r="F165" s="116">
        <f>Table10[[#This Row],[Vrijednost godišnje amortizacije]]/(280*22.5*60)*Table10[[#This Row],[Taktno vrijeme]]</f>
        <v>0</v>
      </c>
      <c r="G165" s="137">
        <f>F165/'Price Calculator'!$B$39</f>
        <v>0</v>
      </c>
      <c r="H165" s="116">
        <f>Table10[[#This Row],[Taktno vrijeme]]/60*Table10[[#This Row],[Snaga]]*$B$153*$B$152</f>
        <v>3.6833333333333336E-2</v>
      </c>
      <c r="I165" s="137">
        <f>Table10[[#This Row],[Trošak el. Energije]]/'Price Calculator'!$B$39</f>
        <v>2.8333333333333335E-3</v>
      </c>
      <c r="J165" s="116">
        <f>$B$154*Table10[[#This Row],[Broj Uposlenih]]*(Table10[[#This Row],[Taktno vrijeme]]/(22*7.5*60))</f>
        <v>9.7171717171717173E-2</v>
      </c>
      <c r="K165" s="138">
        <f>J165/'Price Calculator'!$B$39</f>
        <v>7.4747474747474752E-3</v>
      </c>
    </row>
    <row r="166" spans="1:11" x14ac:dyDescent="0.2">
      <c r="A166" s="124" t="s">
        <v>172</v>
      </c>
      <c r="B166" s="26">
        <v>10</v>
      </c>
      <c r="C166" s="134">
        <v>3</v>
      </c>
      <c r="D166" s="135">
        <v>0</v>
      </c>
      <c r="E166" s="136">
        <f>'Price Calculator'!B6/Table10[[#This Row],[Broj Uposlenih]]</f>
        <v>0.93333333333333324</v>
      </c>
      <c r="F166" s="116">
        <f>Table10[[#This Row],[Vrijednost godišnje amortizacije]]/(280*22.5*60)*Table10[[#This Row],[Taktno vrijeme]]</f>
        <v>0</v>
      </c>
      <c r="G166" s="137">
        <f>F166/'Price Calculator'!$B$39</f>
        <v>0</v>
      </c>
      <c r="H166" s="116">
        <f>Table10[[#This Row],[Taktno vrijeme]]/60*Table10[[#This Row],[Snaga]]*$B$153*$B$152</f>
        <v>2.6444444444444441E-2</v>
      </c>
      <c r="I166" s="137">
        <f>Table10[[#This Row],[Trošak el. Energije]]/'Price Calculator'!$B$39</f>
        <v>2.0341880341880341E-3</v>
      </c>
      <c r="J166" s="116">
        <f>$B$154*Table10[[#This Row],[Broj Uposlenih]]*(Table10[[#This Row],[Taktno vrijeme]]/(22*7.5*60))</f>
        <v>0.52323232323232316</v>
      </c>
      <c r="K166" s="138">
        <f>J166/'Price Calculator'!$B$39</f>
        <v>4.0248640248640243E-2</v>
      </c>
    </row>
    <row r="167" spans="1:11" x14ac:dyDescent="0.2">
      <c r="A167" s="124" t="s">
        <v>164</v>
      </c>
      <c r="B167" s="26">
        <v>0</v>
      </c>
      <c r="C167" s="134">
        <v>3</v>
      </c>
      <c r="D167" s="135">
        <v>0</v>
      </c>
      <c r="E167" s="136">
        <f>E166</f>
        <v>0.93333333333333324</v>
      </c>
      <c r="F167" s="116">
        <f>Table10[[#This Row],[Vrijednost godišnje amortizacije]]/(280*22.5*60)*Table10[[#This Row],[Taktno vrijeme]]</f>
        <v>0</v>
      </c>
      <c r="G167" s="137">
        <f>F167/'Price Calculator'!$B$39</f>
        <v>0</v>
      </c>
      <c r="H167" s="116">
        <f>Table10[[#This Row],[Taktno vrijeme]]/60*Table10[[#This Row],[Snaga]]*$B$153*$B$152</f>
        <v>0</v>
      </c>
      <c r="I167" s="137">
        <f>Table10[[#This Row],[Trošak el. Energije]]/'Price Calculator'!$B$39</f>
        <v>0</v>
      </c>
      <c r="J167" s="116">
        <f>$B$154*Table10[[#This Row],[Broj Uposlenih]]*(Table10[[#This Row],[Taktno vrijeme]]/(22*7.5*60))</f>
        <v>0.52323232323232316</v>
      </c>
      <c r="K167" s="138">
        <f>J167/'Price Calculator'!$B$39</f>
        <v>4.0248640248640243E-2</v>
      </c>
    </row>
    <row r="168" spans="1:11" x14ac:dyDescent="0.2">
      <c r="A168" s="124" t="s">
        <v>173</v>
      </c>
      <c r="B168" s="26">
        <v>150</v>
      </c>
      <c r="C168" s="141">
        <v>5</v>
      </c>
      <c r="D168" s="142">
        <v>0</v>
      </c>
      <c r="E168" s="136">
        <f>E167</f>
        <v>0.93333333333333324</v>
      </c>
      <c r="F168" s="116">
        <f>Table10[[#This Row],[Vrijednost godišnje amortizacije]]/(280*22.5*60)*Table10[[#This Row],[Taktno vrijeme]]</f>
        <v>0</v>
      </c>
      <c r="G168" s="137">
        <f>F168/'Price Calculator'!$B$39</f>
        <v>0</v>
      </c>
      <c r="H168" s="116">
        <f>Table10[[#This Row],[Taktno vrijeme]]/60*Table10[[#This Row],[Snaga]]*$B$153*$B$152</f>
        <v>0.39666666666666667</v>
      </c>
      <c r="I168" s="137">
        <f>Table10[[#This Row],[Trošak el. Energije]]/'Price Calculator'!$B$39</f>
        <v>3.0512820512820511E-2</v>
      </c>
      <c r="J168" s="116">
        <f>$B$154*Table10[[#This Row],[Broj Uposlenih]]*(Table10[[#This Row],[Taktno vrijeme]]/(22*7.5*60))</f>
        <v>0.87205387205387197</v>
      </c>
      <c r="K168" s="138">
        <f>J168/'Price Calculator'!$B$39</f>
        <v>6.7081067081067078E-2</v>
      </c>
    </row>
    <row r="169" spans="1:11" x14ac:dyDescent="0.2">
      <c r="A169" s="124" t="s">
        <v>174</v>
      </c>
      <c r="B169" s="27">
        <v>0</v>
      </c>
      <c r="C169" s="134">
        <v>0</v>
      </c>
      <c r="D169" s="135">
        <v>0</v>
      </c>
      <c r="E169" s="136">
        <f>E168</f>
        <v>0.93333333333333324</v>
      </c>
      <c r="F169" s="116">
        <f>Table10[[#This Row],[Vrijednost godišnje amortizacije]]/(280*22.5*60)*Table10[[#This Row],[Taktno vrijeme]]</f>
        <v>0</v>
      </c>
      <c r="G169" s="137">
        <f>F169/'Price Calculator'!$B$39</f>
        <v>0</v>
      </c>
      <c r="H169" s="116">
        <f>Table10[[#This Row],[Taktno vrijeme]]/60*Table10[[#This Row],[Snaga]]*$B$153*$B$152</f>
        <v>0</v>
      </c>
      <c r="I169" s="137">
        <f>Table10[[#This Row],[Trošak el. Energije]]/'Price Calculator'!$B$39</f>
        <v>0</v>
      </c>
      <c r="J169" s="116">
        <f>$B$154*Table10[[#This Row],[Broj Uposlenih]]*(Table10[[#This Row],[Taktno vrijeme]]/(22*7.5*60))</f>
        <v>0</v>
      </c>
      <c r="K169" s="138">
        <f>J169/'Price Calculator'!$B$39</f>
        <v>0</v>
      </c>
    </row>
    <row r="170" spans="1:11" ht="13.5" thickBot="1" x14ac:dyDescent="0.25">
      <c r="A170" s="143" t="s">
        <v>30</v>
      </c>
      <c r="B170" s="144">
        <f>SUBTOTAL(109,Table10[Snaga])</f>
        <v>6010</v>
      </c>
      <c r="C170" s="145">
        <f>SUBTOTAL(109,Table10[Broj Uposlenih])</f>
        <v>30</v>
      </c>
      <c r="D170" s="146">
        <f>SUBTOTAL(109,Table10[Vrijednost godišnje amortizacije])</f>
        <v>2100000</v>
      </c>
      <c r="E170" s="147">
        <f>SUBTOTAL(109,Table10[Taktno vrijeme])</f>
        <v>5.1176190476190477</v>
      </c>
      <c r="F170" s="148">
        <f>SUBTOTAL(109,Table10[Troš Amortizacije])</f>
        <v>1.6904761904761902</v>
      </c>
      <c r="G170" s="149">
        <f>SUBTOTAL(109,Table10[Tr. Am po kg])</f>
        <v>0.13003663003663002</v>
      </c>
      <c r="H170" s="148">
        <f>SUBTOTAL(109,Table10[Trošak el. Energije])</f>
        <v>1.5417380952380952</v>
      </c>
      <c r="I170" s="149">
        <f>SUBTOTAL(109,Table10[Troš ee po kg])</f>
        <v>0.11859523809523806</v>
      </c>
      <c r="J170" s="148">
        <f>SUBTOTAL(109,Table10[Trošak Uposlenih])</f>
        <v>2.8256325156325155</v>
      </c>
      <c r="K170" s="150">
        <f>SUBTOTAL(109,Table10[Trošak up po kg])</f>
        <v>0.21735634735634735</v>
      </c>
    </row>
    <row r="171" spans="1:11" x14ac:dyDescent="0.2">
      <c r="A171" s="22"/>
      <c r="B171" s="22"/>
      <c r="D171" s="22"/>
    </row>
    <row r="172" spans="1:11" x14ac:dyDescent="0.2">
      <c r="A172" s="22"/>
      <c r="B172" s="22"/>
      <c r="D172" s="22"/>
    </row>
    <row r="173" spans="1:11" ht="13.5" thickBot="1" x14ac:dyDescent="0.25">
      <c r="A173" s="22"/>
      <c r="B173" s="22"/>
      <c r="D173" s="22"/>
    </row>
    <row r="174" spans="1:11" ht="13.5" thickBot="1" x14ac:dyDescent="0.25">
      <c r="A174" s="172" t="s">
        <v>197</v>
      </c>
      <c r="B174" s="170"/>
      <c r="C174" s="151"/>
      <c r="D174" s="171"/>
    </row>
    <row r="175" spans="1:11" x14ac:dyDescent="0.2">
      <c r="A175" s="124" t="s">
        <v>52</v>
      </c>
      <c r="B175" s="153" t="s">
        <v>9</v>
      </c>
      <c r="C175" s="90" t="s">
        <v>18</v>
      </c>
      <c r="D175" s="154" t="s">
        <v>86</v>
      </c>
    </row>
    <row r="176" spans="1:11" x14ac:dyDescent="0.2">
      <c r="A176" s="124" t="s">
        <v>77</v>
      </c>
      <c r="B176" s="24">
        <f ca="1">'Price Calculator'!B61/('Price Calculator'!B60*1000)*((100%+'Price Calculator'!B44)/B5)</f>
        <v>0.9071778964455367</v>
      </c>
      <c r="C176" s="25">
        <f ca="1">B176*'Price Calculator'!$B$39</f>
        <v>11.793312653791977</v>
      </c>
      <c r="D176" s="155">
        <f ca="1">Table13[[#This Row],[€/kom]]/$C$187</f>
        <v>0.390689196609598</v>
      </c>
    </row>
    <row r="177" spans="1:4" x14ac:dyDescent="0.2">
      <c r="A177" s="124" t="s">
        <v>78</v>
      </c>
      <c r="B177" s="24">
        <f>Table7[[#Totals],[Trošak po kg]]+Table8[[#Totals],[Trošak po kg]]+(Table5[[#Totals],[Trošak2]]*(100%+'Price Calculator'!B44)/B5)</f>
        <v>0.45192600058397087</v>
      </c>
      <c r="C177" s="25">
        <f>B177*'Price Calculator'!$B$39</f>
        <v>5.8750380075916215</v>
      </c>
      <c r="D177" s="155">
        <f ca="1">Table13[[#This Row],[€/kom]]/$C$187</f>
        <v>0.1946284260087684</v>
      </c>
    </row>
    <row r="178" spans="1:4" x14ac:dyDescent="0.2">
      <c r="A178" s="156" t="s">
        <v>91</v>
      </c>
      <c r="B178" s="157">
        <f ca="1">+B177+B176</f>
        <v>1.3591038970295075</v>
      </c>
      <c r="C178" s="158">
        <f ca="1">+C177+C176</f>
        <v>17.668350661383599</v>
      </c>
      <c r="D178" s="159">
        <f ca="1">Table13[[#This Row],[€/kom]]/$C$187</f>
        <v>0.5853176226183664</v>
      </c>
    </row>
    <row r="179" spans="1:4" x14ac:dyDescent="0.2">
      <c r="A179" s="124" t="s">
        <v>79</v>
      </c>
      <c r="B179" s="24">
        <f>Table10[[#Totals],[Troš ee po kg]]</f>
        <v>0.11859523809523806</v>
      </c>
      <c r="C179" s="25">
        <f>B179*'Price Calculator'!$B$39</f>
        <v>1.5417380952380948</v>
      </c>
      <c r="D179" s="155">
        <f ca="1">Table13[[#This Row],[€/kom]]/$C$187</f>
        <v>5.1074743415482064E-2</v>
      </c>
    </row>
    <row r="180" spans="1:4" x14ac:dyDescent="0.2">
      <c r="A180" s="124" t="s">
        <v>80</v>
      </c>
      <c r="B180" s="24">
        <f>Table10[[#Totals],[Tr. Am po kg]]</f>
        <v>0.13003663003663002</v>
      </c>
      <c r="C180" s="25">
        <f>B180*'Price Calculator'!$B$39</f>
        <v>1.6904761904761902</v>
      </c>
      <c r="D180" s="155">
        <f ca="1">Table13[[#This Row],[€/kom]]/$C$187</f>
        <v>5.6002143259759815E-2</v>
      </c>
    </row>
    <row r="181" spans="1:4" x14ac:dyDescent="0.2">
      <c r="A181" s="124" t="s">
        <v>83</v>
      </c>
      <c r="B181" s="24">
        <f>Table10[[#Totals],[Trošak up po kg]]</f>
        <v>0.21735634735634735</v>
      </c>
      <c r="C181" s="25">
        <f>B181*'Price Calculator'!$B$39</f>
        <v>2.8256325156325155</v>
      </c>
      <c r="D181" s="155">
        <f ca="1">Table13[[#This Row],[€/kom]]/$C$187</f>
        <v>9.3607634246130736E-2</v>
      </c>
    </row>
    <row r="182" spans="1:4" x14ac:dyDescent="0.2">
      <c r="A182" s="160" t="s">
        <v>84</v>
      </c>
      <c r="B182" s="161">
        <f ca="1">SUM(B178:B181)</f>
        <v>1.8250921125177229</v>
      </c>
      <c r="C182" s="162">
        <f ca="1">SUM(C178:C181)</f>
        <v>23.726197462730401</v>
      </c>
      <c r="D182" s="163">
        <f ca="1">Table13[[#This Row],[€/kom]]/$C$187</f>
        <v>0.78600214353973907</v>
      </c>
    </row>
    <row r="183" spans="1:4" x14ac:dyDescent="0.2">
      <c r="A183" s="124" t="s">
        <v>87</v>
      </c>
      <c r="B183" s="24">
        <f ca="1">Table13[[#This Row],[CD]]*B187</f>
        <v>0.27863925728728484</v>
      </c>
      <c r="C183" s="25">
        <f ca="1">Table13[[#This Row],[CD]]*C187</f>
        <v>3.6223103447347036</v>
      </c>
      <c r="D183" s="164">
        <f>B25</f>
        <v>0.12</v>
      </c>
    </row>
    <row r="184" spans="1:4" x14ac:dyDescent="0.2">
      <c r="A184" s="156" t="s">
        <v>85</v>
      </c>
      <c r="B184" s="157">
        <f ca="1">B183+B182</f>
        <v>2.1037313698050077</v>
      </c>
      <c r="C184" s="158">
        <f ca="1">C183+C182</f>
        <v>27.348507807465104</v>
      </c>
      <c r="D184" s="155"/>
    </row>
    <row r="185" spans="1:4" x14ac:dyDescent="0.2">
      <c r="A185" s="124" t="s">
        <v>90</v>
      </c>
      <c r="B185" s="165">
        <f ca="1">15%-$D$180</f>
        <v>9.3997856740240179E-2</v>
      </c>
      <c r="C185" s="166">
        <f ca="1">15%-$D$180</f>
        <v>9.3997856740240179E-2</v>
      </c>
      <c r="D185" s="167">
        <f ca="1">20%-$D$180</f>
        <v>0.14399785674024018</v>
      </c>
    </row>
    <row r="186" spans="1:4" x14ac:dyDescent="0.2">
      <c r="A186" s="124" t="s">
        <v>88</v>
      </c>
      <c r="B186" s="24">
        <f ca="1">B185*B187</f>
        <v>0.21826244157247604</v>
      </c>
      <c r="C186" s="25">
        <f ca="1">C185*C187</f>
        <v>2.8374117404421892</v>
      </c>
      <c r="D186" s="155">
        <f ca="1">Table13[[#This Row],[€/kom]]/$C$187</f>
        <v>9.3997856740240179E-2</v>
      </c>
    </row>
    <row r="187" spans="1:4" x14ac:dyDescent="0.2">
      <c r="A187" s="156" t="s">
        <v>89</v>
      </c>
      <c r="B187" s="157">
        <f ca="1">B186+B184</f>
        <v>2.3219938113774838</v>
      </c>
      <c r="C187" s="158">
        <f ca="1">C186+C184</f>
        <v>30.185919547907293</v>
      </c>
      <c r="D187" s="159">
        <f ca="1">Table13[[#This Row],[€/kom]]/$C$187</f>
        <v>1</v>
      </c>
    </row>
    <row r="188" spans="1:4" x14ac:dyDescent="0.2">
      <c r="A188" s="130"/>
      <c r="B188" s="24"/>
      <c r="C188" s="25"/>
      <c r="D188" s="28"/>
    </row>
    <row r="189" spans="1:4" x14ac:dyDescent="0.2">
      <c r="A189" s="130"/>
      <c r="B189" s="24"/>
      <c r="C189" s="25"/>
      <c r="D189" s="28"/>
    </row>
    <row r="190" spans="1:4" x14ac:dyDescent="0.2">
      <c r="A190" s="173" t="s">
        <v>188</v>
      </c>
      <c r="B190" s="174">
        <f>'Price Calculator'!B23</f>
        <v>7.0000000000000007E-2</v>
      </c>
      <c r="C190" s="25"/>
      <c r="D190" s="28"/>
    </row>
    <row r="191" spans="1:4" ht="13.5" thickBot="1" x14ac:dyDescent="0.25">
      <c r="A191" s="175" t="s">
        <v>186</v>
      </c>
      <c r="B191" s="176">
        <f ca="1">B184*(1+B190)</f>
        <v>2.2509925656913583</v>
      </c>
      <c r="C191" s="168"/>
      <c r="D191" s="169"/>
    </row>
    <row r="192" spans="1:4" x14ac:dyDescent="0.2">
      <c r="A192" s="22"/>
      <c r="B192" s="24"/>
      <c r="C192" s="25"/>
      <c r="D192" s="22"/>
    </row>
    <row r="193" spans="1:4" x14ac:dyDescent="0.2">
      <c r="A193" s="22"/>
      <c r="B193" s="24"/>
      <c r="C193" s="25"/>
      <c r="D193" s="22"/>
    </row>
    <row r="194" spans="1:4" x14ac:dyDescent="0.2">
      <c r="A194" s="22"/>
      <c r="B194" s="24"/>
      <c r="C194" s="25"/>
      <c r="D194" s="22"/>
    </row>
    <row r="195" spans="1:4" x14ac:dyDescent="0.2">
      <c r="A195" s="22"/>
      <c r="B195" s="24"/>
      <c r="C195" s="25"/>
      <c r="D195" s="22"/>
    </row>
    <row r="196" spans="1:4" ht="13.5" thickBot="1" x14ac:dyDescent="0.25">
      <c r="A196" s="22"/>
      <c r="B196" s="24"/>
      <c r="C196" s="25"/>
      <c r="D196" s="22"/>
    </row>
    <row r="197" spans="1:4" ht="13.5" thickBot="1" x14ac:dyDescent="0.25">
      <c r="A197" s="44" t="s">
        <v>198</v>
      </c>
      <c r="B197" s="74" t="s">
        <v>199</v>
      </c>
      <c r="C197" s="25"/>
      <c r="D197" s="22"/>
    </row>
    <row r="198" spans="1:4" x14ac:dyDescent="0.2">
      <c r="A198" s="29" t="s">
        <v>116</v>
      </c>
      <c r="B198" s="177">
        <v>0.43</v>
      </c>
      <c r="C198" s="25"/>
      <c r="D198" s="22"/>
    </row>
    <row r="199" spans="1:4" x14ac:dyDescent="0.2">
      <c r="A199" s="29" t="s">
        <v>117</v>
      </c>
      <c r="B199" s="177">
        <v>0.5</v>
      </c>
      <c r="C199" s="25"/>
      <c r="D199" s="22"/>
    </row>
    <row r="200" spans="1:4" x14ac:dyDescent="0.2">
      <c r="A200" s="29" t="s">
        <v>118</v>
      </c>
      <c r="B200" s="177">
        <v>0.43</v>
      </c>
      <c r="C200" s="25"/>
      <c r="D200" s="22"/>
    </row>
    <row r="201" spans="1:4" x14ac:dyDescent="0.2">
      <c r="A201" s="29" t="s">
        <v>119</v>
      </c>
      <c r="B201" s="177"/>
    </row>
    <row r="202" spans="1:4" x14ac:dyDescent="0.2">
      <c r="A202" s="29" t="s">
        <v>120</v>
      </c>
      <c r="B202" s="177">
        <v>0.43</v>
      </c>
    </row>
    <row r="203" spans="1:4" x14ac:dyDescent="0.2">
      <c r="A203" s="29" t="s">
        <v>121</v>
      </c>
      <c r="B203" s="177">
        <v>0.42199999999999999</v>
      </c>
    </row>
    <row r="204" spans="1:4" x14ac:dyDescent="0.2">
      <c r="A204" s="29" t="s">
        <v>1</v>
      </c>
      <c r="B204" s="177">
        <v>0.98699999999999999</v>
      </c>
    </row>
    <row r="205" spans="1:4" x14ac:dyDescent="0.2">
      <c r="A205" s="29" t="s">
        <v>32</v>
      </c>
      <c r="B205" s="177">
        <v>1.39</v>
      </c>
    </row>
    <row r="206" spans="1:4" x14ac:dyDescent="0.2">
      <c r="A206" s="29" t="s">
        <v>31</v>
      </c>
      <c r="B206" s="177">
        <v>1.367</v>
      </c>
    </row>
    <row r="207" spans="1:4" x14ac:dyDescent="0.2">
      <c r="A207" s="29" t="s">
        <v>4</v>
      </c>
      <c r="B207" s="177">
        <v>1</v>
      </c>
    </row>
    <row r="208" spans="1:4" x14ac:dyDescent="0.2">
      <c r="A208" s="29" t="s">
        <v>7</v>
      </c>
      <c r="B208" s="177">
        <v>1</v>
      </c>
    </row>
    <row r="209" spans="1:2" x14ac:dyDescent="0.2">
      <c r="A209" s="29" t="s">
        <v>33</v>
      </c>
      <c r="B209" s="177">
        <v>1.5660000000000001</v>
      </c>
    </row>
    <row r="210" spans="1:2" x14ac:dyDescent="0.2">
      <c r="A210" s="29" t="s">
        <v>8</v>
      </c>
      <c r="B210" s="177">
        <v>10.06</v>
      </c>
    </row>
    <row r="211" spans="1:2" x14ac:dyDescent="0.2">
      <c r="A211" s="29" t="s">
        <v>35</v>
      </c>
      <c r="B211" s="177">
        <v>20.38</v>
      </c>
    </row>
    <row r="212" spans="1:2" x14ac:dyDescent="0.2">
      <c r="A212" s="29" t="s">
        <v>23</v>
      </c>
      <c r="B212" s="177">
        <v>15.5</v>
      </c>
    </row>
    <row r="213" spans="1:2" x14ac:dyDescent="0.2">
      <c r="A213" s="29" t="s">
        <v>45</v>
      </c>
      <c r="B213" s="177">
        <v>2.8</v>
      </c>
    </row>
    <row r="214" spans="1:2" x14ac:dyDescent="0.2">
      <c r="A214" s="29" t="s">
        <v>41</v>
      </c>
      <c r="B214" s="177">
        <v>2.8</v>
      </c>
    </row>
    <row r="215" spans="1:2" x14ac:dyDescent="0.2">
      <c r="A215" s="29" t="s">
        <v>46</v>
      </c>
      <c r="B215" s="177">
        <v>3.85</v>
      </c>
    </row>
    <row r="216" spans="1:2" x14ac:dyDescent="0.2">
      <c r="A216" s="29" t="s">
        <v>6</v>
      </c>
      <c r="B216" s="177">
        <v>1.2</v>
      </c>
    </row>
    <row r="217" spans="1:2" x14ac:dyDescent="0.2">
      <c r="A217" s="29" t="s">
        <v>149</v>
      </c>
      <c r="B217" s="178">
        <v>4.5</v>
      </c>
    </row>
    <row r="218" spans="1:2" x14ac:dyDescent="0.2">
      <c r="A218" s="29" t="s">
        <v>150</v>
      </c>
      <c r="B218" s="178">
        <v>1.5</v>
      </c>
    </row>
    <row r="219" spans="1:2" x14ac:dyDescent="0.2">
      <c r="A219" s="29" t="s">
        <v>151</v>
      </c>
      <c r="B219" s="178">
        <v>2.08</v>
      </c>
    </row>
    <row r="220" spans="1:2" x14ac:dyDescent="0.2">
      <c r="A220" s="29" t="s">
        <v>152</v>
      </c>
      <c r="B220" s="179">
        <v>127</v>
      </c>
    </row>
    <row r="221" spans="1:2" x14ac:dyDescent="0.2">
      <c r="A221" s="29" t="s">
        <v>153</v>
      </c>
      <c r="B221" s="179">
        <v>41.3</v>
      </c>
    </row>
    <row r="222" spans="1:2" x14ac:dyDescent="0.2">
      <c r="A222" s="29" t="s">
        <v>154</v>
      </c>
      <c r="B222" s="179">
        <v>30000</v>
      </c>
    </row>
    <row r="223" spans="1:2" x14ac:dyDescent="0.2">
      <c r="A223" s="29" t="s">
        <v>155</v>
      </c>
      <c r="B223" s="179">
        <v>1800</v>
      </c>
    </row>
    <row r="224" spans="1:2" x14ac:dyDescent="0.2">
      <c r="A224" s="29" t="s">
        <v>156</v>
      </c>
      <c r="B224" s="179">
        <v>5200</v>
      </c>
    </row>
    <row r="225" spans="1:2" x14ac:dyDescent="0.2">
      <c r="A225" s="29" t="s">
        <v>157</v>
      </c>
      <c r="B225" s="179"/>
    </row>
    <row r="226" spans="1:2" x14ac:dyDescent="0.2">
      <c r="A226" s="29" t="s">
        <v>0</v>
      </c>
      <c r="B226" s="178">
        <v>5.0000000000000001E-3</v>
      </c>
    </row>
    <row r="227" spans="1:2" x14ac:dyDescent="0.2">
      <c r="A227" s="29" t="s">
        <v>10</v>
      </c>
      <c r="B227" s="178">
        <v>6.8000000000000005E-2</v>
      </c>
    </row>
    <row r="228" spans="1:2" x14ac:dyDescent="0.2">
      <c r="A228" s="29" t="s">
        <v>11</v>
      </c>
      <c r="B228" s="178">
        <v>0.15</v>
      </c>
    </row>
    <row r="229" spans="1:2" x14ac:dyDescent="0.2">
      <c r="A229" s="29" t="s">
        <v>12</v>
      </c>
      <c r="B229" s="178">
        <v>0.41499999999999998</v>
      </c>
    </row>
    <row r="230" spans="1:2" x14ac:dyDescent="0.2">
      <c r="A230" s="29" t="s">
        <v>13</v>
      </c>
      <c r="B230" s="180">
        <v>2.1</v>
      </c>
    </row>
    <row r="231" spans="1:2" x14ac:dyDescent="0.2">
      <c r="A231" s="29" t="s">
        <v>19</v>
      </c>
      <c r="B231" s="181">
        <v>0.38</v>
      </c>
    </row>
    <row r="232" spans="1:2" x14ac:dyDescent="0.2">
      <c r="A232" s="29" t="s">
        <v>20</v>
      </c>
      <c r="B232" s="181">
        <v>0.2</v>
      </c>
    </row>
    <row r="233" spans="1:2" x14ac:dyDescent="0.2">
      <c r="A233" s="29" t="s">
        <v>14</v>
      </c>
      <c r="B233" s="181">
        <v>0.12</v>
      </c>
    </row>
    <row r="234" spans="1:2" x14ac:dyDescent="0.2">
      <c r="A234" s="29" t="s">
        <v>15</v>
      </c>
      <c r="B234" s="181">
        <v>2</v>
      </c>
    </row>
    <row r="235" spans="1:2" x14ac:dyDescent="0.2">
      <c r="A235" s="29" t="s">
        <v>21</v>
      </c>
      <c r="B235" s="182">
        <v>1.1000000000000001</v>
      </c>
    </row>
    <row r="236" spans="1:2" x14ac:dyDescent="0.2">
      <c r="A236" s="29" t="s">
        <v>16</v>
      </c>
      <c r="B236" s="182"/>
    </row>
    <row r="237" spans="1:2" x14ac:dyDescent="0.2">
      <c r="A237" s="29" t="s">
        <v>175</v>
      </c>
      <c r="B237" s="178">
        <v>0.35</v>
      </c>
    </row>
    <row r="238" spans="1:2" x14ac:dyDescent="0.2">
      <c r="A238" s="29" t="s">
        <v>17</v>
      </c>
      <c r="B238" s="182"/>
    </row>
    <row r="239" spans="1:2" x14ac:dyDescent="0.2">
      <c r="A239" s="29" t="s">
        <v>158</v>
      </c>
      <c r="B239" s="183">
        <v>0.86699999999999999</v>
      </c>
    </row>
    <row r="240" spans="1:2" x14ac:dyDescent="0.2">
      <c r="A240" s="29" t="s">
        <v>159</v>
      </c>
      <c r="B240" s="183">
        <v>0.87</v>
      </c>
    </row>
    <row r="241" spans="1:2" x14ac:dyDescent="0.2">
      <c r="A241" s="29" t="s">
        <v>160</v>
      </c>
      <c r="B241" s="179">
        <v>10</v>
      </c>
    </row>
    <row r="242" spans="1:2" x14ac:dyDescent="0.2">
      <c r="A242" s="29" t="s">
        <v>161</v>
      </c>
      <c r="B242" s="179">
        <v>10</v>
      </c>
    </row>
    <row r="243" spans="1:2" x14ac:dyDescent="0.2">
      <c r="A243" s="29" t="s">
        <v>162</v>
      </c>
      <c r="B243" s="179">
        <v>650</v>
      </c>
    </row>
    <row r="244" spans="1:2" x14ac:dyDescent="0.2">
      <c r="A244" s="29" t="s">
        <v>163</v>
      </c>
      <c r="B244" s="180">
        <v>2.75</v>
      </c>
    </row>
    <row r="245" spans="1:2" ht="13.5" thickBot="1" x14ac:dyDescent="0.25">
      <c r="A245" s="43" t="s">
        <v>164</v>
      </c>
      <c r="B245" s="184">
        <v>44</v>
      </c>
    </row>
  </sheetData>
  <conditionalFormatting sqref="G66:S66">
    <cfRule type="cellIs" dxfId="2" priority="1" operator="greaterThan">
      <formula>G65</formula>
    </cfRule>
    <cfRule type="cellIs" dxfId="1" priority="2" operator="lessThan">
      <formula>G64</formula>
    </cfRule>
  </conditionalFormatting>
  <conditionalFormatting sqref="G85:T86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Price Calculator</vt:lpstr>
    </vt:vector>
  </TitlesOfParts>
  <Company>CIMOS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amelc</dc:creator>
  <cp:lastModifiedBy>Luka Plahuta</cp:lastModifiedBy>
  <cp:lastPrinted>2011-04-13T11:00:52Z</cp:lastPrinted>
  <dcterms:created xsi:type="dcterms:W3CDTF">2007-06-14T06:01:31Z</dcterms:created>
  <dcterms:modified xsi:type="dcterms:W3CDTF">2025-07-08T06:16:36Z</dcterms:modified>
</cp:coreProperties>
</file>