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Familia\Downloads\"/>
    </mc:Choice>
  </mc:AlternateContent>
  <xr:revisionPtr revIDLastSave="0" documentId="13_ncr:1_{FC409939-CC6B-4E49-B753-F6C90B940AE7}" xr6:coauthVersionLast="47" xr6:coauthVersionMax="47" xr10:uidLastSave="{00000000-0000-0000-0000-000000000000}"/>
  <bookViews>
    <workbookView xWindow="-120" yWindow="-120" windowWidth="29040" windowHeight="15840" tabRatio="500" xr2:uid="{00000000-000D-0000-FFFF-FFFF00000000}"/>
  </bookViews>
  <sheets>
    <sheet name="Valore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49" i="1" l="1"/>
  <c r="M48" i="1"/>
  <c r="M47" i="1"/>
  <c r="M46" i="1"/>
  <c r="M45" i="1"/>
  <c r="M42" i="1"/>
  <c r="M41" i="1"/>
  <c r="M40" i="1"/>
  <c r="M39" i="1"/>
  <c r="M38" i="1"/>
  <c r="M37" i="1"/>
  <c r="M36" i="1"/>
  <c r="M35" i="1"/>
  <c r="M34" i="1"/>
  <c r="M33" i="1"/>
  <c r="M32" i="1"/>
  <c r="M31" i="1"/>
  <c r="M30" i="1"/>
  <c r="M29" i="1"/>
  <c r="M28" i="1"/>
  <c r="M27" i="1"/>
  <c r="M26" i="1"/>
  <c r="M24" i="1"/>
  <c r="M23" i="1"/>
  <c r="M22" i="1"/>
  <c r="M21" i="1"/>
  <c r="M20" i="1"/>
  <c r="M19" i="1"/>
  <c r="M17" i="1"/>
  <c r="M16" i="1"/>
  <c r="M15" i="1"/>
  <c r="M14" i="1"/>
  <c r="M11" i="1"/>
  <c r="M10" i="1"/>
  <c r="M9" i="1"/>
  <c r="M8" i="1"/>
  <c r="M7" i="1"/>
  <c r="M6" i="1"/>
  <c r="M5" i="1"/>
  <c r="M4" i="1"/>
  <c r="L49" i="1"/>
  <c r="L48" i="1"/>
  <c r="L47" i="1"/>
  <c r="L46" i="1"/>
  <c r="L45" i="1"/>
  <c r="L42" i="1"/>
  <c r="L41" i="1"/>
  <c r="L40" i="1"/>
  <c r="L39" i="1"/>
  <c r="L38" i="1"/>
  <c r="L37" i="1"/>
  <c r="L36" i="1"/>
  <c r="L35" i="1"/>
  <c r="L34" i="1"/>
  <c r="L33" i="1"/>
  <c r="L32" i="1"/>
  <c r="L31" i="1"/>
  <c r="L30" i="1"/>
  <c r="L29" i="1"/>
  <c r="L28" i="1"/>
  <c r="L27" i="1"/>
  <c r="L26" i="1"/>
  <c r="L24" i="1"/>
  <c r="L23" i="1"/>
  <c r="L22" i="1"/>
  <c r="L21" i="1"/>
  <c r="L20" i="1"/>
  <c r="L19" i="1"/>
  <c r="L17" i="1"/>
  <c r="L16" i="1"/>
  <c r="L15" i="1"/>
  <c r="L14" i="1"/>
  <c r="L11" i="1"/>
  <c r="L10" i="1"/>
  <c r="L9" i="1"/>
  <c r="L8" i="1"/>
  <c r="L7" i="1"/>
  <c r="L6" i="1"/>
  <c r="L5" i="1"/>
  <c r="L4" i="1"/>
  <c r="K49" i="1"/>
  <c r="K48" i="1"/>
  <c r="K47" i="1"/>
  <c r="K46" i="1"/>
  <c r="K45" i="1"/>
  <c r="K42" i="1"/>
  <c r="K41" i="1"/>
  <c r="K40" i="1"/>
  <c r="K39" i="1"/>
  <c r="K38" i="1"/>
  <c r="K37" i="1"/>
  <c r="K36" i="1"/>
  <c r="K35" i="1"/>
  <c r="K34" i="1"/>
  <c r="K33" i="1"/>
  <c r="K32" i="1"/>
  <c r="K31" i="1"/>
  <c r="K30" i="1"/>
  <c r="K29" i="1"/>
  <c r="K28" i="1"/>
  <c r="K27" i="1"/>
  <c r="K26" i="1"/>
  <c r="K24" i="1"/>
  <c r="K23" i="1"/>
  <c r="K22" i="1"/>
  <c r="K21" i="1"/>
  <c r="K20" i="1"/>
  <c r="K19" i="1"/>
  <c r="K17" i="1"/>
  <c r="K15" i="1"/>
  <c r="K14" i="1"/>
  <c r="K11" i="1"/>
  <c r="K10" i="1"/>
  <c r="K9" i="1"/>
  <c r="K8" i="1"/>
  <c r="K7" i="1"/>
  <c r="K6" i="1"/>
  <c r="K5" i="1"/>
  <c r="K4" i="1"/>
  <c r="D42" i="1"/>
  <c r="D33" i="1"/>
</calcChain>
</file>

<file path=xl/sharedStrings.xml><?xml version="1.0" encoding="utf-8"?>
<sst xmlns="http://schemas.openxmlformats.org/spreadsheetml/2006/main" count="155" uniqueCount="87">
  <si>
    <t xml:space="preserve">Valor en Riesgo </t>
  </si>
  <si>
    <t>Valor en Riesgo  Condicional</t>
  </si>
  <si>
    <t>Valor</t>
  </si>
  <si>
    <t>Simulación Histórica</t>
  </si>
  <si>
    <t>Delta Normal</t>
  </si>
  <si>
    <t>Delta Gamma Normal</t>
  </si>
  <si>
    <t>Simulación Montecarlo</t>
  </si>
  <si>
    <t>Instrumento</t>
  </si>
  <si>
    <t>Instrumento Ind</t>
  </si>
  <si>
    <t>Factor Riesgo</t>
  </si>
  <si>
    <t>Sin alisado</t>
  </si>
  <si>
    <t>Con Alisado</t>
  </si>
  <si>
    <t>Delta Gamma Cornish Fisher</t>
  </si>
  <si>
    <t>Cholesky Normal</t>
  </si>
  <si>
    <t>Cholesky Empírica</t>
  </si>
  <si>
    <t>CP Normal</t>
  </si>
  <si>
    <t>CP Empírica</t>
  </si>
  <si>
    <t>IINTERPRETACIÓN</t>
  </si>
  <si>
    <t>Acciones</t>
  </si>
  <si>
    <t>Gcarso</t>
  </si>
  <si>
    <t>América Móvil</t>
  </si>
  <si>
    <t>Walmart</t>
  </si>
  <si>
    <t>Total</t>
  </si>
  <si>
    <t>Divisas</t>
  </si>
  <si>
    <t>USD</t>
  </si>
  <si>
    <t>EUR</t>
  </si>
  <si>
    <t>GBP</t>
  </si>
  <si>
    <t>Bonos</t>
  </si>
  <si>
    <t>CETE</t>
  </si>
  <si>
    <t>Tasa Gubernamental</t>
  </si>
  <si>
    <t>Bono M</t>
  </si>
  <si>
    <t>Bonde D</t>
  </si>
  <si>
    <t>Tfondeo</t>
  </si>
  <si>
    <t>Sobretasa</t>
  </si>
  <si>
    <t>Total Bonde</t>
  </si>
  <si>
    <t>Futuros</t>
  </si>
  <si>
    <t>USD-MXP</t>
  </si>
  <si>
    <t>Tipo Cambio</t>
  </si>
  <si>
    <t>Tasa extranjera (Libor)</t>
  </si>
  <si>
    <t>Tasa Doméstica (Forward</t>
  </si>
  <si>
    <t>Total Fut tdc</t>
  </si>
  <si>
    <t>IPC</t>
  </si>
  <si>
    <t>Valor IPC</t>
  </si>
  <si>
    <t>Tasa Pagarés</t>
  </si>
  <si>
    <t>Tasa dividendos</t>
  </si>
  <si>
    <t>Total Fut ind</t>
  </si>
  <si>
    <t>Swaps</t>
  </si>
  <si>
    <t>Largo</t>
  </si>
  <si>
    <t>Cupón</t>
  </si>
  <si>
    <t>Valor presente (TIIE)</t>
  </si>
  <si>
    <t>Total Swap Largo</t>
  </si>
  <si>
    <t>Corto</t>
  </si>
  <si>
    <t>Total Swap Corto</t>
  </si>
  <si>
    <t>Opciones</t>
  </si>
  <si>
    <t>Call Largo</t>
  </si>
  <si>
    <t>Spot</t>
  </si>
  <si>
    <t>volatilidad</t>
  </si>
  <si>
    <t>Total Opción Call Larga</t>
  </si>
  <si>
    <t>Put Largo</t>
  </si>
  <si>
    <t>Total por factor de riesgo</t>
  </si>
  <si>
    <t>Tasa de interés</t>
  </si>
  <si>
    <t>Volatilidad</t>
  </si>
  <si>
    <t>Portafolios</t>
  </si>
  <si>
    <t xml:space="preserve">En el caso de estos instrumentos notamos que tanto el VaR bajo SH con alisado y sin alisado dan valores grandes y negativos. Esto significa que el nivel de pérdidas es  alto  ese umbral de tiempo. Por otro lado, notamos que dandole más peso a los escenarios más recientes el nivel de pérdida es mayor. 
En cuato al CVaR; observemos que es considerablemente mayor  que el VaR lo que nos dice que pasando el umbral de tiempo del VarR hay más nivel de riesgo. </t>
  </si>
  <si>
    <t xml:space="preserve">Nuevamente los valores que encontramos son  grandes lo que podría explicarse por el tipo de cambio que sabemos es un factor de riesgo que suele ser fluctuante. Lo anterior también podría explicar porque el VaR con alisado refleja un nivel de riesgo mayor que con alisado. 
Otra vez el CVar refleja que pasando el umbral de tiempo donde se alculó el VaR encintramos mayores  niveles de riesgo. </t>
  </si>
  <si>
    <t xml:space="preserve">Para estos instrumentos financieros tenemos a las tasas gubernamentales como factores de riesgo, lo cuál explica que las catidades sean pequeñas. El nivel de riesgo es pequeño  en ese horizonte de riesgo pero pasando ese horizonte es mayor, de acuerdo con el calculo del CVaR. </t>
  </si>
  <si>
    <t xml:space="preserve">Nuevamente encontramos instrumentos que se ven afectados por el tipo de cambio con valorres pequeños. Dado ese umbral de tiempo el nivel de pérdida es pequeño  y es mayor al nivel de pérdida para valores fuera de ese horizonte de riesgo. </t>
  </si>
  <si>
    <t xml:space="preserve">Para los futuros de índices los factores de riesgo son de valores grandes igual que el nivel de riesgo , otra vez para escenarios con el mismo peso el valor es mayor. Por otro lado, el análisis del CVaR se repite pues sigue siendo un nivel de riesgo  mayor pasando el horizonte del VaR. </t>
  </si>
  <si>
    <t xml:space="preserve">Los SWAPS tienen pocos factores de riesgo, los cupones son de grandes valores, por lo que son los más significativos. En el caso donde los escenarios tienen el mismo peso el nivel de riesgo es mayor que considerando con más valor los escenarios más recientes. En el CVaR el comportamiento es el mismo y respecto al VaR seguimos teniendo que pasando el horizonte de tiempo el riesgi es mayor. </t>
  </si>
  <si>
    <t xml:space="preserve">Para estos instruementos financieros los valores y los niveles de riesgo son los más pequeños al ser multiplicados. El CVaR es mayor lo que implica que el nivel de riesgo es mayor fuera del horizonte  de tiempo del umbral. </t>
  </si>
  <si>
    <t xml:space="preserve">
 </t>
  </si>
  <si>
    <t xml:space="preserve">Los resultados concluyen que las acciones presentan un mayor nivel de riesgo con respecto al resto de los factores. Los  escenarios con distintos pesos generan un mayor nivel de riesgo. Fuera del umbral de tiempo del VaR los niveles de riesgo son ligeramente mayores. Lo anterior se repite para las divisas. 
En el caso de de las tasas de interes nuevamente son valores grandes, pero en ese caso cuando los escenarios tienen el mismo peso el nivel de riesgo es mayor que con alisado. Fuera del horizonte de riesgo el nivel de riesgo es mayor, según el CVaR registrado. 
Por otro lado la volatilidad tiene los valores más pequeños, para pesos iguales el nivel de riesgo es mayor. Nuevamente el CVaR refleja que el nivel de riesgo es mayor fuera del horizonte de riesgo del VaR. </t>
  </si>
  <si>
    <t xml:space="preserve">Los resultados reflejan el valor en riesgo de distintos intrumentos financieros cálculando la distribución de pérdidas y ganancias con Simulación Histórica. Además de la clasificación en factores de riesgo que se pueden localizar de acuerdo a los instrumentos financiero con un nivel de confianza de 98% con un horizonte de 1 día. El valor en riesgo refleja la mayor pérdida esperada de un intrumento y el CVaR nuevamente refleja la pérdida pero fuera del horizonte del VaR.  </t>
  </si>
  <si>
    <t>Total Opción Put Larga</t>
  </si>
  <si>
    <t>INTERPRETACIÓN POR TIPO DE INSTRUMENTO</t>
  </si>
  <si>
    <r>
      <t xml:space="preserve">ACCIONES Y DIVISAS 
Analizando primero los </t>
    </r>
    <r>
      <rPr>
        <b/>
        <sz val="11"/>
        <color rgb="FF000000"/>
        <rFont val="Calibri"/>
        <family val="2"/>
      </rPr>
      <t>VaRes</t>
    </r>
    <r>
      <rPr>
        <sz val="11"/>
        <color rgb="FF000000"/>
        <rFont val="Calibri"/>
        <family val="2"/>
        <charset val="1"/>
      </rPr>
      <t xml:space="preserve">, notamos unas muy leves variaciones con los  calculados por medio de SH. Esto se debe a que las diferentes ponderaciones y aproximaciones que se les da a cada uno de los factores de riesgo; ya que,  una variación puede modificar el cálculo de los indicadores de riesgo dependiendo de cada método.
Para los </t>
    </r>
    <r>
      <rPr>
        <b/>
        <sz val="11"/>
        <color rgb="FF000000"/>
        <rFont val="Calibri"/>
        <family val="2"/>
      </rPr>
      <t>CVaRes</t>
    </r>
    <r>
      <rPr>
        <sz val="11"/>
        <color rgb="FF000000"/>
        <rFont val="Calibri"/>
        <family val="2"/>
        <charset val="1"/>
      </rPr>
      <t xml:space="preserve"> podemos encontrar una situación similar. Se obtuvieron valores congruentes con el método de SH.  Por otra parte;  todas las medidas de riesgo calculadas por los métodos Delta fueron las mismas. Esto se debe a que derivadas de órdenes mayores a 1 con respecto a los distintos factores de riesgo al timepo son 0, así que los ajustes en los cálculos de riesgos que dependan de derivadas de orden 2 o superior no afectarán los resultados. Por lo tanto,   los riesgos calculados bajo los métodos Delta Normal, Delta Gamma Normal y Delta Gama Cornish Fisher son los mismos para posiciones con acciones y para divisas. </t>
    </r>
  </si>
  <si>
    <r>
      <t>BONOS Y CETES 
Primero, tenemos los</t>
    </r>
    <r>
      <rPr>
        <b/>
        <sz val="11"/>
        <color rgb="FF000000"/>
        <rFont val="Calibri"/>
        <family val="2"/>
      </rPr>
      <t xml:space="preserve"> Bonos M</t>
    </r>
    <r>
      <rPr>
        <sz val="11"/>
        <color rgb="FF000000"/>
        <rFont val="Calibri"/>
        <family val="2"/>
        <charset val="1"/>
      </rPr>
      <t xml:space="preserve"> donde no fue necesario hacer el calculo del VaR ni del CVaR porque tenemos una   tf, la cual tenemos desde el momento en el que adquirimos el bono y  sabemos como es que va evolucionando en cada periodo de tiempo. Por tanto no habría perdidas ni riesgo.  En el caso del </t>
    </r>
    <r>
      <rPr>
        <b/>
        <sz val="11"/>
        <color rgb="FF000000"/>
        <rFont val="Calibri"/>
        <family val="2"/>
      </rPr>
      <t>Bonde D</t>
    </r>
    <r>
      <rPr>
        <sz val="11"/>
        <color rgb="FF000000"/>
        <rFont val="Calibri"/>
        <family val="2"/>
        <charset val="1"/>
      </rPr>
      <t xml:space="preserve"> los factores más riesgosos fueron la tasa de fondeo, seguidas por la tasa gubernamental y finalmente la sobretasa, lo cual es  similar a los resultados calculados por medio de SH. Se cumple que el CVaR es mayor al VaR;  por lo que para la valuación del Bonde D se necesita utilizar la curva gubernamental y que utilizamos para la valuación de los cetes y del bono M.
En cuanto a los </t>
    </r>
    <r>
      <rPr>
        <b/>
        <sz val="11"/>
        <color rgb="FF000000"/>
        <rFont val="Calibri"/>
        <family val="2"/>
      </rPr>
      <t>CETES</t>
    </r>
    <r>
      <rPr>
        <sz val="11"/>
        <color rgb="FF000000"/>
        <rFont val="Calibri"/>
        <family val="2"/>
        <charset val="1"/>
      </rPr>
      <t>,  podemos observar en el caso del cálculo con delta normal y delta gamma normal, es  similar con a los calculados por medio de SH. La diferencia presentada entre los métodos puede ser explicada por las diferentes ponderaciones y aproximaciones que se les da a cada uno de los factores de riesgo. En el caso de Cornish Fisher, se puede observar una gran diferencia en comparación con los VaRes y CVaRes calculados con los métodos anteriores, lo cual se debe a las distintas formas de cálculo de los indicadores de riesgo de cada método. Finalmente, podemos observar que la diferencia ente el valor en riesgo y el valor en riesgo condicional sea muy chico es porque estamos tomando un nivel de confianza muy alto, lo cual hace que el CVaR sea muy cercano al VaR.</t>
    </r>
  </si>
  <si>
    <t>FUTUROS 
Podemos concluir que se tienen valores relacionados con los de simulación histórica, observando que se sigue cumpliendo lo visto en la teoría de que el CVaR es mayor igual que el VaR en los métodos Delta Normal, Delta Gamma Normal y Delta Gamma Cornish Fisher, y en los Futuros de TDC el factor con más riesgo es el tipo de cambio de spot de la divisa y en el caso de los futuros IPC el factor con más riesgo es el Valor IPC.</t>
  </si>
  <si>
    <t>SWAPS
Los valores obtenidos para los swaps por los métodos de Delta Normal, Delta Gamma Normal y Delta Gamma Cornish Fisher sigue un resultado muy similar a los demás instrumentos. Los riesgos calculados son similares a que aquellos que se obtuvieron por SH.Los riesgos de la tasa cupón son  mayores a los riesgos por la tasa de valor presente usadas para estos instrumentos.El swap largo es más riesgoso bajo estas medidas que el swap corto, pero en general los swaps no suponen pérdidas tan pronunciadas como otros instrumentos debido a que el capital invertido en los swaps no es tan grande como en los demás.</t>
  </si>
  <si>
    <t>OPCIONES
Utilizando los métodos de Delta Normal, Delta Gamma Normal y Delta Gamma Cornish Fisher llegamos a resultados similares a SH. Se cumple que los riesgos del CVaR fueron menores que los del VaR. Notamos que el método Sin alisado se aproxima demasiado a los resultados obtenidos con el Método de Delta Normal.
En todos los casos, los riesgos de la tasa TIIE fueron mayores a los de la tasa Spot. Nuevamente la volatilidad es de 0. Tambíen observamos que la primera opción es más riesgosa que la segunda, conclusión a la que también llegamos con SH..</t>
  </si>
  <si>
    <t xml:space="preserve">ANÁLISIS GENERAL
En el caso de este portafolio, podemos identificar los instrumentos que supusieron mayores pérdidas y aquellos que supusieron las menores pérdidas.
Para el caso de las mayores pérdidas del portafolio, encontramos que los instrumentos de acciones fueron los más riesgosos. Por otro lado, los instrumentos menos riesgosos (dejando de lado aquellos que trabajan con volatilidad, cuyas medidas de riesgo nos resultaron en 0),fueron las divisas. Finalmente, podemos observar que tanto VaRes y CVaRes para todos los métodos resultaron en un mismo valor cada uno. Los valores del VaR y CVaR fueron muy similares para Delta Normal y Delta Gamma porque los ajustes de la segunda derivada fueron mínimos y no tuvieron tanto peso.Es importante realizar este análisis porque identificamos el instrumento más volatil del portafolio. </t>
  </si>
  <si>
    <t>ACCIONES Y DIVISAS 
Con el método  Cholesky podemos observar que los títulos más riesgosos de estos instrumentos financieros fueron las acciones de Grupo Carso, mientras que las acciones menos riesgosas fueron aquellas de América Móvil.
Por otro lado, para las divisas aún con una distribución normal podemos observar que el dólar fue el más riesgoso mientras que las libras fueron las más seguras. Finalmente, para las divisas por una distribución empírica, el dólar se mantiene como el tipo de cambio más riesgoso, mientras que esta vez el euro es el menos riesgoso.
Con los Componentes Principales para acciones y divisas por Componentes Principales se obtuvieron medidas de riesgo más bajas en comparación con Cholesky, posiblemente debido al nivel de tolerancia escogido y las simulaciones por la semilla en particular.  Para las acciones, tanto asumiendo una distribucion normal como usando la distribucion empirica, las más riesgosas resultaron las de Grupo Carso contra las menos riesgosas, que fueron las de América Móvil. Para las divisas, por otro lado, fueron más riesgosos los dólares sobre los euros y las libras, mientras que los euros fueron las divisas menos riesgosas.</t>
  </si>
  <si>
    <t>FUTUROS 
En el caso de los futuros los resultados obtenidos de los VaRes y CVaRes fueron muy similares a los del metodo Delta Gamma y Delta Normal, donde se sigue cumpliendo lo visto en la teoría de que el CVaR es mayor igual que el VaR en los métodos Delta Normal, Delta Gamma Normal y Delta Gamma Cornish Fisher. Los futuros de tipo de cambio, el tipo de cambio de spot de la divisa es el de mayor riesgo y en el caso de los futuros IPC el factor con más riesgo es el Valor IPC.</t>
  </si>
  <si>
    <t xml:space="preserve">SWAPS
Para los swaps, las medidas de riesgo calculadas fueron muy similares. Sin embargo, sí es de interés hacer notar que en general las medidas calculadas bajo Componentes Principales fueron ligeramente menores a aquellas calculadas bajo Cholesky. Así como en los otros métodos, el factor de riesgo con mayor peso en las medidas de todos los swaps fue el de las tasas cupón, mientras que el que menos impactó fue el de la tasa de valor presente.
</t>
  </si>
  <si>
    <t>OPCIONES
Los valores obtenidos fueron muy similares. Los valores calculados bajo Cholesky fueron ligeramente menores. Notamos que para el método Cholesky, la de menor riesgo fue con la Normal y para el caso del método Componentes Principales lo fue la Empírica. El PUT largo fue el de menor riesgo, siendo menor para cada uno de los métodos calculados. En todos los casos, los riesgos a la tasa spot fueron ligeramente mayores a los de la tasa TIIE. Vemos que se sigue cumpliendo con que riesgos del CVaR sean menores que los del VaR.Observamos que obtuvimos con estos métodos los valores más grandes; es decir, el menor riesgo tanto para los VaR y CVaR.</t>
  </si>
  <si>
    <t>ANÁLISIS GENERAL
En el caso de este portafolio, tanto para Cholesky empírico como normal, se puede observar que los instrumentos más riesgosos fueron aquellos relacionados a títulos de acciones, seguido de las divisas y finalmente teniendo los de tasa de interés, siendo los más seguros. Para el caso de Componentes Principales a diferencia de Cholesky, por este método las divisas fueron los instrumentos menos riesgosos, quizá debido a la simulación realizada y a la variación explicada topada por el nivel de tolerancia.</t>
  </si>
  <si>
    <t>BONOS Y CETES 
Para las simulaciones Monte Carlo, utilizando componentes prinicpales, se tiene un valor en riesgo y un valor en riesgo condicional, menor, a los simulados usando el método de Cholesky. Esto se debe a la cantidad de factores de riesgo por ejemplo para los cetes se tiene unicamente un factor de riesgo, por lo cual es comprensible que este se aproxime más a los VaRes y CVaRes calculados en las tareas anteriores. Mientras que, utilizando el método de componentes prinicpales, son varios factores de riesgo, por lo cual es comprensible que se obtenga un menor y menos aproximado VaR y CVaR.
Con los bondes D hay una gran diferencia en comparación con los VaRes y CVaRes calculados en tareas pasadas. Esto se debe a que se trabajan con valores simulados, donde en el caso de Cholesky, se busca transformar dichos valores con cambios correlocionados en los factores de riesgo; mientras que con el método de componentes principales, se reduce el número de valores, lo cual afecta la aproximación del VaR y CVaR.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</si>
</sst>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_-;_-@_-"/>
    <numFmt numFmtId="165" formatCode="_-* #,##0.000000_-;\-* #,##0.000000_-;_-* \-??_-;_-@_-"/>
  </numFmts>
  <fonts count="14" x14ac:knownFonts="1">
    <font>
      <sz val="11"/>
      <color rgb="FF000000"/>
      <name val="Calibri"/>
      <family val="2"/>
      <charset val="1"/>
    </font>
    <font>
      <b/>
      <sz val="11"/>
      <color rgb="FF000000"/>
      <name val="Calibri"/>
      <family val="2"/>
      <charset val="1"/>
    </font>
    <font>
      <sz val="11"/>
      <name val="Courier New"/>
      <family val="3"/>
      <charset val="1"/>
    </font>
    <font>
      <sz val="11"/>
      <name val="Calibri"/>
      <family val="2"/>
      <charset val="1"/>
    </font>
    <font>
      <b/>
      <sz val="11"/>
      <name val="Courier New"/>
      <family val="3"/>
      <charset val="1"/>
    </font>
    <font>
      <b/>
      <sz val="11"/>
      <name val="Calibri"/>
      <family val="2"/>
      <charset val="1"/>
    </font>
    <font>
      <i/>
      <sz val="11"/>
      <color rgb="FF000000"/>
      <name val="Calibri"/>
      <family val="2"/>
      <charset val="1"/>
    </font>
    <font>
      <sz val="11"/>
      <color rgb="FF000000"/>
      <name val="Calibri"/>
      <family val="2"/>
      <charset val="1"/>
    </font>
    <font>
      <sz val="11"/>
      <color rgb="FF000000"/>
      <name val="Arial Narrow"/>
      <family val="2"/>
    </font>
    <font>
      <b/>
      <sz val="11"/>
      <color rgb="FF000000"/>
      <name val="Arial Narrow"/>
      <family val="2"/>
    </font>
    <font>
      <sz val="11"/>
      <name val="Courier New"/>
      <family val="3"/>
    </font>
    <font>
      <b/>
      <sz val="11"/>
      <name val="Courier New"/>
      <family val="3"/>
    </font>
    <font>
      <i/>
      <sz val="11"/>
      <name val="Courier New"/>
      <family val="3"/>
    </font>
    <font>
      <b/>
      <sz val="11"/>
      <color rgb="FF000000"/>
      <name val="Calibri"/>
      <family val="2"/>
    </font>
  </fonts>
  <fills count="8">
    <fill>
      <patternFill patternType="none"/>
    </fill>
    <fill>
      <patternFill patternType="gray125"/>
    </fill>
    <fill>
      <patternFill patternType="solid">
        <fgColor rgb="FFADB9CA"/>
        <bgColor rgb="FF99CCFF"/>
      </patternFill>
    </fill>
    <fill>
      <patternFill patternType="solid">
        <fgColor rgb="FFD6DCE5"/>
        <bgColor rgb="FFCCFFCC"/>
      </patternFill>
    </fill>
    <fill>
      <patternFill patternType="solid">
        <fgColor rgb="FFFFFF00"/>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s>
  <borders count="51">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dashed">
        <color auto="1"/>
      </right>
      <top style="medium">
        <color auto="1"/>
      </top>
      <bottom style="medium">
        <color auto="1"/>
      </bottom>
      <diagonal/>
    </border>
    <border>
      <left style="dashed">
        <color auto="1"/>
      </left>
      <right style="dashed">
        <color auto="1"/>
      </right>
      <top style="medium">
        <color auto="1"/>
      </top>
      <bottom style="medium">
        <color auto="1"/>
      </bottom>
      <diagonal/>
    </border>
    <border>
      <left style="dashed">
        <color auto="1"/>
      </left>
      <right style="medium">
        <color auto="1"/>
      </right>
      <top style="medium">
        <color auto="1"/>
      </top>
      <bottom style="medium">
        <color auto="1"/>
      </bottom>
      <diagonal/>
    </border>
    <border>
      <left style="medium">
        <color auto="1"/>
      </left>
      <right style="medium">
        <color auto="1"/>
      </right>
      <top/>
      <bottom/>
      <diagonal/>
    </border>
    <border>
      <left/>
      <right style="dashed">
        <color auto="1"/>
      </right>
      <top style="medium">
        <color auto="1"/>
      </top>
      <bottom style="medium">
        <color auto="1"/>
      </bottom>
      <diagonal/>
    </border>
    <border>
      <left/>
      <right style="medium">
        <color auto="1"/>
      </right>
      <top/>
      <bottom/>
      <diagonal/>
    </border>
    <border>
      <left style="medium">
        <color auto="1"/>
      </left>
      <right style="dashed">
        <color auto="1"/>
      </right>
      <top style="medium">
        <color auto="1"/>
      </top>
      <bottom/>
      <diagonal/>
    </border>
    <border>
      <left style="dashed">
        <color auto="1"/>
      </left>
      <right style="dashed">
        <color auto="1"/>
      </right>
      <top style="medium">
        <color auto="1"/>
      </top>
      <bottom/>
      <diagonal/>
    </border>
    <border>
      <left/>
      <right style="dashed">
        <color auto="1"/>
      </right>
      <top/>
      <bottom/>
      <diagonal/>
    </border>
    <border>
      <left style="dashed">
        <color auto="1"/>
      </left>
      <right style="dashed">
        <color auto="1"/>
      </right>
      <top/>
      <bottom/>
      <diagonal/>
    </border>
    <border>
      <left style="dashed">
        <color auto="1"/>
      </left>
      <right style="medium">
        <color auto="1"/>
      </right>
      <top/>
      <bottom/>
      <diagonal/>
    </border>
    <border>
      <left style="medium">
        <color auto="1"/>
      </left>
      <right style="dashed">
        <color auto="1"/>
      </right>
      <top/>
      <bottom/>
      <diagonal/>
    </border>
    <border>
      <left style="medium">
        <color auto="1"/>
      </left>
      <right style="medium">
        <color auto="1"/>
      </right>
      <top/>
      <bottom style="thin">
        <color auto="1"/>
      </bottom>
      <diagonal/>
    </border>
    <border>
      <left style="medium">
        <color auto="1"/>
      </left>
      <right style="dashed">
        <color auto="1"/>
      </right>
      <top/>
      <bottom style="thin">
        <color auto="1"/>
      </bottom>
      <diagonal/>
    </border>
    <border>
      <left style="dashed">
        <color auto="1"/>
      </left>
      <right style="dashed">
        <color auto="1"/>
      </right>
      <top/>
      <bottom style="thin">
        <color auto="1"/>
      </bottom>
      <diagonal/>
    </border>
    <border>
      <left/>
      <right style="dashed">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style="dashed">
        <color auto="1"/>
      </right>
      <top style="thin">
        <color auto="1"/>
      </top>
      <bottom style="medium">
        <color auto="1"/>
      </bottom>
      <diagonal/>
    </border>
    <border>
      <left style="dashed">
        <color auto="1"/>
      </left>
      <right style="dashed">
        <color auto="1"/>
      </right>
      <top style="thin">
        <color auto="1"/>
      </top>
      <bottom style="medium">
        <color auto="1"/>
      </bottom>
      <diagonal/>
    </border>
    <border>
      <left/>
      <right style="dashed">
        <color auto="1"/>
      </right>
      <top style="thin">
        <color auto="1"/>
      </top>
      <bottom style="medium">
        <color auto="1"/>
      </bottom>
      <diagonal/>
    </border>
    <border>
      <left style="dashed">
        <color auto="1"/>
      </left>
      <right style="medium">
        <color auto="1"/>
      </right>
      <top style="thin">
        <color auto="1"/>
      </top>
      <bottom style="medium">
        <color auto="1"/>
      </bottom>
      <diagonal/>
    </border>
    <border>
      <left style="medium">
        <color auto="1"/>
      </left>
      <right style="medium">
        <color auto="1"/>
      </right>
      <top/>
      <bottom style="medium">
        <color auto="1"/>
      </bottom>
      <diagonal/>
    </border>
    <border>
      <left style="medium">
        <color auto="1"/>
      </left>
      <right style="dashed">
        <color auto="1"/>
      </right>
      <top/>
      <bottom style="medium">
        <color auto="1"/>
      </bottom>
      <diagonal/>
    </border>
    <border>
      <left style="dashed">
        <color auto="1"/>
      </left>
      <right style="dashed">
        <color auto="1"/>
      </right>
      <top/>
      <bottom style="medium">
        <color auto="1"/>
      </bottom>
      <diagonal/>
    </border>
    <border>
      <left/>
      <right style="dashed">
        <color auto="1"/>
      </right>
      <top/>
      <bottom style="medium">
        <color auto="1"/>
      </bottom>
      <diagonal/>
    </border>
    <border>
      <left style="dashed">
        <color auto="1"/>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dashed">
        <color auto="1"/>
      </right>
      <top style="medium">
        <color auto="1"/>
      </top>
      <bottom style="thin">
        <color auto="1"/>
      </bottom>
      <diagonal/>
    </border>
    <border>
      <left style="dashed">
        <color auto="1"/>
      </left>
      <right style="dashed">
        <color auto="1"/>
      </right>
      <top style="medium">
        <color auto="1"/>
      </top>
      <bottom style="thin">
        <color auto="1"/>
      </bottom>
      <diagonal/>
    </border>
    <border>
      <left style="dashed">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dashed">
        <color auto="1"/>
      </right>
      <top style="thin">
        <color auto="1"/>
      </top>
      <bottom style="thin">
        <color auto="1"/>
      </bottom>
      <diagonal/>
    </border>
    <border>
      <left style="dashed">
        <color auto="1"/>
      </left>
      <right style="dashed">
        <color auto="1"/>
      </right>
      <top style="thin">
        <color auto="1"/>
      </top>
      <bottom style="thin">
        <color auto="1"/>
      </bottom>
      <diagonal/>
    </border>
    <border>
      <left style="dashed">
        <color auto="1"/>
      </left>
      <right style="medium">
        <color auto="1"/>
      </right>
      <top style="thin">
        <color auto="1"/>
      </top>
      <bottom style="thin">
        <color auto="1"/>
      </bottom>
      <diagonal/>
    </border>
    <border>
      <left style="dashed">
        <color auto="1"/>
      </left>
      <right style="dashed">
        <color auto="1"/>
      </right>
      <top style="thin">
        <color auto="1"/>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auto="1"/>
      </left>
      <right style="medium">
        <color auto="1"/>
      </right>
      <top style="thin">
        <color auto="1"/>
      </top>
      <bottom/>
      <diagonal/>
    </border>
    <border>
      <left/>
      <right style="thin">
        <color indexed="64"/>
      </right>
      <top style="thin">
        <color indexed="64"/>
      </top>
      <bottom style="medium">
        <color auto="1"/>
      </bottom>
      <diagonal/>
    </border>
    <border>
      <left/>
      <right/>
      <top style="medium">
        <color auto="1"/>
      </top>
      <bottom/>
      <diagonal/>
    </border>
    <border>
      <left style="dashed">
        <color auto="1"/>
      </left>
      <right style="medium">
        <color indexed="64"/>
      </right>
      <top style="medium">
        <color auto="1"/>
      </top>
      <bottom/>
      <diagonal/>
    </border>
    <border>
      <left style="dashed">
        <color auto="1"/>
      </left>
      <right style="medium">
        <color indexed="64"/>
      </right>
      <top/>
      <bottom style="thin">
        <color auto="1"/>
      </bottom>
      <diagonal/>
    </border>
    <border>
      <left/>
      <right/>
      <top/>
      <bottom style="thin">
        <color indexed="64"/>
      </bottom>
      <diagonal/>
    </border>
  </borders>
  <cellStyleXfs count="2">
    <xf numFmtId="0" fontId="0" fillId="0" borderId="0"/>
    <xf numFmtId="164" fontId="7" fillId="0" borderId="0" applyBorder="0" applyProtection="0"/>
  </cellStyleXfs>
  <cellXfs count="116">
    <xf numFmtId="0" fontId="0" fillId="0" borderId="0" xfId="0"/>
    <xf numFmtId="0" fontId="1" fillId="0" borderId="0" xfId="0" applyFont="1" applyAlignment="1">
      <alignment horizontal="center" vertical="center"/>
    </xf>
    <xf numFmtId="0" fontId="1" fillId="0" borderId="3" xfId="0" applyFont="1" applyBorder="1" applyAlignment="1">
      <alignment horizontal="center" vertical="center" wrapText="1"/>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6" xfId="0" applyFont="1" applyBorder="1" applyAlignment="1">
      <alignment wrapText="1"/>
    </xf>
    <xf numFmtId="0" fontId="1" fillId="0" borderId="7" xfId="0" applyFont="1" applyBorder="1" applyAlignment="1">
      <alignment wrapText="1"/>
    </xf>
    <xf numFmtId="0" fontId="0" fillId="0" borderId="8" xfId="0" applyBorder="1" applyAlignment="1">
      <alignment wrapText="1"/>
    </xf>
    <xf numFmtId="0" fontId="1" fillId="0" borderId="9" xfId="0" applyFont="1" applyBorder="1" applyAlignment="1">
      <alignment horizontal="center" vertical="center" wrapText="1"/>
    </xf>
    <xf numFmtId="0" fontId="0" fillId="0" borderId="0" xfId="0" applyAlignment="1">
      <alignment wrapText="1"/>
    </xf>
    <xf numFmtId="0" fontId="0" fillId="0" borderId="10" xfId="0" applyBorder="1" applyAlignment="1">
      <alignment horizontal="right"/>
    </xf>
    <xf numFmtId="165" fontId="2" fillId="0" borderId="10" xfId="1" applyNumberFormat="1" applyFont="1" applyBorder="1" applyProtection="1"/>
    <xf numFmtId="165" fontId="2" fillId="0" borderId="11" xfId="1" applyNumberFormat="1" applyFont="1" applyBorder="1" applyProtection="1"/>
    <xf numFmtId="165" fontId="2" fillId="0" borderId="12" xfId="1" applyNumberFormat="1" applyFont="1" applyBorder="1" applyProtection="1"/>
    <xf numFmtId="165" fontId="3" fillId="0" borderId="13" xfId="1" applyNumberFormat="1" applyFont="1" applyBorder="1" applyProtection="1"/>
    <xf numFmtId="165" fontId="3" fillId="0" borderId="14" xfId="1" applyNumberFormat="1" applyFont="1" applyBorder="1" applyProtection="1"/>
    <xf numFmtId="165" fontId="3" fillId="0" borderId="15" xfId="1" applyNumberFormat="1" applyFont="1" applyBorder="1" applyProtection="1"/>
    <xf numFmtId="165" fontId="3" fillId="0" borderId="8" xfId="1" applyNumberFormat="1" applyFont="1" applyBorder="1" applyProtection="1"/>
    <xf numFmtId="165" fontId="2" fillId="0" borderId="0" xfId="1" applyNumberFormat="1" applyFont="1" applyBorder="1" applyProtection="1"/>
    <xf numFmtId="165" fontId="2" fillId="0" borderId="16" xfId="1" applyNumberFormat="1" applyFont="1" applyBorder="1" applyProtection="1"/>
    <xf numFmtId="165" fontId="2" fillId="0" borderId="14" xfId="1" applyNumberFormat="1" applyFont="1" applyBorder="1" applyProtection="1"/>
    <xf numFmtId="165" fontId="2" fillId="0" borderId="17" xfId="1" applyNumberFormat="1" applyFont="1" applyBorder="1" applyProtection="1"/>
    <xf numFmtId="165" fontId="2" fillId="0" borderId="18" xfId="1" applyNumberFormat="1" applyFont="1" applyBorder="1" applyProtection="1"/>
    <xf numFmtId="165" fontId="2" fillId="0" borderId="19" xfId="1" applyNumberFormat="1" applyFont="1" applyBorder="1" applyProtection="1"/>
    <xf numFmtId="165" fontId="2" fillId="0" borderId="20" xfId="1" applyNumberFormat="1" applyFont="1" applyBorder="1" applyProtection="1"/>
    <xf numFmtId="0" fontId="1" fillId="2" borderId="10" xfId="0" applyFont="1" applyFill="1" applyBorder="1" applyAlignment="1">
      <alignment horizontal="right"/>
    </xf>
    <xf numFmtId="165" fontId="4" fillId="2" borderId="21" xfId="1" applyNumberFormat="1" applyFont="1" applyFill="1" applyBorder="1" applyProtection="1"/>
    <xf numFmtId="165" fontId="4" fillId="2" borderId="22" xfId="1" applyNumberFormat="1" applyFont="1" applyFill="1" applyBorder="1" applyProtection="1"/>
    <xf numFmtId="165" fontId="4" fillId="2" borderId="23" xfId="1" applyNumberFormat="1" applyFont="1" applyFill="1" applyBorder="1" applyProtection="1"/>
    <xf numFmtId="165" fontId="4" fillId="2" borderId="24" xfId="1" applyNumberFormat="1" applyFont="1" applyFill="1" applyBorder="1" applyProtection="1"/>
    <xf numFmtId="165" fontId="5" fillId="2" borderId="21" xfId="1" applyNumberFormat="1" applyFont="1" applyFill="1" applyBorder="1" applyProtection="1"/>
    <xf numFmtId="165" fontId="3" fillId="0" borderId="10" xfId="1" applyNumberFormat="1" applyFont="1" applyBorder="1" applyProtection="1"/>
    <xf numFmtId="0" fontId="6" fillId="3" borderId="10" xfId="0" applyFont="1" applyFill="1" applyBorder="1" applyAlignment="1">
      <alignment horizontal="right"/>
    </xf>
    <xf numFmtId="165" fontId="2" fillId="3" borderId="17" xfId="1" applyNumberFormat="1" applyFont="1" applyFill="1" applyBorder="1" applyProtection="1"/>
    <xf numFmtId="165" fontId="2" fillId="3" borderId="18" xfId="1" applyNumberFormat="1" applyFont="1" applyFill="1" applyBorder="1" applyProtection="1"/>
    <xf numFmtId="165" fontId="2" fillId="3" borderId="19" xfId="1" applyNumberFormat="1" applyFont="1" applyFill="1" applyBorder="1" applyProtection="1"/>
    <xf numFmtId="165" fontId="2" fillId="3" borderId="20" xfId="1" applyNumberFormat="1" applyFont="1" applyFill="1" applyBorder="1" applyProtection="1"/>
    <xf numFmtId="165" fontId="2" fillId="3" borderId="26" xfId="1" applyNumberFormat="1" applyFont="1" applyFill="1" applyBorder="1" applyProtection="1"/>
    <xf numFmtId="165" fontId="2" fillId="3" borderId="27" xfId="1" applyNumberFormat="1" applyFont="1" applyFill="1" applyBorder="1" applyProtection="1"/>
    <xf numFmtId="165" fontId="2" fillId="3" borderId="28" xfId="1" applyNumberFormat="1" applyFont="1" applyFill="1" applyBorder="1" applyProtection="1"/>
    <xf numFmtId="165" fontId="2" fillId="3" borderId="31" xfId="1" applyNumberFormat="1" applyFont="1" applyFill="1" applyBorder="1" applyProtection="1"/>
    <xf numFmtId="165" fontId="3" fillId="0" borderId="16" xfId="1" applyNumberFormat="1" applyFont="1" applyBorder="1" applyProtection="1"/>
    <xf numFmtId="165" fontId="2" fillId="3" borderId="32" xfId="1" applyNumberFormat="1" applyFont="1" applyFill="1" applyBorder="1" applyProtection="1"/>
    <xf numFmtId="165" fontId="2" fillId="3" borderId="10" xfId="1" applyNumberFormat="1" applyFont="1" applyFill="1" applyBorder="1" applyProtection="1"/>
    <xf numFmtId="165" fontId="2" fillId="3" borderId="16" xfId="1" applyNumberFormat="1" applyFont="1" applyFill="1" applyBorder="1" applyProtection="1"/>
    <xf numFmtId="165" fontId="2" fillId="3" borderId="14" xfId="1" applyNumberFormat="1" applyFont="1" applyFill="1" applyBorder="1" applyProtection="1"/>
    <xf numFmtId="165" fontId="2" fillId="3" borderId="0" xfId="1" applyNumberFormat="1" applyFont="1" applyFill="1" applyBorder="1" applyProtection="1"/>
    <xf numFmtId="0" fontId="0" fillId="3" borderId="10" xfId="0" applyFill="1" applyBorder="1" applyAlignment="1">
      <alignment horizontal="right"/>
    </xf>
    <xf numFmtId="0" fontId="1" fillId="2" borderId="0" xfId="0" applyFont="1" applyFill="1" applyAlignment="1">
      <alignment horizontal="right"/>
    </xf>
    <xf numFmtId="165" fontId="5" fillId="2" borderId="33" xfId="1" applyNumberFormat="1" applyFont="1" applyFill="1" applyBorder="1" applyProtection="1"/>
    <xf numFmtId="165" fontId="4" fillId="2" borderId="27" xfId="1" applyNumberFormat="1" applyFont="1" applyFill="1" applyBorder="1" applyProtection="1"/>
    <xf numFmtId="165" fontId="4" fillId="2" borderId="28" xfId="1" applyNumberFormat="1" applyFont="1" applyFill="1" applyBorder="1" applyProtection="1"/>
    <xf numFmtId="165" fontId="4" fillId="2" borderId="29" xfId="1" applyNumberFormat="1" applyFont="1" applyFill="1" applyBorder="1" applyProtection="1"/>
    <xf numFmtId="0" fontId="0" fillId="0" borderId="0" xfId="0" applyAlignment="1">
      <alignment horizontal="right"/>
    </xf>
    <xf numFmtId="165" fontId="3" fillId="0" borderId="0" xfId="1" applyNumberFormat="1" applyFont="1" applyBorder="1" applyProtection="1"/>
    <xf numFmtId="0" fontId="1" fillId="0" borderId="0" xfId="0" applyFont="1"/>
    <xf numFmtId="165" fontId="3" fillId="0" borderId="31" xfId="1" applyNumberFormat="1" applyFont="1" applyBorder="1" applyProtection="1"/>
    <xf numFmtId="0" fontId="1" fillId="0" borderId="0" xfId="0" applyFont="1" applyAlignment="1">
      <alignment horizontal="right"/>
    </xf>
    <xf numFmtId="165" fontId="2" fillId="0" borderId="34" xfId="1" applyNumberFormat="1" applyFont="1" applyBorder="1" applyProtection="1"/>
    <xf numFmtId="165" fontId="2" fillId="0" borderId="35" xfId="1" applyNumberFormat="1" applyFont="1" applyBorder="1" applyProtection="1"/>
    <xf numFmtId="165" fontId="2" fillId="0" borderId="36" xfId="1" applyNumberFormat="1" applyFont="1" applyBorder="1" applyProtection="1"/>
    <xf numFmtId="165" fontId="2" fillId="0" borderId="38" xfId="1" applyNumberFormat="1" applyFont="1" applyBorder="1" applyProtection="1"/>
    <xf numFmtId="165" fontId="2" fillId="0" borderId="39" xfId="1" applyNumberFormat="1" applyFont="1" applyBorder="1" applyProtection="1"/>
    <xf numFmtId="165" fontId="2" fillId="0" borderId="40" xfId="1" applyNumberFormat="1" applyFont="1" applyBorder="1" applyProtection="1"/>
    <xf numFmtId="165" fontId="2" fillId="0" borderId="1" xfId="1" applyNumberFormat="1" applyFont="1" applyBorder="1" applyProtection="1"/>
    <xf numFmtId="165" fontId="2" fillId="0" borderId="5" xfId="1" applyNumberFormat="1" applyFont="1" applyBorder="1" applyProtection="1"/>
    <xf numFmtId="165" fontId="2" fillId="0" borderId="6" xfId="1" applyNumberFormat="1" applyFont="1" applyBorder="1" applyProtection="1"/>
    <xf numFmtId="164" fontId="0" fillId="0" borderId="0" xfId="0" applyNumberFormat="1"/>
    <xf numFmtId="164" fontId="0" fillId="0" borderId="0" xfId="0" applyNumberFormat="1" applyAlignment="1"/>
    <xf numFmtId="164" fontId="0" fillId="0" borderId="0" xfId="0" applyNumberFormat="1" applyAlignment="1">
      <alignment wrapText="1"/>
    </xf>
    <xf numFmtId="0" fontId="8" fillId="0" borderId="0" xfId="0" applyFont="1" applyAlignment="1">
      <alignment horizontal="center" vertical="center" wrapText="1"/>
    </xf>
    <xf numFmtId="0" fontId="9" fillId="0" borderId="0" xfId="0" applyFont="1" applyAlignment="1">
      <alignment horizontal="center" vertical="center" wrapText="1"/>
    </xf>
    <xf numFmtId="165" fontId="10" fillId="0" borderId="14" xfId="1" applyNumberFormat="1" applyFont="1" applyBorder="1" applyProtection="1"/>
    <xf numFmtId="165" fontId="11" fillId="2" borderId="23" xfId="1" applyNumberFormat="1" applyFont="1" applyFill="1" applyBorder="1" applyProtection="1"/>
    <xf numFmtId="165" fontId="10" fillId="3" borderId="14" xfId="1" applyNumberFormat="1" applyFont="1" applyFill="1" applyBorder="1" applyProtection="1"/>
    <xf numFmtId="165" fontId="10" fillId="0" borderId="13" xfId="1" applyNumberFormat="1" applyFont="1" applyBorder="1" applyProtection="1"/>
    <xf numFmtId="165" fontId="10" fillId="3" borderId="29" xfId="1" applyNumberFormat="1" applyFont="1" applyFill="1" applyBorder="1" applyProtection="1"/>
    <xf numFmtId="165" fontId="12" fillId="3" borderId="14" xfId="1" applyNumberFormat="1" applyFont="1" applyFill="1" applyBorder="1" applyProtection="1"/>
    <xf numFmtId="165" fontId="10" fillId="0" borderId="0" xfId="1" applyNumberFormat="1" applyFont="1" applyBorder="1" applyProtection="1"/>
    <xf numFmtId="165" fontId="10" fillId="0" borderId="36" xfId="1" applyNumberFormat="1" applyFont="1" applyBorder="1" applyProtection="1"/>
    <xf numFmtId="165" fontId="10" fillId="0" borderId="40" xfId="1" applyNumberFormat="1" applyFont="1" applyBorder="1" applyProtection="1"/>
    <xf numFmtId="165" fontId="10" fillId="0" borderId="42" xfId="1" applyNumberFormat="1" applyFont="1" applyBorder="1" applyProtection="1"/>
    <xf numFmtId="165" fontId="10" fillId="0" borderId="6" xfId="1" applyNumberFormat="1" applyFont="1" applyBorder="1" applyProtection="1"/>
    <xf numFmtId="0" fontId="9" fillId="4" borderId="44" xfId="0" applyFont="1" applyFill="1" applyBorder="1" applyAlignment="1">
      <alignment horizontal="center" vertical="center" wrapText="1"/>
    </xf>
    <xf numFmtId="0" fontId="9" fillId="4" borderId="46" xfId="0" applyFont="1" applyFill="1" applyBorder="1" applyAlignment="1">
      <alignment horizontal="center" vertical="center" wrapText="1"/>
    </xf>
    <xf numFmtId="165" fontId="2" fillId="0" borderId="48" xfId="1" applyNumberFormat="1" applyFont="1" applyBorder="1" applyProtection="1"/>
    <xf numFmtId="165" fontId="2" fillId="0" borderId="15" xfId="1" applyNumberFormat="1" applyFont="1" applyBorder="1" applyProtection="1"/>
    <xf numFmtId="165" fontId="2" fillId="0" borderId="49" xfId="1" applyNumberFormat="1" applyFont="1" applyBorder="1" applyProtection="1"/>
    <xf numFmtId="165" fontId="4" fillId="2" borderId="25" xfId="1" applyNumberFormat="1" applyFont="1" applyFill="1" applyBorder="1" applyProtection="1"/>
    <xf numFmtId="165" fontId="2" fillId="3" borderId="49" xfId="1" applyNumberFormat="1" applyFont="1" applyFill="1" applyBorder="1" applyProtection="1"/>
    <xf numFmtId="165" fontId="2" fillId="3" borderId="30" xfId="1" applyNumberFormat="1" applyFont="1" applyFill="1" applyBorder="1" applyProtection="1"/>
    <xf numFmtId="165" fontId="2" fillId="3" borderId="33" xfId="1" applyNumberFormat="1" applyFont="1" applyFill="1" applyBorder="1" applyProtection="1"/>
    <xf numFmtId="165" fontId="2" fillId="3" borderId="15" xfId="1" applyNumberFormat="1" applyFont="1" applyFill="1" applyBorder="1" applyProtection="1"/>
    <xf numFmtId="165" fontId="4" fillId="2" borderId="30" xfId="1" applyNumberFormat="1" applyFont="1" applyFill="1" applyBorder="1" applyProtection="1"/>
    <xf numFmtId="165" fontId="2" fillId="0" borderId="37" xfId="1" applyNumberFormat="1" applyFont="1" applyBorder="1" applyProtection="1"/>
    <xf numFmtId="165" fontId="2" fillId="0" borderId="41" xfId="1" applyNumberFormat="1" applyFont="1" applyBorder="1" applyProtection="1"/>
    <xf numFmtId="165" fontId="2" fillId="0" borderId="7" xfId="1" applyNumberFormat="1" applyFont="1" applyBorder="1" applyProtection="1"/>
    <xf numFmtId="0" fontId="8" fillId="7" borderId="0" xfId="0" applyFont="1" applyFill="1" applyBorder="1" applyAlignment="1">
      <alignment horizontal="center" vertical="center" wrapText="1"/>
    </xf>
    <xf numFmtId="0" fontId="0" fillId="0" borderId="34" xfId="0" applyBorder="1" applyAlignment="1">
      <alignment horizontal="center" vertical="center" wrapText="1"/>
    </xf>
    <xf numFmtId="0" fontId="0" fillId="0" borderId="38" xfId="0" applyBorder="1" applyAlignment="1">
      <alignment horizontal="center" vertical="center"/>
    </xf>
    <xf numFmtId="0" fontId="0" fillId="0" borderId="21" xfId="0" applyBorder="1" applyAlignment="1">
      <alignment horizontal="center" vertical="center"/>
    </xf>
    <xf numFmtId="0" fontId="0" fillId="0" borderId="45" xfId="0" applyBorder="1" applyAlignment="1">
      <alignment horizontal="center" vertical="center"/>
    </xf>
    <xf numFmtId="0" fontId="0" fillId="0" borderId="43" xfId="0" applyBorder="1" applyAlignment="1">
      <alignment horizontal="center" vertical="center" wrapText="1"/>
    </xf>
    <xf numFmtId="0" fontId="0" fillId="0" borderId="8" xfId="0" applyBorder="1" applyAlignment="1">
      <alignment horizontal="center" vertical="center" wrapText="1"/>
    </xf>
    <xf numFmtId="0" fontId="0" fillId="0" borderId="26" xfId="0" applyBorder="1" applyAlignment="1">
      <alignment horizontal="center" vertical="center" wrapText="1"/>
    </xf>
    <xf numFmtId="0" fontId="8" fillId="5" borderId="0" xfId="0" applyFont="1" applyFill="1" applyBorder="1" applyAlignment="1">
      <alignment horizontal="center" vertical="center" wrapText="1"/>
    </xf>
    <xf numFmtId="0" fontId="8" fillId="6" borderId="0" xfId="0" applyFont="1" applyFill="1" applyAlignment="1">
      <alignment horizontal="center" vertical="center" wrapText="1"/>
    </xf>
    <xf numFmtId="0" fontId="8" fillId="0" borderId="47" xfId="0" applyFont="1" applyBorder="1" applyAlignment="1">
      <alignment horizontal="center" vertical="center" wrapText="1"/>
    </xf>
    <xf numFmtId="0" fontId="8" fillId="0" borderId="0" xfId="0" applyFont="1" applyBorder="1" applyAlignment="1">
      <alignment horizontal="center" vertical="center" wrapText="1"/>
    </xf>
    <xf numFmtId="0" fontId="8" fillId="0" borderId="50" xfId="0" applyFont="1" applyBorder="1" applyAlignment="1">
      <alignment horizontal="center" vertical="center" wrapText="1"/>
    </xf>
    <xf numFmtId="0" fontId="1" fillId="0" borderId="1" xfId="0" applyFont="1" applyBorder="1" applyAlignment="1">
      <alignment horizont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cellXfs>
  <cellStyles count="2">
    <cellStyle name="Millares" xfId="1" builtinId="3"/>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DB9CA"/>
      <rgbColor rgb="FF808080"/>
      <rgbColor rgb="FF9999FF"/>
      <rgbColor rgb="FF993366"/>
      <rgbColor rgb="FFFFFFCC"/>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2"/>
  <sheetViews>
    <sheetView tabSelected="1" zoomScale="85" zoomScaleNormal="85" workbookViewId="0">
      <pane xSplit="3" ySplit="3" topLeftCell="D4" activePane="bottomRight" state="frozen"/>
      <selection pane="topRight" activeCell="D1" sqref="D1"/>
      <selection pane="bottomLeft" activeCell="A4" sqref="A4"/>
      <selection pane="bottomRight"/>
    </sheetView>
  </sheetViews>
  <sheetFormatPr baseColWidth="10" defaultColWidth="9.140625" defaultRowHeight="16.5" x14ac:dyDescent="0.25"/>
  <cols>
    <col min="1" max="1" width="12.85546875" customWidth="1"/>
    <col min="2" max="2" width="14.140625" customWidth="1"/>
    <col min="3" max="3" width="21.42578125" customWidth="1"/>
    <col min="4" max="6" width="22.140625" customWidth="1"/>
    <col min="7" max="9" width="21" bestFit="1" customWidth="1"/>
    <col min="10" max="10" width="20.7109375" bestFit="1" customWidth="1"/>
    <col min="11" max="11" width="22.140625" bestFit="1" customWidth="1"/>
    <col min="12" max="13" width="20.7109375" bestFit="1" customWidth="1"/>
    <col min="14" max="14" width="2.85546875" customWidth="1"/>
    <col min="15" max="15" width="22.140625" customWidth="1"/>
    <col min="16" max="16" width="22.42578125" bestFit="1" customWidth="1"/>
    <col min="17" max="19" width="21" bestFit="1" customWidth="1"/>
    <col min="20" max="20" width="22.140625" customWidth="1"/>
    <col min="21" max="21" width="22.140625" bestFit="1" customWidth="1"/>
    <col min="22" max="23" width="20.7109375" bestFit="1" customWidth="1"/>
    <col min="24" max="24" width="115.5703125" style="71" customWidth="1"/>
    <col min="25" max="25" width="212" customWidth="1"/>
    <col min="26" max="26" width="193.42578125" customWidth="1"/>
  </cols>
  <sheetData>
    <row r="1" spans="1:26" ht="17.25" thickBot="1" x14ac:dyDescent="0.3">
      <c r="E1" s="111" t="s">
        <v>0</v>
      </c>
      <c r="F1" s="111"/>
      <c r="G1" s="111"/>
      <c r="H1" s="111"/>
      <c r="I1" s="111"/>
      <c r="J1" s="111"/>
      <c r="K1" s="111"/>
      <c r="L1" s="111"/>
      <c r="M1" s="111"/>
      <c r="O1" s="111" t="s">
        <v>1</v>
      </c>
      <c r="P1" s="111"/>
      <c r="Q1" s="111"/>
      <c r="R1" s="111"/>
      <c r="S1" s="111"/>
      <c r="T1" s="111"/>
      <c r="U1" s="111"/>
      <c r="V1" s="111"/>
      <c r="W1" s="111"/>
    </row>
    <row r="2" spans="1:26" s="1" customFormat="1" ht="42.6" customHeight="1" thickBot="1" x14ac:dyDescent="0.3">
      <c r="D2" s="114" t="s">
        <v>2</v>
      </c>
      <c r="E2" s="115" t="s">
        <v>3</v>
      </c>
      <c r="F2" s="115"/>
      <c r="G2" s="2" t="s">
        <v>4</v>
      </c>
      <c r="H2" s="112" t="s">
        <v>5</v>
      </c>
      <c r="I2" s="112"/>
      <c r="J2" s="113" t="s">
        <v>6</v>
      </c>
      <c r="K2" s="113"/>
      <c r="L2" s="113"/>
      <c r="M2" s="113"/>
      <c r="O2" s="115" t="s">
        <v>3</v>
      </c>
      <c r="P2" s="115"/>
      <c r="Q2" s="2" t="s">
        <v>4</v>
      </c>
      <c r="R2" s="112" t="s">
        <v>5</v>
      </c>
      <c r="S2" s="112"/>
      <c r="T2" s="113" t="s">
        <v>6</v>
      </c>
      <c r="U2" s="113"/>
      <c r="V2" s="113"/>
      <c r="W2" s="113"/>
      <c r="X2" s="72"/>
      <c r="Y2" s="72"/>
      <c r="Z2" s="72"/>
    </row>
    <row r="3" spans="1:26" s="10" customFormat="1" ht="30.75" thickBot="1" x14ac:dyDescent="0.3">
      <c r="A3" s="3" t="s">
        <v>7</v>
      </c>
      <c r="B3" s="3" t="s">
        <v>8</v>
      </c>
      <c r="C3" s="3" t="s">
        <v>9</v>
      </c>
      <c r="D3" s="114"/>
      <c r="E3" s="4" t="s">
        <v>10</v>
      </c>
      <c r="F3" s="5" t="s">
        <v>11</v>
      </c>
      <c r="G3" s="6" t="s">
        <v>4</v>
      </c>
      <c r="H3" s="6" t="s">
        <v>5</v>
      </c>
      <c r="I3" s="6" t="s">
        <v>12</v>
      </c>
      <c r="J3" s="6" t="s">
        <v>13</v>
      </c>
      <c r="K3" s="6" t="s">
        <v>14</v>
      </c>
      <c r="L3" s="6" t="s">
        <v>15</v>
      </c>
      <c r="M3" s="7" t="s">
        <v>16</v>
      </c>
      <c r="N3" s="8"/>
      <c r="O3" s="9" t="s">
        <v>10</v>
      </c>
      <c r="P3" s="5" t="s">
        <v>11</v>
      </c>
      <c r="Q3" s="6" t="s">
        <v>4</v>
      </c>
      <c r="R3" s="6" t="s">
        <v>5</v>
      </c>
      <c r="S3" s="6" t="s">
        <v>12</v>
      </c>
      <c r="T3" s="6" t="s">
        <v>13</v>
      </c>
      <c r="U3" s="6" t="s">
        <v>14</v>
      </c>
      <c r="V3" s="6" t="s">
        <v>15</v>
      </c>
      <c r="W3" s="7" t="s">
        <v>16</v>
      </c>
      <c r="X3" s="85" t="s">
        <v>17</v>
      </c>
      <c r="Y3" s="84" t="s">
        <v>74</v>
      </c>
      <c r="Z3" s="84" t="s">
        <v>74</v>
      </c>
    </row>
    <row r="4" spans="1:26" ht="15" x14ac:dyDescent="0.25">
      <c r="A4" t="s">
        <v>18</v>
      </c>
      <c r="B4" t="s">
        <v>19</v>
      </c>
      <c r="C4" s="11" t="s">
        <v>19</v>
      </c>
      <c r="D4" s="12">
        <v>73529.998999999996</v>
      </c>
      <c r="E4" s="13">
        <v>-2955.1889999999999</v>
      </c>
      <c r="F4" s="14">
        <v>-2955.1889999999999</v>
      </c>
      <c r="G4" s="73">
        <v>-3468.902</v>
      </c>
      <c r="H4" s="14">
        <v>-3468.902</v>
      </c>
      <c r="I4" s="14">
        <v>-3468.902</v>
      </c>
      <c r="J4" s="14">
        <v>-3366.3620000000001</v>
      </c>
      <c r="K4" s="14">
        <f>-2989.876</f>
        <v>-2989.8760000000002</v>
      </c>
      <c r="L4" s="14">
        <f>-3155.05141</f>
        <v>-3155.05141</v>
      </c>
      <c r="M4" s="14">
        <f>-2729.95597</f>
        <v>-2729.95597</v>
      </c>
      <c r="N4" s="18"/>
      <c r="O4" s="13">
        <v>-3435.1309999999999</v>
      </c>
      <c r="P4" s="19">
        <v>-3644.4589999999998</v>
      </c>
      <c r="Q4" s="73">
        <v>-4089.0529999999999</v>
      </c>
      <c r="R4" s="14">
        <v>-4089.0529999999999</v>
      </c>
      <c r="S4" s="14">
        <v>-4089.0529999999999</v>
      </c>
      <c r="T4" s="14">
        <v>-4079.328</v>
      </c>
      <c r="U4" s="14">
        <v>-3404.5018</v>
      </c>
      <c r="V4" s="14">
        <v>-3664.40724</v>
      </c>
      <c r="W4" s="86">
        <v>-3233.7879800000001</v>
      </c>
      <c r="X4" s="108" t="s">
        <v>63</v>
      </c>
      <c r="Y4" s="99" t="s">
        <v>75</v>
      </c>
      <c r="Z4" s="99" t="s">
        <v>81</v>
      </c>
    </row>
    <row r="5" spans="1:26" ht="15" x14ac:dyDescent="0.25">
      <c r="A5" t="s">
        <v>18</v>
      </c>
      <c r="B5" t="s">
        <v>20</v>
      </c>
      <c r="C5" s="11" t="s">
        <v>20</v>
      </c>
      <c r="D5" s="12">
        <v>-103750</v>
      </c>
      <c r="E5" s="20">
        <v>-2940.2829999999999</v>
      </c>
      <c r="F5" s="21">
        <v>-3426.2179999999998</v>
      </c>
      <c r="G5" s="73">
        <v>-2864.3470000000002</v>
      </c>
      <c r="H5" s="21">
        <v>-2864.3470000000002</v>
      </c>
      <c r="I5" s="21">
        <v>2864.3470000000002</v>
      </c>
      <c r="J5" s="21">
        <v>-3003.183</v>
      </c>
      <c r="K5" s="21">
        <f>-3020.4737</f>
        <v>-3020.4737</v>
      </c>
      <c r="L5" s="21">
        <f>-1101.78346</f>
        <v>-1101.7834600000001</v>
      </c>
      <c r="M5" s="21">
        <f>-1142.58417</f>
        <v>-1142.5841700000001</v>
      </c>
      <c r="N5" s="18"/>
      <c r="O5" s="20">
        <v>-4142.2879999999996</v>
      </c>
      <c r="P5" s="19">
        <v>-3953.37</v>
      </c>
      <c r="Q5" s="73">
        <v>-3376.4189999999999</v>
      </c>
      <c r="R5" s="21">
        <v>-3376.4189999999999</v>
      </c>
      <c r="S5" s="21">
        <v>-3376.4189999999999</v>
      </c>
      <c r="T5" s="21">
        <v>-3563.6439999999998</v>
      </c>
      <c r="U5" s="21">
        <v>-3947.0792000000001</v>
      </c>
      <c r="V5" s="21">
        <v>-1303.5485000000001</v>
      </c>
      <c r="W5" s="87">
        <v>-1360.3166799999999</v>
      </c>
      <c r="X5" s="109"/>
      <c r="Y5" s="100"/>
      <c r="Z5" s="100"/>
    </row>
    <row r="6" spans="1:26" ht="15" x14ac:dyDescent="0.25">
      <c r="A6" t="s">
        <v>18</v>
      </c>
      <c r="B6" t="s">
        <v>21</v>
      </c>
      <c r="C6" s="11" t="s">
        <v>21</v>
      </c>
      <c r="D6" s="22">
        <v>96407.994999999995</v>
      </c>
      <c r="E6" s="23">
        <v>-2616.7689999999998</v>
      </c>
      <c r="F6" s="24">
        <v>-3115.9209999999998</v>
      </c>
      <c r="G6" s="73">
        <v>-2978.942</v>
      </c>
      <c r="H6" s="24">
        <v>-2978.942</v>
      </c>
      <c r="I6" s="24">
        <v>-2978.942</v>
      </c>
      <c r="J6" s="24">
        <v>-2922.8020000000001</v>
      </c>
      <c r="K6" s="24">
        <f>-3064.2299</f>
        <v>-3064.2298999999998</v>
      </c>
      <c r="L6" s="24">
        <f>-952.86863</f>
        <v>-952.86863000000005</v>
      </c>
      <c r="M6" s="24">
        <f>-813.59861</f>
        <v>-813.59861000000001</v>
      </c>
      <c r="N6" s="18"/>
      <c r="O6" s="23">
        <v>-3111.1950000000002</v>
      </c>
      <c r="P6" s="25">
        <v>-3342.5279999999998</v>
      </c>
      <c r="Q6" s="73">
        <v>-3511.5010000000002</v>
      </c>
      <c r="R6" s="24">
        <v>-3511.5010000000002</v>
      </c>
      <c r="S6" s="24">
        <v>-3511.5010000000002</v>
      </c>
      <c r="T6" s="24">
        <v>-3439.614</v>
      </c>
      <c r="U6" s="24">
        <v>-3222.2184000000002</v>
      </c>
      <c r="V6" s="24">
        <v>-1116.15382</v>
      </c>
      <c r="W6" s="88">
        <v>-958.80931999999996</v>
      </c>
      <c r="X6" s="109"/>
      <c r="Y6" s="100"/>
      <c r="Z6" s="100"/>
    </row>
    <row r="7" spans="1:26" ht="32.1" customHeight="1" thickBot="1" x14ac:dyDescent="0.35">
      <c r="C7" s="26" t="s">
        <v>22</v>
      </c>
      <c r="D7" s="27">
        <v>66187.994000000006</v>
      </c>
      <c r="E7" s="28">
        <v>-4559.1989999999996</v>
      </c>
      <c r="F7" s="29">
        <v>-4888.826</v>
      </c>
      <c r="G7" s="74">
        <v>-4824.4160000000002</v>
      </c>
      <c r="H7" s="29">
        <v>-4824.4160000000002</v>
      </c>
      <c r="I7" s="29">
        <v>-4824.4160000000002</v>
      </c>
      <c r="J7" s="29">
        <v>-5424.9709999999995</v>
      </c>
      <c r="K7" s="29">
        <f>-5380.8196</f>
        <v>-5380.8195999999998</v>
      </c>
      <c r="L7" s="29">
        <f>-2983.65735</f>
        <v>-2983.65735</v>
      </c>
      <c r="M7" s="29">
        <f>-2620.14482</f>
        <v>-2620.14482</v>
      </c>
      <c r="N7" s="18"/>
      <c r="O7" s="28">
        <v>-5309.6329999999998</v>
      </c>
      <c r="P7" s="30">
        <v>-6001.6090000000004</v>
      </c>
      <c r="Q7" s="74">
        <v>-5686.8990000000003</v>
      </c>
      <c r="R7" s="29">
        <v>-5686.8990000000003</v>
      </c>
      <c r="S7" s="29">
        <v>-5686.8990000000003</v>
      </c>
      <c r="T7" s="29">
        <v>-6333.7960000000003</v>
      </c>
      <c r="U7" s="29">
        <v>-6261.5748999999996</v>
      </c>
      <c r="V7" s="29">
        <v>-3502.2087799999999</v>
      </c>
      <c r="W7" s="89">
        <v>-3122.03892</v>
      </c>
      <c r="X7" s="109"/>
      <c r="Y7" s="100"/>
      <c r="Z7" s="100"/>
    </row>
    <row r="8" spans="1:26" ht="15" x14ac:dyDescent="0.25">
      <c r="A8" t="s">
        <v>23</v>
      </c>
      <c r="B8" t="s">
        <v>24</v>
      </c>
      <c r="C8" s="11" t="s">
        <v>24</v>
      </c>
      <c r="D8" s="12">
        <v>29948.398499999999</v>
      </c>
      <c r="E8" s="20">
        <v>-317.27780000000001</v>
      </c>
      <c r="F8" s="21">
        <v>-358.28030000000001</v>
      </c>
      <c r="G8" s="73">
        <v>-357.35840000000002</v>
      </c>
      <c r="H8" s="21">
        <v>-357.35840000000002</v>
      </c>
      <c r="I8" s="21">
        <v>-357.35840000000002</v>
      </c>
      <c r="J8" s="21">
        <v>-367.51639999999998</v>
      </c>
      <c r="K8" s="21">
        <f>-341.7713</f>
        <v>-341.7713</v>
      </c>
      <c r="L8" s="21">
        <f>-66.88027</f>
        <v>-66.880269999999996</v>
      </c>
      <c r="M8" s="21">
        <f>-65.59278</f>
        <v>-65.592780000000005</v>
      </c>
      <c r="N8" s="18"/>
      <c r="O8" s="20">
        <v>-442.89010000000002</v>
      </c>
      <c r="P8" s="19">
        <v>-586.39760000000001</v>
      </c>
      <c r="Q8" s="73">
        <v>-421.24489999999997</v>
      </c>
      <c r="R8" s="21">
        <v>-421.24489999999997</v>
      </c>
      <c r="S8" s="21">
        <v>-421.24489999999997</v>
      </c>
      <c r="T8" s="21">
        <v>-437.80590000000001</v>
      </c>
      <c r="U8" s="21">
        <v>-424.33139999999997</v>
      </c>
      <c r="V8" s="21">
        <v>-78.650859999999994</v>
      </c>
      <c r="W8" s="87">
        <v>-78.972189999999998</v>
      </c>
      <c r="X8" s="108" t="s">
        <v>64</v>
      </c>
      <c r="Y8" s="100"/>
      <c r="Z8" s="100"/>
    </row>
    <row r="9" spans="1:26" ht="15" x14ac:dyDescent="0.25">
      <c r="A9" t="s">
        <v>23</v>
      </c>
      <c r="B9" t="s">
        <v>25</v>
      </c>
      <c r="C9" s="11" t="s">
        <v>25</v>
      </c>
      <c r="D9" s="12">
        <v>15501.418799999999</v>
      </c>
      <c r="E9" s="20">
        <v>-149.00829999999999</v>
      </c>
      <c r="F9" s="21">
        <v>-156.64250000000001</v>
      </c>
      <c r="G9" s="73">
        <v>-157.18629999999999</v>
      </c>
      <c r="H9" s="21">
        <v>-157.18629999999999</v>
      </c>
      <c r="I9" s="21">
        <v>-157.18629999999999</v>
      </c>
      <c r="J9" s="21">
        <v>-156.5583</v>
      </c>
      <c r="K9" s="21">
        <f>-148.4206</f>
        <v>-148.42060000000001</v>
      </c>
      <c r="L9" s="21">
        <f>-22.60264</f>
        <v>-22.602640000000001</v>
      </c>
      <c r="M9" s="21">
        <f>-20.60366</f>
        <v>-20.603660000000001</v>
      </c>
      <c r="N9" s="18"/>
      <c r="O9" s="20">
        <v>-189.9811</v>
      </c>
      <c r="P9" s="19">
        <v>-215.40049999999999</v>
      </c>
      <c r="Q9" s="73">
        <v>-185.28720000000001</v>
      </c>
      <c r="R9" s="21">
        <v>-185.28720000000001</v>
      </c>
      <c r="S9" s="21">
        <v>-185.28720000000001</v>
      </c>
      <c r="T9" s="21">
        <v>-184.72290000000001</v>
      </c>
      <c r="U9" s="21">
        <v>-176.87520000000001</v>
      </c>
      <c r="V9" s="21">
        <v>-26.841000000000001</v>
      </c>
      <c r="W9" s="87">
        <v>-27.05864</v>
      </c>
      <c r="X9" s="109"/>
      <c r="Y9" s="100"/>
      <c r="Z9" s="100"/>
    </row>
    <row r="10" spans="1:26" ht="15" x14ac:dyDescent="0.25">
      <c r="A10" t="s">
        <v>23</v>
      </c>
      <c r="B10" t="s">
        <v>26</v>
      </c>
      <c r="C10" s="11" t="s">
        <v>26</v>
      </c>
      <c r="D10" s="22">
        <v>-15685.533600000001</v>
      </c>
      <c r="E10" s="23">
        <v>-160.1994</v>
      </c>
      <c r="F10" s="24">
        <v>-134.63550000000001</v>
      </c>
      <c r="G10" s="73">
        <v>-159.90170000000001</v>
      </c>
      <c r="H10" s="24">
        <v>-159.90170000000001</v>
      </c>
      <c r="I10" s="24">
        <v>-159.90170000000001</v>
      </c>
      <c r="J10" s="24">
        <v>-156.27940000000001</v>
      </c>
      <c r="K10" s="24">
        <f>-151.1954</f>
        <v>-151.19540000000001</v>
      </c>
      <c r="L10" s="24">
        <f>-22.05066</f>
        <v>-22.050660000000001</v>
      </c>
      <c r="M10" s="24">
        <f>-21.6463</f>
        <v>-21.6463</v>
      </c>
      <c r="N10" s="18"/>
      <c r="O10" s="23">
        <v>-179.94329999999999</v>
      </c>
      <c r="P10" s="25">
        <v>-162.70230000000001</v>
      </c>
      <c r="Q10" s="73">
        <v>-188.488</v>
      </c>
      <c r="R10" s="24">
        <v>-188.488</v>
      </c>
      <c r="S10" s="24">
        <v>-188.488</v>
      </c>
      <c r="T10" s="24">
        <v>-185.0855</v>
      </c>
      <c r="U10" s="24">
        <v>-174.5855</v>
      </c>
      <c r="V10" s="24">
        <v>-25.65005</v>
      </c>
      <c r="W10" s="88">
        <v>-27.314419999999998</v>
      </c>
      <c r="X10" s="109"/>
      <c r="Y10" s="100"/>
      <c r="Z10" s="100"/>
    </row>
    <row r="11" spans="1:26" ht="31.35" customHeight="1" thickBot="1" x14ac:dyDescent="0.35">
      <c r="C11" s="26" t="s">
        <v>22</v>
      </c>
      <c r="D11" s="31">
        <v>29764.2837</v>
      </c>
      <c r="E11" s="28">
        <v>-357.8263</v>
      </c>
      <c r="F11" s="29">
        <v>-380.36110000000002</v>
      </c>
      <c r="G11" s="74">
        <v>-376.8845</v>
      </c>
      <c r="H11" s="29">
        <v>-376.8845</v>
      </c>
      <c r="I11" s="29">
        <v>-376.8845</v>
      </c>
      <c r="J11" s="29">
        <v>-439.12099999999998</v>
      </c>
      <c r="K11" s="29">
        <f>-420.9504</f>
        <v>-420.9504</v>
      </c>
      <c r="L11" s="29">
        <f>-70.19241</f>
        <v>-70.192409999999995</v>
      </c>
      <c r="M11" s="29">
        <f>-68.52375</f>
        <v>-68.523750000000007</v>
      </c>
      <c r="N11" s="18"/>
      <c r="O11" s="28">
        <v>-423.17599999999999</v>
      </c>
      <c r="P11" s="30">
        <v>-476.78500000000003</v>
      </c>
      <c r="Q11" s="74">
        <v>-444.26190000000003</v>
      </c>
      <c r="R11" s="29">
        <v>-444.26190000000003</v>
      </c>
      <c r="S11" s="29">
        <v>-444.26190000000003</v>
      </c>
      <c r="T11" s="29">
        <v>-525.8931</v>
      </c>
      <c r="U11" s="29">
        <v>-509.27440000000001</v>
      </c>
      <c r="V11" s="29">
        <v>-82.467879999999994</v>
      </c>
      <c r="W11" s="89">
        <v>-82.416510000000002</v>
      </c>
      <c r="X11" s="109"/>
      <c r="Y11" s="101"/>
      <c r="Z11" s="101"/>
    </row>
    <row r="12" spans="1:26" ht="14.45" customHeight="1" x14ac:dyDescent="0.25">
      <c r="A12" t="s">
        <v>27</v>
      </c>
      <c r="B12" t="s">
        <v>28</v>
      </c>
      <c r="C12" s="11" t="s">
        <v>29</v>
      </c>
      <c r="D12" s="12">
        <v>1442.6869999999999</v>
      </c>
      <c r="E12" s="20">
        <v>-0.98587420000000003</v>
      </c>
      <c r="F12" s="21">
        <v>-0.63187179999999998</v>
      </c>
      <c r="G12" s="73">
        <v>-10.189719999999999</v>
      </c>
      <c r="H12" s="21">
        <v>-10.189719999999999</v>
      </c>
      <c r="I12" s="21">
        <v>-63.710160000000002</v>
      </c>
      <c r="J12" s="21"/>
      <c r="K12" s="21"/>
      <c r="L12" s="21"/>
      <c r="M12" s="21"/>
      <c r="N12" s="18"/>
      <c r="O12" s="20">
        <v>-1.394495</v>
      </c>
      <c r="P12" s="19">
        <v>-1.054235</v>
      </c>
      <c r="Q12" s="73">
        <v>-11.463900000000001</v>
      </c>
      <c r="R12" s="21">
        <v>-11.463900000000001</v>
      </c>
      <c r="S12" s="21">
        <v>-63.90746</v>
      </c>
      <c r="T12" s="21"/>
      <c r="U12" s="21"/>
      <c r="V12" s="21"/>
      <c r="W12" s="86"/>
      <c r="X12" s="108" t="s">
        <v>65</v>
      </c>
      <c r="Y12" s="99" t="s">
        <v>76</v>
      </c>
      <c r="Z12" s="99" t="s">
        <v>86</v>
      </c>
    </row>
    <row r="13" spans="1:26" ht="15" x14ac:dyDescent="0.25">
      <c r="A13" t="s">
        <v>27</v>
      </c>
      <c r="B13" t="s">
        <v>30</v>
      </c>
      <c r="C13" s="11">
        <v>1</v>
      </c>
      <c r="D13" s="12">
        <v>987.779</v>
      </c>
      <c r="E13" s="20">
        <v>-18.994309999999999</v>
      </c>
      <c r="F13" s="21">
        <v>-23.818619999999999</v>
      </c>
      <c r="G13" s="73"/>
      <c r="H13" s="21"/>
      <c r="I13" s="21"/>
      <c r="J13" s="21"/>
      <c r="K13" s="21"/>
      <c r="L13" s="21"/>
      <c r="M13" s="21"/>
      <c r="N13" s="18"/>
      <c r="O13" s="20">
        <v>-23.483370000000001</v>
      </c>
      <c r="P13" s="19">
        <v>-39.40616</v>
      </c>
      <c r="Q13" s="73"/>
      <c r="R13" s="21"/>
      <c r="S13" s="21"/>
      <c r="T13" s="21"/>
      <c r="U13" s="21"/>
      <c r="V13" s="21"/>
      <c r="W13" s="87"/>
      <c r="X13" s="109"/>
      <c r="Y13" s="100"/>
      <c r="Z13" s="100"/>
    </row>
    <row r="14" spans="1:26" ht="15" x14ac:dyDescent="0.25">
      <c r="A14" t="s">
        <v>27</v>
      </c>
      <c r="B14" t="s">
        <v>31</v>
      </c>
      <c r="C14" s="11" t="s">
        <v>32</v>
      </c>
      <c r="D14" s="32"/>
      <c r="E14" s="20">
        <v>-5.2154309999999997</v>
      </c>
      <c r="F14" s="21">
        <v>-9.3915459999999999</v>
      </c>
      <c r="G14" s="73">
        <v>-392.82839999999999</v>
      </c>
      <c r="H14" s="21">
        <v>-352.18950000000001</v>
      </c>
      <c r="I14" s="21">
        <v>-352.18950000000001</v>
      </c>
      <c r="J14" s="21">
        <v>-3.249485</v>
      </c>
      <c r="K14" s="21">
        <f>-5.4632319</f>
        <v>-5.4632319000000003</v>
      </c>
      <c r="L14" s="21">
        <f>-2.8912244</f>
        <v>-2.8912244</v>
      </c>
      <c r="M14" s="21">
        <f>-5.1628865</f>
        <v>-5.1628864999999999</v>
      </c>
      <c r="N14" s="18"/>
      <c r="O14" s="20">
        <v>-8.2773459999999996</v>
      </c>
      <c r="P14" s="19">
        <v>-10.218519000000001</v>
      </c>
      <c r="Q14" s="73">
        <v>-463.05610000000001</v>
      </c>
      <c r="R14" s="21">
        <v>-415.15199999999999</v>
      </c>
      <c r="S14" s="21">
        <v>-415.15199999999999</v>
      </c>
      <c r="T14" s="21">
        <v>-3.9573429999999998</v>
      </c>
      <c r="U14" s="21">
        <v>-7.9268704000000003</v>
      </c>
      <c r="V14" s="21">
        <v>-3.5101721000000001</v>
      </c>
      <c r="W14" s="87">
        <v>-7.9982695000000001</v>
      </c>
      <c r="X14" s="109"/>
      <c r="Y14" s="100"/>
      <c r="Z14" s="100"/>
    </row>
    <row r="15" spans="1:26" ht="15" x14ac:dyDescent="0.25">
      <c r="A15" t="s">
        <v>27</v>
      </c>
      <c r="B15" t="s">
        <v>31</v>
      </c>
      <c r="C15" s="11" t="s">
        <v>29</v>
      </c>
      <c r="D15" s="32"/>
      <c r="E15" s="20">
        <v>-1.312346</v>
      </c>
      <c r="F15" s="21">
        <v>-2.555974</v>
      </c>
      <c r="G15" s="73">
        <v>-392.82839999999999</v>
      </c>
      <c r="H15" s="21">
        <v>-188.4538</v>
      </c>
      <c r="I15" s="21">
        <v>-188.79040000000001</v>
      </c>
      <c r="J15" s="21">
        <v>-3.6831269999999998</v>
      </c>
      <c r="K15" s="21">
        <f>-3.2261801</f>
        <v>-3.2261801000000001</v>
      </c>
      <c r="L15" s="21">
        <f>-1.5911557</f>
        <v>-1.5911557000000001</v>
      </c>
      <c r="M15" s="21">
        <f>-2.01455</f>
        <v>-2.0145499999999998</v>
      </c>
      <c r="N15" s="18"/>
      <c r="O15" s="20">
        <v>-2.3943430000000001</v>
      </c>
      <c r="P15" s="19">
        <v>-3.7675209999999999</v>
      </c>
      <c r="Q15" s="73">
        <v>-463.05610000000001</v>
      </c>
      <c r="R15" s="21">
        <v>-222.1446</v>
      </c>
      <c r="S15" s="21">
        <v>-222.44380000000001</v>
      </c>
      <c r="T15" s="21">
        <v>-4.5875459999999997</v>
      </c>
      <c r="U15" s="21">
        <v>-3.7113056000000002</v>
      </c>
      <c r="V15" s="21">
        <v>-2.0110063999999999</v>
      </c>
      <c r="W15" s="87">
        <v>-2.6972133999999999</v>
      </c>
      <c r="X15" s="109"/>
      <c r="Y15" s="100"/>
      <c r="Z15" s="100"/>
    </row>
    <row r="16" spans="1:26" ht="15" x14ac:dyDescent="0.25">
      <c r="A16" t="s">
        <v>27</v>
      </c>
      <c r="B16" t="s">
        <v>31</v>
      </c>
      <c r="C16" s="11" t="s">
        <v>33</v>
      </c>
      <c r="D16" s="32"/>
      <c r="E16" s="20">
        <v>-1.6967349999999999E-2</v>
      </c>
      <c r="F16" s="21">
        <v>-0.46734004000000001</v>
      </c>
      <c r="G16" s="73">
        <v>-376.90719999999999</v>
      </c>
      <c r="H16" s="21">
        <v>-188.4538</v>
      </c>
      <c r="I16" s="21">
        <v>-188.79040000000001</v>
      </c>
      <c r="J16" s="21">
        <v>-0.53188329999999995</v>
      </c>
      <c r="K16" s="21">
        <v>-0.67618750000000005</v>
      </c>
      <c r="L16" s="21">
        <f>-0.1191425</f>
        <v>-0.1191425</v>
      </c>
      <c r="M16" s="21">
        <f>-0.2722541</f>
        <v>-0.2722541</v>
      </c>
      <c r="N16" s="18"/>
      <c r="O16" s="20">
        <v>-0.409804</v>
      </c>
      <c r="P16" s="19">
        <v>-0.90397260000000002</v>
      </c>
      <c r="Q16" s="73">
        <v>-444.2885</v>
      </c>
      <c r="R16" s="21">
        <v>-222.1446</v>
      </c>
      <c r="S16" s="21">
        <v>-222.44380000000001</v>
      </c>
      <c r="T16" s="21">
        <v>0.77173890000000001</v>
      </c>
      <c r="U16" s="21">
        <v>0.83219710000000002</v>
      </c>
      <c r="V16" s="21">
        <v>-0.2705494</v>
      </c>
      <c r="W16" s="87">
        <v>-0.51744029999999996</v>
      </c>
      <c r="X16" s="109"/>
      <c r="Y16" s="100"/>
      <c r="Z16" s="100"/>
    </row>
    <row r="17" spans="1:26" ht="15" x14ac:dyDescent="0.25">
      <c r="C17" s="33" t="s">
        <v>34</v>
      </c>
      <c r="D17" s="34">
        <v>-942.95129999999995</v>
      </c>
      <c r="E17" s="35">
        <v>-2.7731370000000002</v>
      </c>
      <c r="F17" s="36">
        <v>-8.7770399999999995</v>
      </c>
      <c r="G17" s="75">
        <v>-476.88580000000002</v>
      </c>
      <c r="H17" s="36">
        <v>-188.4538</v>
      </c>
      <c r="I17" s="36">
        <v>-188.79040000000001</v>
      </c>
      <c r="J17" s="36">
        <v>-5.4608020000000002</v>
      </c>
      <c r="K17" s="36">
        <f>-5.5562762</f>
        <v>-5.5562762000000001</v>
      </c>
      <c r="L17" s="36">
        <f>-4.2765534</f>
        <v>-4.2765534000000001</v>
      </c>
      <c r="M17" s="36">
        <f>-5.8165606</f>
        <v>-5.8165605999999999</v>
      </c>
      <c r="N17" s="18"/>
      <c r="O17" s="35">
        <v>-6.209117</v>
      </c>
      <c r="P17" s="37">
        <v>-10.245926000000001</v>
      </c>
      <c r="Q17" s="75">
        <v>-567.54010000000005</v>
      </c>
      <c r="R17" s="36">
        <v>-222.1446</v>
      </c>
      <c r="S17" s="36">
        <v>-222.44380000000001</v>
      </c>
      <c r="T17" s="36">
        <v>-6.6714789999999997</v>
      </c>
      <c r="U17" s="36">
        <v>-8.1566490999999992</v>
      </c>
      <c r="V17" s="36">
        <v>-5.0802503000000003</v>
      </c>
      <c r="W17" s="90">
        <v>-8.6522076000000006</v>
      </c>
      <c r="X17" s="109"/>
      <c r="Y17" s="100"/>
      <c r="Z17" s="100"/>
    </row>
    <row r="18" spans="1:26" thickBot="1" x14ac:dyDescent="0.35">
      <c r="C18" s="26" t="s">
        <v>22</v>
      </c>
      <c r="D18" s="27">
        <v>1487.5144299999999</v>
      </c>
      <c r="E18" s="28">
        <v>-15.311920000000001</v>
      </c>
      <c r="F18" s="29">
        <v>-16.858029999999999</v>
      </c>
      <c r="G18" s="74"/>
      <c r="H18" s="29"/>
      <c r="I18" s="29"/>
      <c r="J18" s="29"/>
      <c r="K18" s="29"/>
      <c r="L18" s="29"/>
      <c r="M18" s="29"/>
      <c r="N18" s="18"/>
      <c r="O18" s="28">
        <v>-21.177240000000001</v>
      </c>
      <c r="P18" s="30">
        <v>-36.267429999999997</v>
      </c>
      <c r="Q18" s="74"/>
      <c r="R18" s="29"/>
      <c r="S18" s="29"/>
      <c r="T18" s="29"/>
      <c r="U18" s="29"/>
      <c r="V18" s="29"/>
      <c r="W18" s="89"/>
      <c r="X18" s="109"/>
      <c r="Y18" s="102"/>
      <c r="Z18" s="102"/>
    </row>
    <row r="19" spans="1:26" ht="14.45" customHeight="1" x14ac:dyDescent="0.25">
      <c r="A19" t="s">
        <v>35</v>
      </c>
      <c r="B19" t="s">
        <v>36</v>
      </c>
      <c r="C19" s="11" t="s">
        <v>37</v>
      </c>
      <c r="D19" s="32"/>
      <c r="E19" s="20">
        <v>-21.140470000000001</v>
      </c>
      <c r="F19" s="21">
        <v>-23.872499999999999</v>
      </c>
      <c r="G19" s="76">
        <v>-23.858350000000002</v>
      </c>
      <c r="H19" s="21">
        <v>-23.858350000000002</v>
      </c>
      <c r="I19" s="21">
        <v>-23.858350000000002</v>
      </c>
      <c r="J19" s="21">
        <v>-56.18233</v>
      </c>
      <c r="K19" s="21">
        <f>-48.87832487</f>
        <v>-48.87832487</v>
      </c>
      <c r="L19" s="21">
        <f>-4.451312519</f>
        <v>-4.451312519</v>
      </c>
      <c r="M19" s="21">
        <f>-4.36571548</f>
        <v>-4.3657154800000004</v>
      </c>
      <c r="N19" s="18"/>
      <c r="O19" s="20">
        <v>-29.510110000000001</v>
      </c>
      <c r="P19" s="19">
        <v>-39.072130000000001</v>
      </c>
      <c r="Q19" s="76">
        <v>-28.123609999999999</v>
      </c>
      <c r="R19" s="21">
        <v>-28.123609999999999</v>
      </c>
      <c r="S19" s="21">
        <v>-28.123609999999999</v>
      </c>
      <c r="T19" s="21">
        <v>-67.367059999999995</v>
      </c>
      <c r="U19" s="21">
        <v>-57.42397544</v>
      </c>
      <c r="V19" s="21">
        <v>-5.2335391409999996</v>
      </c>
      <c r="W19" s="87">
        <v>-5.2548520759999997</v>
      </c>
      <c r="X19" s="108" t="s">
        <v>66</v>
      </c>
      <c r="Y19" s="103" t="s">
        <v>77</v>
      </c>
      <c r="Z19" s="103" t="s">
        <v>82</v>
      </c>
    </row>
    <row r="20" spans="1:26" ht="15" x14ac:dyDescent="0.25">
      <c r="A20" t="s">
        <v>35</v>
      </c>
      <c r="B20" t="s">
        <v>36</v>
      </c>
      <c r="C20" s="11" t="s">
        <v>38</v>
      </c>
      <c r="D20" s="32"/>
      <c r="E20" s="20">
        <v>-1.3086772E-2</v>
      </c>
      <c r="F20" s="21">
        <v>-6.0947939999999997E-3</v>
      </c>
      <c r="G20" s="76">
        <v>-8.9962540000000004E-3</v>
      </c>
      <c r="H20" s="21">
        <v>-8.9962540000000004E-3</v>
      </c>
      <c r="I20" s="21">
        <v>-8.9962540000000004E-3</v>
      </c>
      <c r="J20" s="21">
        <v>-3.6548549999999999E-2</v>
      </c>
      <c r="K20" s="21">
        <f>-0.04216346</f>
        <v>-4.216346E-2</v>
      </c>
      <c r="L20" s="21">
        <f>-0.003236794</f>
        <v>-3.2367939999999999E-3</v>
      </c>
      <c r="M20" s="21">
        <f>-0.00208772</f>
        <v>-2.0877199999999999E-3</v>
      </c>
      <c r="N20" s="18"/>
      <c r="O20" s="20">
        <v>-1.5832760000000001E-2</v>
      </c>
      <c r="P20" s="19">
        <v>-1.120875E-2</v>
      </c>
      <c r="Q20" s="76">
        <v>-1.0604555E-2</v>
      </c>
      <c r="R20" s="21">
        <v>-1.0604555E-2</v>
      </c>
      <c r="S20" s="21">
        <v>-1.0604554E-2</v>
      </c>
      <c r="T20" s="21">
        <v>-4.3522430000000001E-2</v>
      </c>
      <c r="U20" s="21">
        <v>-5.1704989999999999E-2</v>
      </c>
      <c r="V20" s="21">
        <v>-3.782363E-3</v>
      </c>
      <c r="W20" s="87">
        <v>-2.6386320000000001E-3</v>
      </c>
      <c r="X20" s="109"/>
      <c r="Y20" s="104"/>
      <c r="Z20" s="104"/>
    </row>
    <row r="21" spans="1:26" ht="15" x14ac:dyDescent="0.25">
      <c r="A21" t="s">
        <v>35</v>
      </c>
      <c r="B21" t="s">
        <v>36</v>
      </c>
      <c r="C21" s="11" t="s">
        <v>39</v>
      </c>
      <c r="D21" s="32"/>
      <c r="E21" s="20">
        <v>-6.9658250000000001E-3</v>
      </c>
      <c r="F21" s="21">
        <v>-5.0266119999999997E-3</v>
      </c>
      <c r="G21" s="76">
        <v>-3.9089949999999998E-2</v>
      </c>
      <c r="H21" s="21">
        <v>-3.9089949999999998E-2</v>
      </c>
      <c r="I21" s="21">
        <v>-3.9089970000000002E-2</v>
      </c>
      <c r="J21" s="21">
        <v>-6.0248169999999997E-2</v>
      </c>
      <c r="K21" s="21">
        <f>-0.06634789</f>
        <v>-6.6347890000000007E-2</v>
      </c>
      <c r="L21" s="21">
        <f>-0.033934844</f>
        <v>-3.3934843999999999E-2</v>
      </c>
      <c r="M21" s="21">
        <f>-0.02178657</f>
        <v>-2.1786570000000002E-2</v>
      </c>
      <c r="N21" s="18"/>
      <c r="O21" s="20">
        <v>-1.2655965E-2</v>
      </c>
      <c r="P21" s="19">
        <v>-6.8846050000000002E-3</v>
      </c>
      <c r="Q21" s="76">
        <v>-4.6078229999999998E-2</v>
      </c>
      <c r="R21" s="21">
        <v>-4.6078229999999998E-2</v>
      </c>
      <c r="S21" s="21">
        <v>-4.6078250000000001E-2</v>
      </c>
      <c r="T21" s="21">
        <v>-7.050584E-2</v>
      </c>
      <c r="U21" s="21">
        <v>-7.5822639999999997E-2</v>
      </c>
      <c r="V21" s="21">
        <v>-4.0256251E-2</v>
      </c>
      <c r="W21" s="87">
        <v>-2.7769645999999999E-2</v>
      </c>
      <c r="X21" s="109"/>
      <c r="Y21" s="104"/>
      <c r="Z21" s="104"/>
    </row>
    <row r="22" spans="1:26" ht="15.75" thickBot="1" x14ac:dyDescent="0.3">
      <c r="C22" s="33" t="s">
        <v>40</v>
      </c>
      <c r="D22" s="38">
        <v>-85.620050000000006</v>
      </c>
      <c r="E22" s="39">
        <v>-21.133040000000001</v>
      </c>
      <c r="F22" s="40">
        <v>-23.87276</v>
      </c>
      <c r="G22" s="77">
        <v>-23.859179999999999</v>
      </c>
      <c r="H22" s="40">
        <v>-23.859179999999999</v>
      </c>
      <c r="I22" s="40">
        <v>-23.859179999999999</v>
      </c>
      <c r="J22" s="40">
        <v>-56.196959999999997</v>
      </c>
      <c r="K22" s="40">
        <f>-48.87558499</f>
        <v>-48.87558499</v>
      </c>
      <c r="L22" s="40">
        <f>-4.447525015</f>
        <v>-4.4475250150000001</v>
      </c>
      <c r="M22" s="40">
        <f>-4.36589996</f>
        <v>-4.3658999600000001</v>
      </c>
      <c r="N22" s="18"/>
      <c r="O22" s="39">
        <v>-29.512450000000001</v>
      </c>
      <c r="P22" s="41">
        <v>-39.073970000000003</v>
      </c>
      <c r="Q22" s="77">
        <v>-28.124590000000001</v>
      </c>
      <c r="R22" s="40">
        <v>-28.124590000000001</v>
      </c>
      <c r="S22" s="40">
        <v>-28.124590000000001</v>
      </c>
      <c r="T22" s="40">
        <v>-67.366399999999999</v>
      </c>
      <c r="U22" s="40">
        <v>-57.423330919999998</v>
      </c>
      <c r="V22" s="40">
        <v>-5.232314401</v>
      </c>
      <c r="W22" s="91">
        <v>-5.2565531019999998</v>
      </c>
      <c r="X22" s="109"/>
      <c r="Y22" s="104"/>
      <c r="Z22" s="104"/>
    </row>
    <row r="23" spans="1:26" ht="15" x14ac:dyDescent="0.25">
      <c r="A23" t="s">
        <v>35</v>
      </c>
      <c r="B23" t="s">
        <v>41</v>
      </c>
      <c r="C23" s="11" t="s">
        <v>42</v>
      </c>
      <c r="D23" s="32"/>
      <c r="E23" s="20">
        <v>-48533.45</v>
      </c>
      <c r="F23" s="21">
        <v>-56598.17</v>
      </c>
      <c r="G23" s="76">
        <v>-51013.7</v>
      </c>
      <c r="H23" s="21">
        <v>-51013.7</v>
      </c>
      <c r="I23" s="21">
        <v>-51013.7</v>
      </c>
      <c r="J23" s="21">
        <v>-94957.16</v>
      </c>
      <c r="K23" s="21">
        <f>-109545.622</f>
        <v>-109545.622</v>
      </c>
      <c r="L23" s="21">
        <f>-30137.8249</f>
        <v>-30137.8249</v>
      </c>
      <c r="M23" s="21">
        <f>-32354.2</f>
        <v>-32354.2</v>
      </c>
      <c r="N23" s="18"/>
      <c r="O23" s="20">
        <v>-54038.47</v>
      </c>
      <c r="P23" s="19">
        <v>-59745.58</v>
      </c>
      <c r="Q23" s="76">
        <v>-60133.64</v>
      </c>
      <c r="R23" s="21">
        <v>-60133.64</v>
      </c>
      <c r="S23" s="21">
        <v>-60133.64</v>
      </c>
      <c r="T23" s="21">
        <v>-113076.51</v>
      </c>
      <c r="U23" s="21">
        <v>-134336.51199999999</v>
      </c>
      <c r="V23" s="21">
        <v>-35765.766199999998</v>
      </c>
      <c r="W23" s="87">
        <v>-36633.407599999999</v>
      </c>
      <c r="X23" s="108" t="s">
        <v>67</v>
      </c>
      <c r="Y23" s="104"/>
      <c r="Z23" s="104"/>
    </row>
    <row r="24" spans="1:26" ht="15" x14ac:dyDescent="0.25">
      <c r="A24" t="s">
        <v>35</v>
      </c>
      <c r="B24" t="s">
        <v>41</v>
      </c>
      <c r="C24" s="11" t="s">
        <v>43</v>
      </c>
      <c r="D24" s="32"/>
      <c r="E24" s="20">
        <v>-713.04219999999998</v>
      </c>
      <c r="F24" s="21">
        <v>-407.68389999999999</v>
      </c>
      <c r="G24" s="76">
        <v>-489.72910000000002</v>
      </c>
      <c r="H24" s="21">
        <v>-489.72910000000002</v>
      </c>
      <c r="I24" s="21">
        <v>-489.71870000000001</v>
      </c>
      <c r="J24" s="21">
        <v>-938.96180000000004</v>
      </c>
      <c r="K24" s="21">
        <f>-1083.153</f>
        <v>-1083.153</v>
      </c>
      <c r="L24" s="21">
        <f>-183.5903</f>
        <v>-183.59030000000001</v>
      </c>
      <c r="M24" s="21">
        <f>-180.9219</f>
        <v>-180.92189999999999</v>
      </c>
      <c r="N24" s="18"/>
      <c r="O24" s="20">
        <v>-812.85630000000003</v>
      </c>
      <c r="P24" s="19">
        <v>-487.00990000000002</v>
      </c>
      <c r="Q24" s="76">
        <v>-577.28020000000004</v>
      </c>
      <c r="R24" s="21">
        <v>-577.28020000000004</v>
      </c>
      <c r="S24" s="21">
        <v>-577.27089999999998</v>
      </c>
      <c r="T24" s="21">
        <v>-1118.0387000000001</v>
      </c>
      <c r="U24" s="21">
        <v>-1328.096</v>
      </c>
      <c r="V24" s="21">
        <v>-215.99539999999999</v>
      </c>
      <c r="W24" s="87">
        <v>-221.17869999999999</v>
      </c>
      <c r="X24" s="109"/>
      <c r="Y24" s="104"/>
      <c r="Z24" s="104"/>
    </row>
    <row r="25" spans="1:26" ht="15" x14ac:dyDescent="0.25">
      <c r="A25" t="s">
        <v>35</v>
      </c>
      <c r="B25" t="s">
        <v>41</v>
      </c>
      <c r="C25" s="11" t="s">
        <v>44</v>
      </c>
      <c r="D25" s="18"/>
      <c r="E25" s="42">
        <v>0</v>
      </c>
      <c r="F25" s="16">
        <v>0</v>
      </c>
      <c r="G25" s="73">
        <v>0</v>
      </c>
      <c r="H25" s="16">
        <v>0</v>
      </c>
      <c r="I25" s="16">
        <v>0</v>
      </c>
      <c r="J25" s="16">
        <v>0</v>
      </c>
      <c r="K25" s="16">
        <v>0</v>
      </c>
      <c r="L25" s="16">
        <v>0</v>
      </c>
      <c r="M25" s="16">
        <v>0</v>
      </c>
      <c r="N25" s="18"/>
      <c r="O25" s="42">
        <v>0</v>
      </c>
      <c r="P25" s="15">
        <v>0</v>
      </c>
      <c r="Q25" s="73">
        <v>0</v>
      </c>
      <c r="R25" s="16">
        <v>0</v>
      </c>
      <c r="S25" s="16">
        <v>0</v>
      </c>
      <c r="T25" s="16">
        <v>0</v>
      </c>
      <c r="U25" s="16">
        <v>0</v>
      </c>
      <c r="V25" s="16">
        <v>0</v>
      </c>
      <c r="W25" s="17">
        <v>0</v>
      </c>
      <c r="X25" s="109"/>
      <c r="Y25" s="104"/>
      <c r="Z25" s="104"/>
    </row>
    <row r="26" spans="1:26" ht="15.75" thickBot="1" x14ac:dyDescent="0.3">
      <c r="C26" s="33" t="s">
        <v>45</v>
      </c>
      <c r="D26" s="38">
        <v>-342420.5</v>
      </c>
      <c r="E26" s="41">
        <v>-48533.45</v>
      </c>
      <c r="F26" s="41">
        <v>-56586.15</v>
      </c>
      <c r="G26" s="77">
        <v>-51116.04</v>
      </c>
      <c r="H26" s="41">
        <v>-51116.04</v>
      </c>
      <c r="I26" s="41">
        <v>-51116.04</v>
      </c>
      <c r="J26" s="41">
        <v>-95896.12</v>
      </c>
      <c r="K26" s="41">
        <f>-110628.775</f>
        <v>-110628.77499999999</v>
      </c>
      <c r="L26" s="41">
        <f>-30296.7489</f>
        <v>-30296.748899999999</v>
      </c>
      <c r="M26" s="41">
        <f>-32396.0884</f>
        <v>-32396.088400000001</v>
      </c>
      <c r="N26" s="18"/>
      <c r="O26" s="43">
        <v>-54158.33</v>
      </c>
      <c r="P26" s="40">
        <v>-59830</v>
      </c>
      <c r="Q26" s="77">
        <v>-60110.45</v>
      </c>
      <c r="R26" s="41">
        <v>-60110.45</v>
      </c>
      <c r="S26" s="41">
        <v>-60110.45</v>
      </c>
      <c r="T26" s="41">
        <v>-114194.55</v>
      </c>
      <c r="U26" s="41">
        <v>-135664.609</v>
      </c>
      <c r="V26" s="41">
        <v>-35853.005400000002</v>
      </c>
      <c r="W26" s="92">
        <v>-36707.1702</v>
      </c>
      <c r="X26" s="109"/>
      <c r="Y26" s="105"/>
      <c r="Z26" s="105"/>
    </row>
    <row r="27" spans="1:26" ht="15" x14ac:dyDescent="0.25">
      <c r="A27" t="s">
        <v>46</v>
      </c>
      <c r="B27" t="s">
        <v>47</v>
      </c>
      <c r="C27" s="11" t="s">
        <v>48</v>
      </c>
      <c r="D27" s="32"/>
      <c r="E27" s="20">
        <v>-75.952179999999998</v>
      </c>
      <c r="F27" s="21">
        <v>-41.931370000000001</v>
      </c>
      <c r="G27" s="73">
        <v>-88.464219999999997</v>
      </c>
      <c r="H27" s="21">
        <v>-90.327529999999996</v>
      </c>
      <c r="I27" s="21">
        <v>-41620.244019999998</v>
      </c>
      <c r="J27" s="21">
        <v>-57.43582</v>
      </c>
      <c r="K27" s="21">
        <f>-47.92792</f>
        <v>-47.92792</v>
      </c>
      <c r="L27" s="21">
        <f>-107.17807</f>
        <v>-107.17807000000001</v>
      </c>
      <c r="M27" s="21">
        <f>-74.59878</f>
        <v>-74.598780000000005</v>
      </c>
      <c r="N27" s="18"/>
      <c r="O27" s="20">
        <v>-140.0641</v>
      </c>
      <c r="P27" s="19">
        <v>-67.765889999999999</v>
      </c>
      <c r="Q27" s="73">
        <v>-104.92092</v>
      </c>
      <c r="R27" s="21">
        <v>-106.47580000000001</v>
      </c>
      <c r="S27" s="21">
        <v>-106.47580000000001</v>
      </c>
      <c r="T27" s="21">
        <v>-69.379019999999997</v>
      </c>
      <c r="U27" s="21">
        <v>-56.006900000000002</v>
      </c>
      <c r="V27" s="21">
        <v>-126.17755</v>
      </c>
      <c r="W27" s="87">
        <v>-91.135099999999994</v>
      </c>
      <c r="X27" s="108" t="s">
        <v>68</v>
      </c>
      <c r="Y27" s="99" t="s">
        <v>78</v>
      </c>
      <c r="Z27" s="99" t="s">
        <v>83</v>
      </c>
    </row>
    <row r="28" spans="1:26" ht="15" x14ac:dyDescent="0.25">
      <c r="A28" t="s">
        <v>46</v>
      </c>
      <c r="B28" t="s">
        <v>47</v>
      </c>
      <c r="C28" s="11" t="s">
        <v>49</v>
      </c>
      <c r="D28" s="32"/>
      <c r="E28" s="20">
        <v>-33229.870000000003</v>
      </c>
      <c r="F28" s="21">
        <v>-18808.310000000001</v>
      </c>
      <c r="G28" s="73">
        <v>-42553.161659999998</v>
      </c>
      <c r="H28" s="21">
        <v>-41620.244019999998</v>
      </c>
      <c r="I28" s="21">
        <v>-90.327529999999996</v>
      </c>
      <c r="J28" s="21">
        <v>-20909.400000000001</v>
      </c>
      <c r="K28" s="21">
        <f>-17858.97024</f>
        <v>-17858.970239999999</v>
      </c>
      <c r="L28" s="21">
        <f>-40285.8062</f>
        <v>-40285.806199999999</v>
      </c>
      <c r="M28" s="21">
        <f>-27865.90931</f>
        <v>-27865.909309999999</v>
      </c>
      <c r="N28" s="18"/>
      <c r="O28" s="20">
        <v>-49063.95</v>
      </c>
      <c r="P28" s="19">
        <v>-26560.6</v>
      </c>
      <c r="Q28" s="73">
        <v>-50161.22236</v>
      </c>
      <c r="R28" s="21">
        <v>-49060.881300000001</v>
      </c>
      <c r="S28" s="21">
        <v>-49060.881300000001</v>
      </c>
      <c r="T28" s="21">
        <v>-25206.47</v>
      </c>
      <c r="U28" s="21">
        <v>-21515.113450000001</v>
      </c>
      <c r="V28" s="21">
        <v>-46943.61707</v>
      </c>
      <c r="W28" s="87">
        <v>-34001.022210000003</v>
      </c>
      <c r="X28" s="109"/>
      <c r="Y28" s="100"/>
      <c r="Z28" s="100"/>
    </row>
    <row r="29" spans="1:26" ht="15" x14ac:dyDescent="0.25">
      <c r="C29" s="33" t="s">
        <v>50</v>
      </c>
      <c r="D29" s="44">
        <v>-30707.58</v>
      </c>
      <c r="E29" s="45">
        <v>-33313.64</v>
      </c>
      <c r="F29" s="46">
        <v>-18799.54</v>
      </c>
      <c r="G29" s="75">
        <v>-42621.655720000002</v>
      </c>
      <c r="H29" s="46">
        <v>-41942.61</v>
      </c>
      <c r="I29" s="46">
        <v>-41942.61</v>
      </c>
      <c r="J29" s="46">
        <v>-20947.580000000002</v>
      </c>
      <c r="K29" s="46">
        <f>-17921.43413</f>
        <v>-17921.434130000001</v>
      </c>
      <c r="L29" s="46">
        <f>-40370.55223</f>
        <v>-40370.552230000001</v>
      </c>
      <c r="M29" s="46">
        <f>-27861.93001</f>
        <v>-27861.93001</v>
      </c>
      <c r="N29" s="18"/>
      <c r="O29" s="45">
        <v>-49104.84</v>
      </c>
      <c r="P29" s="47">
        <v>-26586.06</v>
      </c>
      <c r="Q29" s="75">
        <v>-50249.138659999997</v>
      </c>
      <c r="R29" s="46">
        <v>-48882.86</v>
      </c>
      <c r="S29" s="46">
        <v>-48882.86</v>
      </c>
      <c r="T29" s="46">
        <v>-25262.1</v>
      </c>
      <c r="U29" s="46">
        <v>-21565.921979999999</v>
      </c>
      <c r="V29" s="46">
        <v>-47097.891770000002</v>
      </c>
      <c r="W29" s="93">
        <v>-34080.828280000002</v>
      </c>
      <c r="X29" s="109"/>
      <c r="Y29" s="100"/>
      <c r="Z29" s="100"/>
    </row>
    <row r="30" spans="1:26" ht="15" x14ac:dyDescent="0.25">
      <c r="A30" t="s">
        <v>46</v>
      </c>
      <c r="B30" t="s">
        <v>51</v>
      </c>
      <c r="C30" s="11" t="s">
        <v>48</v>
      </c>
      <c r="D30" s="32"/>
      <c r="E30" s="20">
        <v>-92.454310000000007</v>
      </c>
      <c r="F30" s="21">
        <v>-134.79706999999999</v>
      </c>
      <c r="G30" s="73">
        <v>-66.637249999999995</v>
      </c>
      <c r="H30" s="21">
        <v>-50.112389999999998</v>
      </c>
      <c r="I30" s="21">
        <v>-50.112389999999998</v>
      </c>
      <c r="J30" s="21">
        <v>-32.710619999999999</v>
      </c>
      <c r="K30" s="21">
        <f>-31.42774</f>
        <v>-31.42774</v>
      </c>
      <c r="L30" s="21">
        <f>-49.12881</f>
        <v>-49.128810000000001</v>
      </c>
      <c r="M30" s="21">
        <f>-31.92441</f>
        <v>-31.924410000000002</v>
      </c>
      <c r="N30" s="18"/>
      <c r="O30" s="20">
        <v>-139.22219999999999</v>
      </c>
      <c r="P30" s="19">
        <v>-170.87729999999999</v>
      </c>
      <c r="Q30" s="73">
        <v>-17827.524829999998</v>
      </c>
      <c r="R30" s="21">
        <v>-59.071199999999997</v>
      </c>
      <c r="S30" s="21">
        <v>-59.071199999999997</v>
      </c>
      <c r="T30" s="21">
        <v>-38.903660000000002</v>
      </c>
      <c r="U30" s="21">
        <v>-37.985050000000001</v>
      </c>
      <c r="V30" s="21">
        <v>-57.439729999999997</v>
      </c>
      <c r="W30" s="87">
        <v>-39.560630000000003</v>
      </c>
      <c r="X30" s="109"/>
      <c r="Y30" s="100"/>
      <c r="Z30" s="100"/>
    </row>
    <row r="31" spans="1:26" ht="15" x14ac:dyDescent="0.25">
      <c r="A31" t="s">
        <v>46</v>
      </c>
      <c r="B31" t="s">
        <v>51</v>
      </c>
      <c r="C31" s="11" t="s">
        <v>49</v>
      </c>
      <c r="D31" s="32"/>
      <c r="E31" s="20">
        <v>-9262.86</v>
      </c>
      <c r="F31" s="21">
        <v>-4633.5829999999996</v>
      </c>
      <c r="G31" s="73">
        <v>-15126.089029999999</v>
      </c>
      <c r="H31" s="21">
        <v>-14727.243119999999</v>
      </c>
      <c r="I31" s="21">
        <v>-14727.243119999999</v>
      </c>
      <c r="J31" s="21">
        <v>-10323.57</v>
      </c>
      <c r="K31" s="21">
        <f>-10484.99632</f>
        <v>-10484.99632</v>
      </c>
      <c r="L31" s="21">
        <f>-15486.36959</f>
        <v>-15486.36959</v>
      </c>
      <c r="M31" s="21">
        <f>-25552.58415</f>
        <v>-25552.584149999999</v>
      </c>
      <c r="N31" s="18"/>
      <c r="O31" s="20">
        <v>-14724.093999999999</v>
      </c>
      <c r="P31" s="19">
        <v>-7308.7879999999996</v>
      </c>
      <c r="Q31" s="73">
        <v>-75.827479999999994</v>
      </c>
      <c r="R31" s="21">
        <v>-17360.098300000001</v>
      </c>
      <c r="S31" s="21">
        <v>-17360.098300000001</v>
      </c>
      <c r="T31" s="21">
        <v>-12023.06</v>
      </c>
      <c r="U31" s="21">
        <v>-12673.588040000001</v>
      </c>
      <c r="V31" s="21">
        <v>-18217.416939999999</v>
      </c>
      <c r="W31" s="87">
        <v>-37298.957190000001</v>
      </c>
      <c r="X31" s="109"/>
      <c r="Y31" s="100"/>
      <c r="Z31" s="100"/>
    </row>
    <row r="32" spans="1:26" ht="15" x14ac:dyDescent="0.25">
      <c r="C32" s="48" t="s">
        <v>52</v>
      </c>
      <c r="D32" s="34">
        <v>80806.179999999993</v>
      </c>
      <c r="E32" s="35">
        <v>-9229.4609999999993</v>
      </c>
      <c r="F32" s="36">
        <v>-4606.768</v>
      </c>
      <c r="G32" s="75">
        <v>-15081.306699999999</v>
      </c>
      <c r="H32" s="36">
        <v>-14800.33</v>
      </c>
      <c r="I32" s="36">
        <v>-14800.33</v>
      </c>
      <c r="J32" s="36">
        <v>-10277.1</v>
      </c>
      <c r="K32" s="36">
        <f>-10463.69528</f>
        <v>-10463.69528</v>
      </c>
      <c r="L32" s="36">
        <f>-15425.45133</f>
        <v>-15425.45133</v>
      </c>
      <c r="M32" s="36">
        <f>-25438.40765</f>
        <v>-25438.407650000001</v>
      </c>
      <c r="N32" s="18"/>
      <c r="O32" s="35">
        <v>-14699.832</v>
      </c>
      <c r="P32" s="37">
        <v>-7287.5829999999996</v>
      </c>
      <c r="Q32" s="75">
        <v>-17744.27563</v>
      </c>
      <c r="R32" s="36">
        <v>-17192.599999999999</v>
      </c>
      <c r="S32" s="36">
        <v>-17192.599999999999</v>
      </c>
      <c r="T32" s="36">
        <v>-11984.11</v>
      </c>
      <c r="U32" s="36">
        <v>-12635.37074</v>
      </c>
      <c r="V32" s="36">
        <v>-18147.265670000001</v>
      </c>
      <c r="W32" s="90">
        <v>-37108.17542</v>
      </c>
      <c r="X32" s="109"/>
      <c r="Y32" s="100"/>
      <c r="Z32" s="100"/>
    </row>
    <row r="33" spans="1:26" thickBot="1" x14ac:dyDescent="0.35">
      <c r="C33" s="49" t="s">
        <v>22</v>
      </c>
      <c r="D33" s="31">
        <f>D32+D29</f>
        <v>50098.599999999991</v>
      </c>
      <c r="E33" s="28">
        <v>-45447.07</v>
      </c>
      <c r="F33" s="29">
        <v>-22211.71</v>
      </c>
      <c r="G33" s="74">
        <v>-55864.55</v>
      </c>
      <c r="H33" s="29">
        <v>-55864.55</v>
      </c>
      <c r="I33" s="29">
        <v>-55864.55</v>
      </c>
      <c r="J33" s="29">
        <v>-14630.59</v>
      </c>
      <c r="K33" s="29">
        <f>-11594.71272</f>
        <v>-11594.71272</v>
      </c>
      <c r="L33" s="29">
        <f>-27168.0703</f>
        <v>-27168.070299999999</v>
      </c>
      <c r="M33" s="29">
        <f>-19838.1009</f>
        <v>-19838.100900000001</v>
      </c>
      <c r="N33" s="18"/>
      <c r="O33" s="29">
        <v>-61048.71</v>
      </c>
      <c r="P33" s="29">
        <v>-31341.61</v>
      </c>
      <c r="Q33" s="74">
        <v>-65849.62</v>
      </c>
      <c r="R33" s="29">
        <v>-65826.34</v>
      </c>
      <c r="S33" s="29">
        <v>-65826.34</v>
      </c>
      <c r="T33" s="29">
        <v>-17468.5</v>
      </c>
      <c r="U33" s="29">
        <v>-14195.573469999999</v>
      </c>
      <c r="V33" s="29">
        <v>-31767.7035</v>
      </c>
      <c r="W33" s="89">
        <v>-24209.23</v>
      </c>
      <c r="X33" s="109"/>
      <c r="Y33" s="101"/>
      <c r="Z33" s="101"/>
    </row>
    <row r="34" spans="1:26" ht="15" x14ac:dyDescent="0.25">
      <c r="A34" t="s">
        <v>53</v>
      </c>
      <c r="B34" t="s">
        <v>54</v>
      </c>
      <c r="C34" s="11" t="s">
        <v>55</v>
      </c>
      <c r="D34" s="32"/>
      <c r="E34" s="20">
        <v>-8.015717E-2</v>
      </c>
      <c r="F34" s="21">
        <v>-6.0511179999999998E-2</v>
      </c>
      <c r="G34" s="73">
        <v>-1.15479E-2</v>
      </c>
      <c r="H34" s="21">
        <v>-1.1547989999999999E-2</v>
      </c>
      <c r="I34" s="21">
        <v>-1.1497240000000001E-2</v>
      </c>
      <c r="J34" s="21">
        <v>-4.9002049999999998E-2</v>
      </c>
      <c r="K34" s="21">
        <f>-0.053943251</f>
        <v>-5.3943250999999998E-2</v>
      </c>
      <c r="L34" s="21">
        <f>-0.044483621</f>
        <v>-4.4483621000000001E-2</v>
      </c>
      <c r="M34" s="21">
        <f>-0.038458981</f>
        <v>-3.8458981000000003E-2</v>
      </c>
      <c r="N34" s="18"/>
      <c r="O34" s="20">
        <v>-0.1077004</v>
      </c>
      <c r="P34" s="19">
        <v>-7.008346E-2</v>
      </c>
      <c r="Q34" s="73">
        <v>-1.361237E-2</v>
      </c>
      <c r="R34" s="21">
        <v>-1.361248E-2</v>
      </c>
      <c r="S34" s="21">
        <v>-1.356738E-2</v>
      </c>
      <c r="T34" s="21">
        <v>-5.7304250000000001E-2</v>
      </c>
      <c r="U34" s="21">
        <v>-6.1606542E-2</v>
      </c>
      <c r="V34" s="21">
        <v>-5.1852664E-2</v>
      </c>
      <c r="W34" s="87">
        <v>-4.5661804E-2</v>
      </c>
      <c r="X34" s="108" t="s">
        <v>69</v>
      </c>
      <c r="Y34" s="99" t="s">
        <v>79</v>
      </c>
      <c r="Z34" s="99" t="s">
        <v>84</v>
      </c>
    </row>
    <row r="35" spans="1:26" ht="15" x14ac:dyDescent="0.25">
      <c r="A35" t="s">
        <v>53</v>
      </c>
      <c r="B35" t="s">
        <v>54</v>
      </c>
      <c r="C35" s="11" t="s">
        <v>49</v>
      </c>
      <c r="D35" s="32"/>
      <c r="E35" s="20">
        <v>-5.3275409999999999E-3</v>
      </c>
      <c r="F35" s="21">
        <v>-8.5263839999999997E-3</v>
      </c>
      <c r="G35" s="73">
        <v>-6.7657900000000007E-2</v>
      </c>
      <c r="H35" s="21">
        <v>-6.7657900000000007E-2</v>
      </c>
      <c r="I35" s="21">
        <v>-6.7655750000000001E-2</v>
      </c>
      <c r="J35" s="21">
        <v>-5.137806E-3</v>
      </c>
      <c r="K35" s="21">
        <f>-0.005904092</f>
        <v>-5.9040919999999997E-3</v>
      </c>
      <c r="L35" s="21">
        <f>-0.004400826</f>
        <v>-4.400826E-3</v>
      </c>
      <c r="M35" s="21">
        <f>-0.006536315</f>
        <v>-6.536315E-3</v>
      </c>
      <c r="N35" s="18"/>
      <c r="O35" s="20">
        <v>-9.7687910000000006E-3</v>
      </c>
      <c r="P35" s="19">
        <v>-1.2522948000000001E-2</v>
      </c>
      <c r="Q35" s="73">
        <v>-7.9753400000000002E-2</v>
      </c>
      <c r="R35" s="21">
        <v>-7.9753400000000002E-2</v>
      </c>
      <c r="S35" s="21">
        <v>-7.9751489999999994E-2</v>
      </c>
      <c r="T35" s="21">
        <v>-6.0851430000000003E-3</v>
      </c>
      <c r="U35" s="21">
        <v>-7.1768300000000004E-3</v>
      </c>
      <c r="V35" s="21">
        <v>-5.1525989999999999E-3</v>
      </c>
      <c r="W35" s="87">
        <v>-9.5874459999999995E-3</v>
      </c>
      <c r="X35" s="109"/>
      <c r="Y35" s="100"/>
      <c r="Z35" s="100"/>
    </row>
    <row r="36" spans="1:26" ht="15" x14ac:dyDescent="0.25">
      <c r="A36" t="s">
        <v>53</v>
      </c>
      <c r="B36" t="s">
        <v>54</v>
      </c>
      <c r="C36" s="11" t="s">
        <v>56</v>
      </c>
      <c r="D36" s="32"/>
      <c r="E36" s="20">
        <v>-3.5109290000000001E-2</v>
      </c>
      <c r="F36" s="21">
        <v>-3.5109290000000001E-2</v>
      </c>
      <c r="G36" s="73">
        <v>-5.2384779999999999E-2</v>
      </c>
      <c r="H36" s="21">
        <v>-5.2384809999999997E-2</v>
      </c>
      <c r="I36" s="21">
        <v>-5.2452819999999997E-2</v>
      </c>
      <c r="J36" s="21">
        <v>-2.3146730000000001E-2</v>
      </c>
      <c r="K36" s="21">
        <f>-0.025534442</f>
        <v>-2.5534442000000001E-2</v>
      </c>
      <c r="L36" s="21">
        <f>-0.042820309</f>
        <v>-4.2820309000000001E-2</v>
      </c>
      <c r="M36" s="21">
        <f>-0.03755833</f>
        <v>-3.7558330000000001E-2</v>
      </c>
      <c r="N36" s="18"/>
      <c r="O36" s="20">
        <v>-0.11959976</v>
      </c>
      <c r="P36" s="19">
        <v>-9.660929E-2</v>
      </c>
      <c r="Q36" s="73">
        <v>-6.174984E-2</v>
      </c>
      <c r="R36" s="21">
        <v>-6.174988E-2</v>
      </c>
      <c r="S36" s="21">
        <v>-6.1810339999999998E-2</v>
      </c>
      <c r="T36" s="21">
        <v>-2.7175609999999999E-2</v>
      </c>
      <c r="U36" s="21">
        <v>-2.9265757E-2</v>
      </c>
      <c r="V36" s="21">
        <v>-5.1300047000000001E-2</v>
      </c>
      <c r="W36" s="87">
        <v>-6.2942558999999995E-2</v>
      </c>
      <c r="X36" s="109"/>
      <c r="Y36" s="100"/>
      <c r="Z36" s="100"/>
    </row>
    <row r="37" spans="1:26" ht="15.75" x14ac:dyDescent="0.3">
      <c r="C37" s="33" t="s">
        <v>57</v>
      </c>
      <c r="D37" s="44">
        <v>0.56927170000000005</v>
      </c>
      <c r="E37" s="45">
        <v>-0.10196399</v>
      </c>
      <c r="F37" s="46">
        <v>-5.9658280000000001E-2</v>
      </c>
      <c r="G37" s="78">
        <v>-8.7575150000000004E-2</v>
      </c>
      <c r="H37" s="46">
        <v>-8.7575669999999994E-2</v>
      </c>
      <c r="I37" s="46">
        <v>-8.7582350000000003E-2</v>
      </c>
      <c r="J37" s="46">
        <v>-6.7061850000000006E-2</v>
      </c>
      <c r="K37" s="46">
        <f>-0.073851212</f>
        <v>-7.3851211999999999E-2</v>
      </c>
      <c r="L37" s="46">
        <f>-0.065736784</f>
        <v>-6.5736784000000006E-2</v>
      </c>
      <c r="M37" s="46">
        <f>-0.059576197</f>
        <v>-5.9576196999999997E-2</v>
      </c>
      <c r="N37" s="18"/>
      <c r="O37" s="45">
        <v>-0.16010770999999999</v>
      </c>
      <c r="P37" s="47">
        <v>-8.8340639999999998E-2</v>
      </c>
      <c r="Q37" s="78">
        <v>-0.10323135</v>
      </c>
      <c r="R37" s="46">
        <v>-0.10323197000000001</v>
      </c>
      <c r="S37" s="46">
        <v>-0.10323789999999999</v>
      </c>
      <c r="T37" s="46">
        <v>-7.8475149999999994E-2</v>
      </c>
      <c r="U37" s="46">
        <v>-8.4390602999999995E-2</v>
      </c>
      <c r="V37" s="46">
        <v>-7.8776048000000001E-2</v>
      </c>
      <c r="W37" s="93">
        <v>-8.4745031999999998E-2</v>
      </c>
      <c r="X37" s="109"/>
      <c r="Y37" s="100"/>
      <c r="Z37" s="100"/>
    </row>
    <row r="38" spans="1:26" ht="15" x14ac:dyDescent="0.25">
      <c r="A38" t="s">
        <v>53</v>
      </c>
      <c r="B38" t="s">
        <v>58</v>
      </c>
      <c r="C38" s="11" t="s">
        <v>55</v>
      </c>
      <c r="D38" s="32"/>
      <c r="E38" s="20">
        <v>-3.4709480000000001E-2</v>
      </c>
      <c r="F38" s="21">
        <v>-4.77432E-2</v>
      </c>
      <c r="G38" s="73">
        <v>-9.6123349999999998E-4</v>
      </c>
      <c r="H38" s="21">
        <v>-9.6123430000000004E-4</v>
      </c>
      <c r="I38" s="21">
        <v>-9.5981310000000004E-4</v>
      </c>
      <c r="J38" s="21">
        <v>-2.870321E-2</v>
      </c>
      <c r="K38" s="21">
        <f>-0.032822806</f>
        <v>-3.2822806000000003E-2</v>
      </c>
      <c r="L38" s="21">
        <f>-0.025675073</f>
        <v>-2.5675073E-2</v>
      </c>
      <c r="M38" s="21">
        <f>-0.036271527</f>
        <v>-3.6271526999999998E-2</v>
      </c>
      <c r="N38" s="18"/>
      <c r="O38" s="20">
        <v>-5.063078E-2</v>
      </c>
      <c r="P38" s="19">
        <v>-5.8631589999999997E-2</v>
      </c>
      <c r="Q38" s="73">
        <v>-1.1330775000000001E-3</v>
      </c>
      <c r="R38" s="21">
        <v>-1.133078E-3</v>
      </c>
      <c r="S38" s="21">
        <v>-1.131815E-3</v>
      </c>
      <c r="T38" s="21">
        <v>-3.3765459999999997E-2</v>
      </c>
      <c r="U38" s="21">
        <v>-3.9463151000000002E-2</v>
      </c>
      <c r="V38" s="21">
        <v>-2.9655279999999999E-2</v>
      </c>
      <c r="W38" s="87">
        <v>-5.1900237000000002E-2</v>
      </c>
      <c r="X38" s="109"/>
      <c r="Y38" s="100"/>
      <c r="Z38" s="100"/>
    </row>
    <row r="39" spans="1:26" ht="15" x14ac:dyDescent="0.25">
      <c r="A39" t="s">
        <v>53</v>
      </c>
      <c r="B39" t="s">
        <v>58</v>
      </c>
      <c r="C39" s="11" t="s">
        <v>49</v>
      </c>
      <c r="D39" s="32"/>
      <c r="E39" s="20">
        <v>-1.6796129999999999E-3</v>
      </c>
      <c r="F39" s="21">
        <v>-2.31985E-3</v>
      </c>
      <c r="G39" s="73">
        <v>-3.6550543599999999E-2</v>
      </c>
      <c r="H39" s="21">
        <v>-3.6550543599999999E-2</v>
      </c>
      <c r="I39" s="21">
        <v>-3.65489009E-2</v>
      </c>
      <c r="J39" s="21">
        <v>-1.270897E-3</v>
      </c>
      <c r="K39" s="21">
        <f>-0.001461517</f>
        <v>-1.4615170000000001E-3</v>
      </c>
      <c r="L39" s="21">
        <f>-0.001064441</f>
        <v>-1.064441E-3</v>
      </c>
      <c r="M39" s="21">
        <f>-0.001624584</f>
        <v>-1.6245840000000001E-3</v>
      </c>
      <c r="N39" s="18"/>
      <c r="O39" s="20">
        <v>-2.44867E-3</v>
      </c>
      <c r="P39" s="19">
        <v>-3.027432E-3</v>
      </c>
      <c r="Q39" s="73">
        <v>-4.3084847799999999E-2</v>
      </c>
      <c r="R39" s="21">
        <v>-4.3084848000000002E-2</v>
      </c>
      <c r="S39" s="21">
        <v>-4.3083388E-2</v>
      </c>
      <c r="T39" s="21">
        <v>-1.50676E-3</v>
      </c>
      <c r="U39" s="21">
        <v>-1.7794779999999999E-3</v>
      </c>
      <c r="V39" s="21">
        <v>-1.2427149999999999E-3</v>
      </c>
      <c r="W39" s="87">
        <v>-2.3757470000000001E-3</v>
      </c>
      <c r="X39" s="109"/>
      <c r="Y39" s="100"/>
      <c r="Z39" s="100"/>
    </row>
    <row r="40" spans="1:26" ht="15" x14ac:dyDescent="0.25">
      <c r="A40" t="s">
        <v>53</v>
      </c>
      <c r="B40" t="s">
        <v>58</v>
      </c>
      <c r="C40" s="11" t="s">
        <v>56</v>
      </c>
      <c r="D40" s="32"/>
      <c r="E40" s="20">
        <v>-3.0931730000000001E-2</v>
      </c>
      <c r="F40" s="21">
        <v>-2.677947E-2</v>
      </c>
      <c r="G40" s="73">
        <v>-3.2779000400000001E-2</v>
      </c>
      <c r="H40" s="21">
        <v>-3.2779012000000003E-2</v>
      </c>
      <c r="I40" s="21">
        <v>-3.2809563600000001E-2</v>
      </c>
      <c r="J40" s="21">
        <v>-2.3146730000000001E-2</v>
      </c>
      <c r="K40" s="21">
        <f>-0.025534442</f>
        <v>-2.5534442000000001E-2</v>
      </c>
      <c r="L40" s="21">
        <f>-0.042820309</f>
        <v>-4.2820309000000001E-2</v>
      </c>
      <c r="M40" s="21">
        <f>-0.03755833</f>
        <v>-3.7558330000000001E-2</v>
      </c>
      <c r="N40" s="18"/>
      <c r="O40" s="20">
        <v>-6.0070989999999998E-2</v>
      </c>
      <c r="P40" s="19">
        <v>-4.0516549999999998E-2</v>
      </c>
      <c r="Q40" s="73">
        <v>-3.8639049000000002E-2</v>
      </c>
      <c r="R40" s="21">
        <v>-3.8639063000000001E-2</v>
      </c>
      <c r="S40" s="21">
        <v>-3.8666220000000001E-2</v>
      </c>
      <c r="T40" s="21">
        <v>-2.3146730000000001E-2</v>
      </c>
      <c r="U40" s="21">
        <v>-2.5534442000000001E-2</v>
      </c>
      <c r="V40" s="21">
        <v>-4.2820309000000001E-2</v>
      </c>
      <c r="W40" s="87">
        <v>-3.7558330000000001E-2</v>
      </c>
      <c r="X40" s="109"/>
      <c r="Y40" s="100"/>
      <c r="Z40" s="100"/>
    </row>
    <row r="41" spans="1:26" ht="15.75" x14ac:dyDescent="0.3">
      <c r="C41" s="33" t="s">
        <v>73</v>
      </c>
      <c r="D41" s="34">
        <v>0.30533529999999998</v>
      </c>
      <c r="E41" s="35">
        <v>-5.1559679999999997E-2</v>
      </c>
      <c r="F41" s="36">
        <v>-5.0033290000000001E-2</v>
      </c>
      <c r="G41" s="78">
        <v>-4.7301739799999999E-2</v>
      </c>
      <c r="H41" s="36">
        <v>-4.7301790000000003E-2</v>
      </c>
      <c r="I41" s="36">
        <v>-4.7331129999999999E-2</v>
      </c>
      <c r="J41" s="36">
        <v>-2.020783E-2</v>
      </c>
      <c r="K41" s="36">
        <f>-0.023015151</f>
        <v>-2.3015151000000001E-2</v>
      </c>
      <c r="L41" s="36">
        <f>-0.042014524</f>
        <v>-4.2014523999999998E-2</v>
      </c>
      <c r="M41" s="36">
        <f>-0.049114659</f>
        <v>-4.9114658999999998E-2</v>
      </c>
      <c r="N41" s="18"/>
      <c r="O41" s="35">
        <v>-6.9793030000000006E-2</v>
      </c>
      <c r="P41" s="37">
        <v>-6.1882899999999998E-2</v>
      </c>
      <c r="Q41" s="78">
        <v>-5.57580835E-2</v>
      </c>
      <c r="R41" s="36">
        <v>-5.5758139999999998E-2</v>
      </c>
      <c r="S41" s="36">
        <v>-5.5784229999999997E-2</v>
      </c>
      <c r="T41" s="36">
        <v>-2.3641140000000001E-2</v>
      </c>
      <c r="U41" s="36">
        <v>-2.7436225000000002E-2</v>
      </c>
      <c r="V41" s="36">
        <v>-4.9716907999999997E-2</v>
      </c>
      <c r="W41" s="90">
        <v>-6.9477775000000006E-2</v>
      </c>
      <c r="X41" s="109"/>
      <c r="Y41" s="100"/>
      <c r="Z41" s="100"/>
    </row>
    <row r="42" spans="1:26" thickBot="1" x14ac:dyDescent="0.35">
      <c r="C42" s="26" t="s">
        <v>22</v>
      </c>
      <c r="D42" s="50">
        <f>D41+D37</f>
        <v>0.87460700000000002</v>
      </c>
      <c r="E42" s="51">
        <v>-0.1120958</v>
      </c>
      <c r="F42" s="52">
        <v>-6.6118499999999997E-2</v>
      </c>
      <c r="G42" s="74">
        <v>-0.118298</v>
      </c>
      <c r="H42" s="52">
        <v>-0.1182985</v>
      </c>
      <c r="I42" s="52">
        <v>-0.1183589</v>
      </c>
      <c r="J42" s="52">
        <v>-4.4648380000000001E-2</v>
      </c>
      <c r="K42" s="52">
        <f>-0.048951151</f>
        <v>-4.8951150999999998E-2</v>
      </c>
      <c r="L42" s="52">
        <f>-0.085179128</f>
        <v>-8.5179128000000007E-2</v>
      </c>
      <c r="M42" s="52">
        <f>-0.073354074</f>
        <v>-7.3354074000000005E-2</v>
      </c>
      <c r="N42" s="18"/>
      <c r="O42" s="51">
        <v>-0.21027960000000001</v>
      </c>
      <c r="P42" s="53">
        <v>-0.10631060000000001</v>
      </c>
      <c r="Q42" s="74">
        <v>-0.13944670000000001</v>
      </c>
      <c r="R42" s="52">
        <v>-0.1394473</v>
      </c>
      <c r="S42" s="52">
        <v>-0.13950090000000001</v>
      </c>
      <c r="T42" s="52">
        <v>-5.1809109999999998E-2</v>
      </c>
      <c r="U42" s="52">
        <v>-5.5510728000000002E-2</v>
      </c>
      <c r="V42" s="52">
        <v>-0.10005726500000001</v>
      </c>
      <c r="W42" s="94">
        <v>-0.12356227</v>
      </c>
      <c r="X42" s="110"/>
      <c r="Y42" s="101"/>
      <c r="Z42" s="101"/>
    </row>
    <row r="43" spans="1:26" x14ac:dyDescent="0.25">
      <c r="C43" s="54"/>
      <c r="D43" s="55"/>
      <c r="E43" s="55"/>
      <c r="F43" s="55"/>
      <c r="G43" s="79"/>
      <c r="H43" s="55"/>
      <c r="I43" s="55"/>
      <c r="J43" s="55"/>
      <c r="K43" s="55"/>
      <c r="L43" s="55"/>
      <c r="M43" s="55"/>
      <c r="N43" s="55"/>
      <c r="O43" s="55"/>
      <c r="P43" s="55"/>
      <c r="Q43" s="79"/>
      <c r="R43" s="55"/>
      <c r="S43" s="55"/>
      <c r="T43" s="55"/>
      <c r="U43" s="55"/>
      <c r="V43" s="55"/>
      <c r="W43" s="55"/>
    </row>
    <row r="44" spans="1:26" ht="15.75" thickBot="1" x14ac:dyDescent="0.3">
      <c r="A44" s="56" t="s">
        <v>59</v>
      </c>
      <c r="C44" s="54"/>
      <c r="D44" s="55"/>
      <c r="E44" s="55"/>
      <c r="F44" s="55"/>
      <c r="G44" s="79"/>
      <c r="H44" s="55"/>
      <c r="I44" s="55"/>
      <c r="J44" s="55"/>
      <c r="K44" s="55"/>
      <c r="L44" s="55"/>
      <c r="M44" s="55"/>
      <c r="N44" s="55"/>
      <c r="O44" s="57"/>
      <c r="P44" s="57"/>
      <c r="Q44" s="79"/>
      <c r="R44" s="55"/>
      <c r="S44" s="55"/>
      <c r="T44" s="55"/>
      <c r="U44" s="55"/>
      <c r="V44" s="55"/>
      <c r="W44" s="55"/>
      <c r="X44" s="106" t="s">
        <v>71</v>
      </c>
      <c r="Y44" s="98" t="s">
        <v>80</v>
      </c>
      <c r="Z44" s="98" t="s">
        <v>85</v>
      </c>
    </row>
    <row r="45" spans="1:26" ht="14.45" customHeight="1" x14ac:dyDescent="0.25">
      <c r="C45" s="58" t="s">
        <v>18</v>
      </c>
      <c r="D45" s="59">
        <v>-276232.5</v>
      </c>
      <c r="E45" s="60">
        <v>-390213.6</v>
      </c>
      <c r="F45" s="61">
        <v>-397407.4</v>
      </c>
      <c r="G45" s="80">
        <v>-52682.26</v>
      </c>
      <c r="H45" s="61">
        <v>-52682.26</v>
      </c>
      <c r="I45" s="61">
        <v>-52682.26</v>
      </c>
      <c r="J45" s="61">
        <v>-95973.39</v>
      </c>
      <c r="K45" s="61">
        <f>-109767.7</f>
        <v>-109767.7</v>
      </c>
      <c r="L45" s="61">
        <f>-27462.98</f>
        <v>-27462.98</v>
      </c>
      <c r="M45" s="61">
        <f>-29258.03</f>
        <v>-29258.03</v>
      </c>
      <c r="N45" s="18"/>
      <c r="O45" s="60">
        <v>-395103.1</v>
      </c>
      <c r="P45" s="61">
        <v>-397454.6</v>
      </c>
      <c r="Q45" s="80">
        <v>-62092.85</v>
      </c>
      <c r="R45" s="61">
        <v>-62092.85</v>
      </c>
      <c r="S45" s="61">
        <v>-62092.85</v>
      </c>
      <c r="T45" s="61">
        <v>-114153.84</v>
      </c>
      <c r="U45" s="61">
        <v>-135747.6</v>
      </c>
      <c r="V45" s="61">
        <v>-32439.35</v>
      </c>
      <c r="W45" s="95">
        <v>-33205.449999999997</v>
      </c>
      <c r="X45" s="106"/>
      <c r="Y45" s="98"/>
      <c r="Z45" s="98"/>
    </row>
    <row r="46" spans="1:26" ht="15" x14ac:dyDescent="0.25">
      <c r="C46" s="58" t="s">
        <v>23</v>
      </c>
      <c r="D46" s="62">
        <v>29678.66</v>
      </c>
      <c r="E46" s="63">
        <v>-376.9144</v>
      </c>
      <c r="F46" s="64">
        <v>-399.28449999999998</v>
      </c>
      <c r="G46" s="81">
        <v>-443.2817</v>
      </c>
      <c r="H46" s="64">
        <v>-443.2817</v>
      </c>
      <c r="I46" s="64">
        <v>-443.2817</v>
      </c>
      <c r="J46" s="64">
        <v>-442.11410000000001</v>
      </c>
      <c r="K46" s="64">
        <f>-419.8034</f>
        <v>-419.80340000000001</v>
      </c>
      <c r="L46" s="64">
        <f>-74.57258</f>
        <v>-74.572580000000002</v>
      </c>
      <c r="M46" s="64">
        <f>-72.93165</f>
        <v>-72.931650000000005</v>
      </c>
      <c r="N46" s="18"/>
      <c r="O46" s="63">
        <v>-451.40089999999998</v>
      </c>
      <c r="P46" s="64">
        <v>-516.1567</v>
      </c>
      <c r="Q46" s="81">
        <v>-514.88080000000002</v>
      </c>
      <c r="R46" s="64">
        <v>-514.88080000000002</v>
      </c>
      <c r="S46" s="64">
        <v>-514.88080000000002</v>
      </c>
      <c r="T46" s="64">
        <v>-527.77599999999995</v>
      </c>
      <c r="U46" s="64">
        <v>-511.7079</v>
      </c>
      <c r="V46" s="64">
        <v>-87.626400000000004</v>
      </c>
      <c r="W46" s="96">
        <v>-87.581299999999999</v>
      </c>
      <c r="X46" s="106"/>
      <c r="Y46" s="98"/>
      <c r="Z46" s="98"/>
    </row>
    <row r="47" spans="1:26" ht="15" x14ac:dyDescent="0.25">
      <c r="C47" s="58" t="s">
        <v>60</v>
      </c>
      <c r="D47" s="62">
        <v>51586.99</v>
      </c>
      <c r="E47" s="63">
        <v>-44488.54</v>
      </c>
      <c r="F47" s="64">
        <v>-22080.35</v>
      </c>
      <c r="G47" s="81">
        <v>-1283.146</v>
      </c>
      <c r="H47" s="64">
        <v>-1283.1579999999999</v>
      </c>
      <c r="I47" s="64">
        <v>-1277.6959999999999</v>
      </c>
      <c r="J47" s="64">
        <v>-14580.72</v>
      </c>
      <c r="K47" s="64">
        <f>-11600.63</f>
        <v>-11600.63</v>
      </c>
      <c r="L47" s="64">
        <f>-27110.77</f>
        <v>-27110.77</v>
      </c>
      <c r="M47" s="64">
        <f>-19704.94</f>
        <v>-19704.939999999999</v>
      </c>
      <c r="N47" s="18"/>
      <c r="O47" s="63">
        <v>-60912.69</v>
      </c>
      <c r="P47" s="64">
        <v>-31318.07</v>
      </c>
      <c r="Q47" s="81">
        <v>-1505.2449999999999</v>
      </c>
      <c r="R47" s="64">
        <v>-1505.26</v>
      </c>
      <c r="S47" s="64">
        <v>-1500.4059999999999</v>
      </c>
      <c r="T47" s="64">
        <v>-17412.38</v>
      </c>
      <c r="U47" s="64">
        <v>-14070.04</v>
      </c>
      <c r="V47" s="64">
        <v>-31638.67</v>
      </c>
      <c r="W47" s="96">
        <v>-24074.86</v>
      </c>
      <c r="X47" s="106"/>
      <c r="Y47" s="98"/>
      <c r="Z47" s="98"/>
    </row>
    <row r="48" spans="1:26" ht="15.75" thickBot="1" x14ac:dyDescent="0.3">
      <c r="C48" s="58" t="s">
        <v>61</v>
      </c>
      <c r="D48" s="18"/>
      <c r="E48" s="20">
        <v>-5.829906E-2</v>
      </c>
      <c r="F48" s="21">
        <v>-4.1821179999999999E-2</v>
      </c>
      <c r="G48" s="82"/>
      <c r="H48" s="21"/>
      <c r="I48" s="21"/>
      <c r="J48" s="21">
        <v>-3.2367989999999999E-2</v>
      </c>
      <c r="K48" s="21">
        <f>-0.03570661</f>
        <v>-3.570661E-2</v>
      </c>
      <c r="L48" s="21">
        <f>-0.0718287</f>
        <v>-7.1828699999999995E-2</v>
      </c>
      <c r="M48" s="21">
        <f>-0.06277878</f>
        <v>-6.2778780000000006E-2</v>
      </c>
      <c r="N48" s="18"/>
      <c r="O48" s="20">
        <v>-0.15679630999999999</v>
      </c>
      <c r="P48" s="21">
        <v>-8.3376210000000006E-2</v>
      </c>
      <c r="Q48" s="82"/>
      <c r="R48" s="21"/>
      <c r="S48" s="21"/>
      <c r="T48" s="21">
        <v>-3.800129E-2</v>
      </c>
      <c r="U48" s="21">
        <v>-4.092378E-2</v>
      </c>
      <c r="V48" s="21">
        <v>-8.602638E-2</v>
      </c>
      <c r="W48" s="87">
        <v>-0.1096215</v>
      </c>
      <c r="X48" s="106"/>
      <c r="Y48" s="98"/>
      <c r="Z48" s="98"/>
    </row>
    <row r="49" spans="3:26" ht="15.75" thickBot="1" x14ac:dyDescent="0.3">
      <c r="C49" s="58" t="s">
        <v>62</v>
      </c>
      <c r="D49" s="65">
        <v>-194966.9</v>
      </c>
      <c r="E49" s="66">
        <v>-406612.3</v>
      </c>
      <c r="F49" s="67">
        <v>-406612.3</v>
      </c>
      <c r="G49" s="83">
        <v>-76468.429999999993</v>
      </c>
      <c r="H49" s="67">
        <v>-76457.95</v>
      </c>
      <c r="I49" s="67">
        <v>-76457.919999999998</v>
      </c>
      <c r="J49" s="67">
        <v>-95731.76</v>
      </c>
      <c r="K49" s="67">
        <f>-107595.3</f>
        <v>-107595.3</v>
      </c>
      <c r="L49" s="67">
        <f>-37241.12</f>
        <v>-37241.120000000003</v>
      </c>
      <c r="M49" s="67">
        <f>-34931.24</f>
        <v>-34931.24</v>
      </c>
      <c r="N49" s="18"/>
      <c r="O49" s="66">
        <v>-414685.7</v>
      </c>
      <c r="P49" s="67">
        <v>-410316</v>
      </c>
      <c r="Q49" s="83">
        <v>-90130.61</v>
      </c>
      <c r="R49" s="67">
        <v>-90119.38</v>
      </c>
      <c r="S49" s="67">
        <v>-90119.360000000001</v>
      </c>
      <c r="T49" s="67">
        <v>-112779.65</v>
      </c>
      <c r="U49" s="67">
        <v>-134447.5</v>
      </c>
      <c r="V49" s="67">
        <v>-44656.76</v>
      </c>
      <c r="W49" s="97">
        <v>-40953.01</v>
      </c>
      <c r="X49" s="106"/>
      <c r="Y49" s="98"/>
      <c r="Z49" s="98"/>
    </row>
    <row r="50" spans="3:26" ht="15" x14ac:dyDescent="0.25">
      <c r="C50" s="54"/>
      <c r="D50" s="68"/>
      <c r="X50" s="106"/>
      <c r="Y50" s="98"/>
      <c r="Z50" s="98"/>
    </row>
    <row r="51" spans="3:26" ht="15" x14ac:dyDescent="0.25">
      <c r="C51" s="54"/>
      <c r="D51" s="69" t="s">
        <v>70</v>
      </c>
      <c r="E51" s="70"/>
      <c r="F51" s="70"/>
      <c r="G51" s="70"/>
      <c r="H51" s="70"/>
      <c r="I51" s="70"/>
      <c r="J51" s="70"/>
      <c r="K51" s="70"/>
      <c r="L51" s="70"/>
      <c r="M51" s="70"/>
      <c r="N51" s="70"/>
      <c r="O51" s="70"/>
      <c r="P51" s="70"/>
      <c r="Q51" s="70"/>
      <c r="R51" s="70"/>
      <c r="S51" s="70"/>
      <c r="T51" s="70"/>
      <c r="U51" s="70"/>
      <c r="V51" s="70"/>
      <c r="W51" s="70"/>
      <c r="X51" s="106"/>
      <c r="Y51" s="98"/>
      <c r="Z51" s="98"/>
    </row>
    <row r="52" spans="3:26" ht="15" x14ac:dyDescent="0.25">
      <c r="C52" s="54"/>
      <c r="D52" s="70"/>
      <c r="E52" s="70"/>
      <c r="F52" s="70"/>
      <c r="G52" s="70"/>
      <c r="H52" s="70"/>
      <c r="I52" s="70"/>
      <c r="J52" s="70"/>
      <c r="K52" s="70"/>
      <c r="L52" s="70"/>
      <c r="M52" s="70"/>
      <c r="N52" s="70"/>
      <c r="O52" s="70"/>
      <c r="P52" s="70"/>
      <c r="Q52" s="70"/>
      <c r="R52" s="70"/>
      <c r="S52" s="70"/>
      <c r="T52" s="70"/>
      <c r="U52" s="70"/>
      <c r="V52" s="70"/>
      <c r="W52" s="70"/>
      <c r="X52" s="106"/>
      <c r="Y52" s="98"/>
      <c r="Z52" s="98"/>
    </row>
    <row r="53" spans="3:26" ht="15" x14ac:dyDescent="0.25">
      <c r="C53" s="54"/>
      <c r="D53" s="70"/>
      <c r="E53" s="70"/>
      <c r="F53" s="70"/>
      <c r="G53" s="70"/>
      <c r="H53" s="70"/>
      <c r="I53" s="70"/>
      <c r="J53" s="70"/>
      <c r="K53" s="70"/>
      <c r="L53" s="70"/>
      <c r="M53" s="70"/>
      <c r="N53" s="70"/>
      <c r="O53" s="70"/>
      <c r="P53" s="70"/>
      <c r="Q53" s="70"/>
      <c r="R53" s="70"/>
      <c r="S53" s="70"/>
      <c r="T53" s="70"/>
      <c r="U53" s="70"/>
      <c r="V53" s="70"/>
      <c r="W53" s="70"/>
      <c r="X53" s="107" t="s">
        <v>72</v>
      </c>
    </row>
    <row r="54" spans="3:26" ht="15" x14ac:dyDescent="0.25">
      <c r="C54" s="54"/>
      <c r="D54" s="70"/>
      <c r="E54" s="70"/>
      <c r="F54" s="70"/>
      <c r="G54" s="70"/>
      <c r="H54" s="70"/>
      <c r="I54" s="70"/>
      <c r="J54" s="70"/>
      <c r="K54" s="70"/>
      <c r="L54" s="70"/>
      <c r="M54" s="70"/>
      <c r="N54" s="70"/>
      <c r="O54" s="70"/>
      <c r="P54" s="70"/>
      <c r="Q54" s="70"/>
      <c r="R54" s="70"/>
      <c r="S54" s="70"/>
      <c r="T54" s="70"/>
      <c r="U54" s="70"/>
      <c r="V54" s="70"/>
      <c r="W54" s="70"/>
      <c r="X54" s="107"/>
    </row>
    <row r="55" spans="3:26" ht="15" x14ac:dyDescent="0.25">
      <c r="C55" s="54"/>
      <c r="D55" s="70"/>
      <c r="E55" s="70"/>
      <c r="F55" s="70"/>
      <c r="G55" s="70"/>
      <c r="H55" s="70"/>
      <c r="I55" s="70"/>
      <c r="J55" s="70"/>
      <c r="K55" s="70"/>
      <c r="L55" s="70"/>
      <c r="M55" s="70"/>
      <c r="N55" s="70"/>
      <c r="O55" s="70"/>
      <c r="P55" s="70"/>
      <c r="Q55" s="70"/>
      <c r="R55" s="70"/>
      <c r="S55" s="70"/>
      <c r="T55" s="70"/>
      <c r="U55" s="70"/>
      <c r="V55" s="70"/>
      <c r="W55" s="70"/>
      <c r="X55" s="107"/>
    </row>
    <row r="56" spans="3:26" ht="15" x14ac:dyDescent="0.25">
      <c r="C56" s="54"/>
      <c r="D56" s="70"/>
      <c r="E56" s="70"/>
      <c r="F56" s="70"/>
      <c r="G56" s="70"/>
      <c r="H56" s="70"/>
      <c r="I56" s="70"/>
      <c r="J56" s="70"/>
      <c r="K56" s="70"/>
      <c r="L56" s="70"/>
      <c r="M56" s="70"/>
      <c r="N56" s="70"/>
      <c r="O56" s="70"/>
      <c r="P56" s="70"/>
      <c r="Q56" s="70"/>
      <c r="R56" s="70"/>
      <c r="S56" s="70"/>
      <c r="T56" s="70"/>
      <c r="U56" s="70"/>
      <c r="V56" s="70"/>
      <c r="W56" s="70"/>
      <c r="X56" s="107"/>
    </row>
    <row r="57" spans="3:26" ht="15" x14ac:dyDescent="0.25">
      <c r="C57" s="54"/>
      <c r="D57" s="70"/>
      <c r="E57" s="70"/>
      <c r="F57" s="70"/>
      <c r="G57" s="70"/>
      <c r="H57" s="70"/>
      <c r="I57" s="70"/>
      <c r="J57" s="70"/>
      <c r="K57" s="70"/>
      <c r="L57" s="70"/>
      <c r="M57" s="70"/>
      <c r="N57" s="70"/>
      <c r="O57" s="70"/>
      <c r="P57" s="70"/>
      <c r="Q57" s="70"/>
      <c r="R57" s="70"/>
      <c r="S57" s="70"/>
      <c r="T57" s="70"/>
      <c r="U57" s="70"/>
      <c r="V57" s="70"/>
      <c r="W57" s="70"/>
      <c r="X57" s="107"/>
    </row>
    <row r="58" spans="3:26" ht="15" x14ac:dyDescent="0.25">
      <c r="C58" s="54"/>
      <c r="D58" s="70"/>
      <c r="E58" s="70"/>
      <c r="F58" s="70"/>
      <c r="G58" s="70"/>
      <c r="H58" s="70"/>
      <c r="I58" s="70"/>
      <c r="J58" s="70"/>
      <c r="K58" s="70"/>
      <c r="L58" s="70"/>
      <c r="M58" s="70"/>
      <c r="N58" s="70"/>
      <c r="O58" s="70"/>
      <c r="P58" s="70"/>
      <c r="Q58" s="70"/>
      <c r="R58" s="70"/>
      <c r="S58" s="70"/>
      <c r="T58" s="70"/>
      <c r="U58" s="70"/>
      <c r="V58" s="70"/>
      <c r="W58" s="70"/>
      <c r="X58" s="107"/>
    </row>
    <row r="59" spans="3:26" ht="15" x14ac:dyDescent="0.25">
      <c r="D59" s="70"/>
      <c r="E59" s="70"/>
      <c r="F59" s="70"/>
      <c r="G59" s="70"/>
      <c r="H59" s="70"/>
      <c r="I59" s="70"/>
      <c r="J59" s="70"/>
      <c r="K59" s="70"/>
      <c r="L59" s="70"/>
      <c r="M59" s="70"/>
      <c r="N59" s="70"/>
      <c r="O59" s="70"/>
      <c r="P59" s="70"/>
      <c r="Q59" s="70"/>
      <c r="R59" s="70"/>
      <c r="S59" s="70"/>
      <c r="T59" s="70"/>
      <c r="U59" s="70"/>
      <c r="V59" s="70"/>
      <c r="W59" s="70"/>
      <c r="X59" s="107"/>
    </row>
    <row r="60" spans="3:26" x14ac:dyDescent="0.25">
      <c r="D60" s="70"/>
      <c r="E60" s="70"/>
      <c r="F60" s="70"/>
      <c r="G60" s="70"/>
      <c r="H60" s="70"/>
      <c r="I60" s="70"/>
      <c r="J60" s="70"/>
      <c r="K60" s="70"/>
      <c r="L60" s="70"/>
      <c r="M60" s="70"/>
      <c r="N60" s="70"/>
      <c r="O60" s="70"/>
      <c r="P60" s="70"/>
      <c r="Q60" s="70"/>
      <c r="R60" s="70"/>
      <c r="S60" s="70"/>
      <c r="T60" s="70"/>
      <c r="U60" s="70"/>
      <c r="V60" s="70"/>
      <c r="W60" s="70"/>
    </row>
    <row r="61" spans="3:26" x14ac:dyDescent="0.25">
      <c r="D61" s="70"/>
      <c r="E61" s="70"/>
      <c r="F61" s="70"/>
      <c r="G61" s="70"/>
      <c r="H61" s="70"/>
      <c r="I61" s="70"/>
      <c r="J61" s="70"/>
      <c r="K61" s="70"/>
      <c r="L61" s="70"/>
      <c r="M61" s="70"/>
      <c r="N61" s="70"/>
      <c r="O61" s="70"/>
      <c r="P61" s="70"/>
      <c r="Q61" s="70"/>
      <c r="R61" s="70"/>
      <c r="S61" s="70"/>
      <c r="T61" s="70"/>
      <c r="U61" s="70"/>
      <c r="V61" s="70"/>
      <c r="W61" s="70"/>
    </row>
    <row r="62" spans="3:26" x14ac:dyDescent="0.25">
      <c r="D62" s="70"/>
      <c r="E62" s="70"/>
      <c r="F62" s="70"/>
      <c r="G62" s="70"/>
      <c r="H62" s="70"/>
      <c r="I62" s="70"/>
      <c r="J62" s="70"/>
      <c r="K62" s="70"/>
      <c r="L62" s="70"/>
      <c r="M62" s="70"/>
      <c r="N62" s="70"/>
      <c r="O62" s="70"/>
      <c r="P62" s="70"/>
      <c r="Q62" s="70"/>
      <c r="R62" s="70"/>
      <c r="S62" s="70"/>
      <c r="T62" s="70"/>
      <c r="U62" s="70"/>
      <c r="V62" s="70"/>
      <c r="W62" s="70"/>
    </row>
  </sheetData>
  <mergeCells count="30">
    <mergeCell ref="Y44:Y52"/>
    <mergeCell ref="Y4:Y11"/>
    <mergeCell ref="Y12:Y18"/>
    <mergeCell ref="Y19:Y26"/>
    <mergeCell ref="Y27:Y33"/>
    <mergeCell ref="Y34:Y42"/>
    <mergeCell ref="D2:D3"/>
    <mergeCell ref="E2:F2"/>
    <mergeCell ref="H2:I2"/>
    <mergeCell ref="J2:M2"/>
    <mergeCell ref="O2:P2"/>
    <mergeCell ref="X8:X11"/>
    <mergeCell ref="X12:X18"/>
    <mergeCell ref="X19:X22"/>
    <mergeCell ref="X4:X7"/>
    <mergeCell ref="E1:M1"/>
    <mergeCell ref="O1:W1"/>
    <mergeCell ref="R2:S2"/>
    <mergeCell ref="T2:W2"/>
    <mergeCell ref="X44:X52"/>
    <mergeCell ref="X53:X59"/>
    <mergeCell ref="X23:X26"/>
    <mergeCell ref="X27:X33"/>
    <mergeCell ref="X34:X42"/>
    <mergeCell ref="Z44:Z52"/>
    <mergeCell ref="Z4:Z11"/>
    <mergeCell ref="Z12:Z18"/>
    <mergeCell ref="Z19:Z26"/>
    <mergeCell ref="Z27:Z33"/>
    <mergeCell ref="Z34:Z42"/>
  </mergeCells>
  <pageMargins left="0.7" right="0.7" top="0.75" bottom="0.75" header="0.511811023622047" footer="0.511811023622047"/>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Valores</vt:lpstr>
    </vt:vector>
  </TitlesOfParts>
  <Manager/>
  <Company>Ernst &amp; Young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Christian G Miranda Ruiz</dc:creator>
  <cp:keywords/>
  <dc:description/>
  <cp:lastModifiedBy>Familia</cp:lastModifiedBy>
  <cp:revision>0</cp:revision>
  <dcterms:created xsi:type="dcterms:W3CDTF">2018-09-24T03:00:47Z</dcterms:created>
  <dcterms:modified xsi:type="dcterms:W3CDTF">2022-05-30T02:54:25Z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18d4bebf-b620-4957-8d67-0d5d5ca779bf</vt:lpwstr>
  </property>
</Properties>
</file>