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Fase 5 - Deep Learning and Unstructured Data\"/>
    </mc:Choice>
  </mc:AlternateContent>
  <xr:revisionPtr revIDLastSave="0" documentId="13_ncr:1_{6A3C0F72-81C9-4D55-82CF-43A8F987D35A}" xr6:coauthVersionLast="47" xr6:coauthVersionMax="47" xr10:uidLastSave="{00000000-0000-0000-0000-000000000000}"/>
  <bookViews>
    <workbookView xWindow="-108" yWindow="-108" windowWidth="23256" windowHeight="12456" xr2:uid="{3F920523-79B3-4C63-9FFC-6AD8C6301B6E}"/>
  </bookViews>
  <sheets>
    <sheet name="Ativo" sheetId="3" r:id="rId1"/>
    <sheet name="Passivo" sheetId="2" r:id="rId2"/>
    <sheet name="DRE" sheetId="1" r:id="rId3"/>
    <sheet name="Balanços" sheetId="5" r:id="rId4"/>
  </sheets>
  <definedNames>
    <definedName name="_xlnm.Print_Area" localSheetId="3">Balanços!$B$2:$U$54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J41" i="5"/>
  <c r="I41" i="5"/>
  <c r="G41" i="5"/>
  <c r="F41" i="5"/>
  <c r="D41" i="5"/>
  <c r="J18" i="5"/>
  <c r="I18" i="5"/>
  <c r="G18" i="5"/>
  <c r="F18" i="5"/>
  <c r="D18" i="5"/>
  <c r="H5" i="5"/>
  <c r="H50" i="5" s="1"/>
  <c r="E5" i="5"/>
  <c r="E45" i="5" s="1"/>
  <c r="C44" i="5"/>
  <c r="M3" i="5"/>
  <c r="H22" i="5" l="1"/>
  <c r="H23" i="5"/>
  <c r="R23" i="5"/>
  <c r="H27" i="5"/>
  <c r="C47" i="5"/>
  <c r="D47" i="5" s="1"/>
  <c r="C8" i="5"/>
  <c r="C49" i="5"/>
  <c r="D49" i="5" s="1"/>
  <c r="H49" i="5"/>
  <c r="I49" i="5" s="1"/>
  <c r="H34" i="5"/>
  <c r="I34" i="5" s="1"/>
  <c r="R5" i="5"/>
  <c r="R13" i="5" s="1"/>
  <c r="H37" i="5"/>
  <c r="I37" i="5" s="1"/>
  <c r="H33" i="5"/>
  <c r="H21" i="5"/>
  <c r="I21" i="5" s="1"/>
  <c r="H51" i="5"/>
  <c r="I51" i="5" s="1"/>
  <c r="E39" i="5"/>
  <c r="F39" i="5" s="1"/>
  <c r="E14" i="5"/>
  <c r="E15" i="5"/>
  <c r="F15" i="5" s="1"/>
  <c r="E23" i="5"/>
  <c r="F23" i="5" s="1"/>
  <c r="E47" i="5"/>
  <c r="F47" i="5" s="1"/>
  <c r="E36" i="5"/>
  <c r="E50" i="5"/>
  <c r="F50" i="5" s="1"/>
  <c r="E43" i="5"/>
  <c r="F43" i="5" s="1"/>
  <c r="E28" i="5"/>
  <c r="G28" i="5" s="1"/>
  <c r="E9" i="5"/>
  <c r="E33" i="5"/>
  <c r="E10" i="5"/>
  <c r="F10" i="5" s="1"/>
  <c r="E34" i="5"/>
  <c r="F34" i="5" s="1"/>
  <c r="E51" i="5"/>
  <c r="F51" i="5" s="1"/>
  <c r="E22" i="5"/>
  <c r="J22" i="5" s="1"/>
  <c r="O5" i="5"/>
  <c r="E16" i="5"/>
  <c r="F16" i="5" s="1"/>
  <c r="E17" i="5"/>
  <c r="F17" i="5" s="1"/>
  <c r="E26" i="5"/>
  <c r="E8" i="5"/>
  <c r="E44" i="5"/>
  <c r="F44" i="5" s="1"/>
  <c r="E11" i="5"/>
  <c r="F11" i="5" s="1"/>
  <c r="E12" i="5"/>
  <c r="F12" i="5" s="1"/>
  <c r="E20" i="5"/>
  <c r="F20" i="5" s="1"/>
  <c r="E13" i="5"/>
  <c r="E21" i="5"/>
  <c r="F21" i="5" s="1"/>
  <c r="E38" i="5"/>
  <c r="C20" i="5"/>
  <c r="D44" i="5"/>
  <c r="R19" i="5"/>
  <c r="R11" i="5"/>
  <c r="R7" i="5"/>
  <c r="R17" i="5"/>
  <c r="I50" i="5"/>
  <c r="C11" i="5"/>
  <c r="C40" i="5"/>
  <c r="D40" i="5" s="1"/>
  <c r="H25" i="5"/>
  <c r="C35" i="5"/>
  <c r="C38" i="5"/>
  <c r="H40" i="5"/>
  <c r="F45" i="5"/>
  <c r="H20" i="5"/>
  <c r="C23" i="5"/>
  <c r="D23" i="5" s="1"/>
  <c r="H47" i="5"/>
  <c r="H45" i="5"/>
  <c r="C50" i="5"/>
  <c r="D50" i="5" s="1"/>
  <c r="C10" i="5"/>
  <c r="C33" i="5"/>
  <c r="C25" i="5"/>
  <c r="C26" i="5"/>
  <c r="H38" i="5"/>
  <c r="C36" i="5"/>
  <c r="C39" i="5"/>
  <c r="D39" i="5" s="1"/>
  <c r="C46" i="5"/>
  <c r="D46" i="5" s="1"/>
  <c r="J23" i="5"/>
  <c r="I23" i="5"/>
  <c r="C51" i="5"/>
  <c r="C45" i="5"/>
  <c r="D45" i="5" s="1"/>
  <c r="C27" i="5"/>
  <c r="M23" i="5"/>
  <c r="C22" i="5"/>
  <c r="C4" i="5"/>
  <c r="M38" i="5"/>
  <c r="C37" i="5"/>
  <c r="D37" i="5" s="1"/>
  <c r="C52" i="5"/>
  <c r="C43" i="5"/>
  <c r="C28" i="5"/>
  <c r="D28" i="5" s="1"/>
  <c r="C17" i="5"/>
  <c r="D17" i="5" s="1"/>
  <c r="C16" i="5"/>
  <c r="D16" i="5" s="1"/>
  <c r="C15" i="5"/>
  <c r="C14" i="5"/>
  <c r="C13" i="5"/>
  <c r="C12" i="5"/>
  <c r="C9" i="5"/>
  <c r="C21" i="5"/>
  <c r="D21" i="5" s="1"/>
  <c r="H52" i="5"/>
  <c r="H46" i="5"/>
  <c r="R38" i="5"/>
  <c r="H35" i="5"/>
  <c r="H4" i="5"/>
  <c r="H43" i="5"/>
  <c r="H28" i="5"/>
  <c r="H17" i="5"/>
  <c r="H16" i="5"/>
  <c r="H15" i="5"/>
  <c r="H14" i="5"/>
  <c r="H13" i="5"/>
  <c r="H12" i="5"/>
  <c r="H11" i="5"/>
  <c r="H10" i="5"/>
  <c r="H9" i="5"/>
  <c r="H8" i="5"/>
  <c r="H44" i="5"/>
  <c r="H26" i="5"/>
  <c r="C34" i="5"/>
  <c r="M5" i="5"/>
  <c r="H36" i="5"/>
  <c r="H39" i="5"/>
  <c r="E35" i="5"/>
  <c r="E46" i="5"/>
  <c r="E25" i="5"/>
  <c r="E40" i="5"/>
  <c r="E49" i="5"/>
  <c r="E4" i="5"/>
  <c r="O38" i="5"/>
  <c r="E52" i="5"/>
  <c r="O23" i="5"/>
  <c r="E37" i="5"/>
  <c r="J37" i="5" s="1"/>
  <c r="E27" i="5"/>
  <c r="J27" i="5" s="1"/>
  <c r="R8" i="5" l="1"/>
  <c r="J49" i="5"/>
  <c r="R10" i="5"/>
  <c r="R50" i="5" s="1"/>
  <c r="R16" i="5"/>
  <c r="R15" i="5"/>
  <c r="G47" i="5"/>
  <c r="G8" i="5"/>
  <c r="G39" i="5"/>
  <c r="J50" i="5"/>
  <c r="R44" i="5"/>
  <c r="O44" i="5"/>
  <c r="F28" i="5"/>
  <c r="G22" i="5"/>
  <c r="J21" i="5"/>
  <c r="G11" i="5"/>
  <c r="G16" i="5"/>
  <c r="G13" i="5"/>
  <c r="C19" i="5"/>
  <c r="E32" i="5"/>
  <c r="G33" i="5"/>
  <c r="J33" i="5"/>
  <c r="G50" i="5"/>
  <c r="D20" i="5"/>
  <c r="J51" i="5"/>
  <c r="G36" i="5"/>
  <c r="E7" i="5"/>
  <c r="E6" i="5" s="1"/>
  <c r="G44" i="5"/>
  <c r="E19" i="5"/>
  <c r="J34" i="5"/>
  <c r="G43" i="5"/>
  <c r="G9" i="5"/>
  <c r="O11" i="5"/>
  <c r="O17" i="5"/>
  <c r="T17" i="5" s="1"/>
  <c r="O16" i="5"/>
  <c r="O7" i="5"/>
  <c r="T7" i="5" s="1"/>
  <c r="O15" i="5"/>
  <c r="T15" i="5" s="1"/>
  <c r="O13" i="5"/>
  <c r="T13" i="5" s="1"/>
  <c r="O19" i="5"/>
  <c r="T19" i="5" s="1"/>
  <c r="O10" i="5"/>
  <c r="O51" i="5" s="1"/>
  <c r="O8" i="5"/>
  <c r="T8" i="5" s="1"/>
  <c r="G23" i="5"/>
  <c r="G21" i="5"/>
  <c r="O32" i="5"/>
  <c r="G20" i="5"/>
  <c r="R32" i="5"/>
  <c r="G40" i="5"/>
  <c r="F40" i="5"/>
  <c r="R53" i="5"/>
  <c r="R9" i="5"/>
  <c r="S15" i="5" s="1"/>
  <c r="J9" i="5"/>
  <c r="J10" i="5"/>
  <c r="R49" i="5"/>
  <c r="J36" i="5"/>
  <c r="C24" i="5"/>
  <c r="D25" i="5"/>
  <c r="J45" i="5"/>
  <c r="I45" i="5"/>
  <c r="G45" i="5"/>
  <c r="I17" i="5"/>
  <c r="J17" i="5"/>
  <c r="I28" i="5"/>
  <c r="J28" i="5"/>
  <c r="G52" i="5"/>
  <c r="I44" i="5"/>
  <c r="J44" i="5"/>
  <c r="G25" i="5"/>
  <c r="F25" i="5"/>
  <c r="E24" i="5"/>
  <c r="I25" i="5"/>
  <c r="J25" i="5"/>
  <c r="H24" i="5"/>
  <c r="I11" i="5"/>
  <c r="J11" i="5"/>
  <c r="G17" i="5"/>
  <c r="G12" i="5"/>
  <c r="I13" i="5"/>
  <c r="J13" i="5"/>
  <c r="C42" i="5"/>
  <c r="D42" i="5" s="1"/>
  <c r="D43" i="5"/>
  <c r="J14" i="5"/>
  <c r="C48" i="5"/>
  <c r="J47" i="5"/>
  <c r="I47" i="5"/>
  <c r="D34" i="5"/>
  <c r="G34" i="5"/>
  <c r="D10" i="5"/>
  <c r="J26" i="5"/>
  <c r="J46" i="5"/>
  <c r="I46" i="5"/>
  <c r="H7" i="5"/>
  <c r="H6" i="5" s="1"/>
  <c r="J8" i="5"/>
  <c r="J38" i="5"/>
  <c r="G46" i="5"/>
  <c r="F46" i="5"/>
  <c r="E42" i="5"/>
  <c r="J39" i="5"/>
  <c r="I39" i="5"/>
  <c r="G15" i="5"/>
  <c r="G14" i="5"/>
  <c r="D11" i="5"/>
  <c r="C7" i="5"/>
  <c r="G37" i="5"/>
  <c r="F37" i="5"/>
  <c r="M17" i="5"/>
  <c r="M16" i="5"/>
  <c r="M15" i="5"/>
  <c r="M13" i="5"/>
  <c r="M11" i="5"/>
  <c r="M10" i="5"/>
  <c r="M50" i="5" s="1"/>
  <c r="M8" i="5"/>
  <c r="M7" i="5"/>
  <c r="M49" i="5" s="1"/>
  <c r="M19" i="5"/>
  <c r="I43" i="5"/>
  <c r="J43" i="5"/>
  <c r="H42" i="5"/>
  <c r="I40" i="5"/>
  <c r="J40" i="5"/>
  <c r="J35" i="5"/>
  <c r="G49" i="5"/>
  <c r="F49" i="5"/>
  <c r="E48" i="5"/>
  <c r="H32" i="5"/>
  <c r="J52" i="5"/>
  <c r="G51" i="5"/>
  <c r="G35" i="5"/>
  <c r="G10" i="5"/>
  <c r="I12" i="5"/>
  <c r="J12" i="5"/>
  <c r="H48" i="5"/>
  <c r="I15" i="5"/>
  <c r="J15" i="5"/>
  <c r="G27" i="5"/>
  <c r="I16" i="5"/>
  <c r="J16" i="5"/>
  <c r="C32" i="5"/>
  <c r="M44" i="5"/>
  <c r="D33" i="5"/>
  <c r="J20" i="5"/>
  <c r="I20" i="5"/>
  <c r="H19" i="5"/>
  <c r="G38" i="5"/>
  <c r="G26" i="5"/>
  <c r="S16" i="5" l="1"/>
  <c r="G19" i="5"/>
  <c r="R51" i="5"/>
  <c r="T16" i="5"/>
  <c r="S19" i="5"/>
  <c r="M51" i="5"/>
  <c r="M52" i="5" s="1"/>
  <c r="O39" i="5"/>
  <c r="O41" i="5"/>
  <c r="O40" i="5"/>
  <c r="S10" i="5"/>
  <c r="O50" i="5"/>
  <c r="T10" i="5"/>
  <c r="S8" i="5"/>
  <c r="S17" i="5"/>
  <c r="O53" i="5"/>
  <c r="O49" i="5"/>
  <c r="O9" i="5"/>
  <c r="T9" i="5" s="1"/>
  <c r="O52" i="5"/>
  <c r="S11" i="5"/>
  <c r="S7" i="5"/>
  <c r="T11" i="5"/>
  <c r="E29" i="5"/>
  <c r="F26" i="5" s="1"/>
  <c r="S13" i="5"/>
  <c r="O28" i="5"/>
  <c r="M35" i="5"/>
  <c r="O24" i="5" s="1"/>
  <c r="G7" i="5"/>
  <c r="R28" i="5"/>
  <c r="O30" i="5"/>
  <c r="O29" i="5" s="1"/>
  <c r="M9" i="5"/>
  <c r="N17" i="5" s="1"/>
  <c r="M53" i="5"/>
  <c r="N7" i="5"/>
  <c r="Q7" i="5"/>
  <c r="N8" i="5"/>
  <c r="Q8" i="5"/>
  <c r="Q13" i="5"/>
  <c r="J24" i="5"/>
  <c r="R52" i="5"/>
  <c r="C53" i="5"/>
  <c r="M42" i="5" s="1"/>
  <c r="F42" i="5"/>
  <c r="G42" i="5"/>
  <c r="R41" i="5"/>
  <c r="R40" i="5"/>
  <c r="R39" i="5"/>
  <c r="H29" i="5"/>
  <c r="I19" i="5" s="1"/>
  <c r="R27" i="5"/>
  <c r="N11" i="5"/>
  <c r="Q11" i="5"/>
  <c r="N15" i="5"/>
  <c r="Q15" i="5"/>
  <c r="Q17" i="5"/>
  <c r="J7" i="5"/>
  <c r="Q19" i="5"/>
  <c r="H53" i="5"/>
  <c r="R42" i="5" s="1"/>
  <c r="J48" i="5"/>
  <c r="J19" i="5"/>
  <c r="E53" i="5"/>
  <c r="F48" i="5" s="1"/>
  <c r="G48" i="5"/>
  <c r="Q16" i="5"/>
  <c r="R30" i="5"/>
  <c r="R29" i="5" s="1"/>
  <c r="G24" i="5"/>
  <c r="J42" i="5"/>
  <c r="I42" i="5"/>
  <c r="C6" i="5"/>
  <c r="Q10" i="5"/>
  <c r="R12" i="5"/>
  <c r="S9" i="5"/>
  <c r="F14" i="5" l="1"/>
  <c r="N13" i="5"/>
  <c r="I48" i="5"/>
  <c r="F9" i="5"/>
  <c r="F22" i="5"/>
  <c r="F8" i="5"/>
  <c r="F7" i="5"/>
  <c r="F13" i="5"/>
  <c r="F27" i="5"/>
  <c r="F19" i="5"/>
  <c r="F29" i="5"/>
  <c r="E1" i="5"/>
  <c r="F24" i="5"/>
  <c r="P19" i="5"/>
  <c r="P17" i="5"/>
  <c r="P15" i="5"/>
  <c r="O12" i="5"/>
  <c r="P7" i="5"/>
  <c r="P16" i="5"/>
  <c r="P13" i="5"/>
  <c r="P9" i="5"/>
  <c r="P8" i="5"/>
  <c r="O42" i="5"/>
  <c r="P11" i="5"/>
  <c r="P10" i="5"/>
  <c r="N16" i="5"/>
  <c r="N19" i="5"/>
  <c r="R14" i="5"/>
  <c r="S12" i="5"/>
  <c r="I29" i="5"/>
  <c r="H1" i="5"/>
  <c r="J29" i="5"/>
  <c r="I22" i="5"/>
  <c r="I27" i="5"/>
  <c r="I10" i="5"/>
  <c r="I9" i="5"/>
  <c r="I14" i="5"/>
  <c r="I8" i="5"/>
  <c r="I26" i="5"/>
  <c r="D53" i="5"/>
  <c r="M43" i="5"/>
  <c r="D52" i="5"/>
  <c r="D36" i="5"/>
  <c r="D35" i="5"/>
  <c r="D38" i="5"/>
  <c r="D51" i="5"/>
  <c r="I7" i="5"/>
  <c r="D48" i="5"/>
  <c r="M41" i="5"/>
  <c r="C29" i="5"/>
  <c r="M40" i="5"/>
  <c r="O27" i="5"/>
  <c r="M39" i="5"/>
  <c r="J53" i="5"/>
  <c r="I53" i="5"/>
  <c r="I33" i="5"/>
  <c r="I52" i="5"/>
  <c r="I38" i="5"/>
  <c r="R43" i="5"/>
  <c r="I35" i="5"/>
  <c r="I36" i="5"/>
  <c r="M12" i="5"/>
  <c r="N9" i="5"/>
  <c r="Q9" i="5"/>
  <c r="N10" i="5"/>
  <c r="G53" i="5"/>
  <c r="F53" i="5"/>
  <c r="F33" i="5"/>
  <c r="F38" i="5"/>
  <c r="F36" i="5"/>
  <c r="O43" i="5"/>
  <c r="F35" i="5"/>
  <c r="F52" i="5"/>
  <c r="I24" i="5"/>
  <c r="O14" i="5" l="1"/>
  <c r="T14" i="5" s="1"/>
  <c r="P12" i="5"/>
  <c r="T12" i="5"/>
  <c r="M14" i="5"/>
  <c r="N12" i="5"/>
  <c r="Q12" i="5"/>
  <c r="D29" i="5"/>
  <c r="C1" i="5"/>
  <c r="D8" i="5"/>
  <c r="D22" i="5"/>
  <c r="D27" i="5"/>
  <c r="D26" i="5"/>
  <c r="D19" i="5"/>
  <c r="D15" i="5"/>
  <c r="D13" i="5"/>
  <c r="D12" i="5"/>
  <c r="D14" i="5"/>
  <c r="D9" i="5"/>
  <c r="D7" i="5"/>
  <c r="D24" i="5"/>
  <c r="G29" i="5"/>
  <c r="S14" i="5"/>
  <c r="R18" i="5"/>
  <c r="R46" i="5"/>
  <c r="R48" i="5"/>
  <c r="R47" i="5"/>
  <c r="O47" i="5" l="1"/>
  <c r="O18" i="5"/>
  <c r="T18" i="5" s="1"/>
  <c r="O48" i="5"/>
  <c r="P14" i="5"/>
  <c r="O46" i="5"/>
  <c r="R20" i="5"/>
  <c r="S18" i="5"/>
  <c r="M18" i="5"/>
  <c r="M48" i="5"/>
  <c r="M46" i="5"/>
  <c r="N14" i="5"/>
  <c r="M47" i="5"/>
  <c r="Q14" i="5"/>
  <c r="P18" i="5" l="1"/>
  <c r="O20" i="5"/>
  <c r="T20" i="5" s="1"/>
  <c r="N18" i="5"/>
  <c r="M20" i="5"/>
  <c r="Q18" i="5"/>
  <c r="R26" i="5"/>
  <c r="R25" i="5" s="1"/>
  <c r="R45" i="5"/>
  <c r="S20" i="5"/>
  <c r="R33" i="5"/>
  <c r="R31" i="5" s="1"/>
  <c r="P20" i="5" l="1"/>
  <c r="O26" i="5"/>
  <c r="O25" i="5" s="1"/>
  <c r="O45" i="5"/>
  <c r="O33" i="5"/>
  <c r="O31" i="5" s="1"/>
  <c r="N20" i="5"/>
  <c r="M45" i="5"/>
  <c r="Q20" i="5"/>
  <c r="R34" i="5"/>
  <c r="O34" i="5" l="1"/>
  <c r="O35" i="5" s="1"/>
  <c r="R24" i="5" s="1"/>
  <c r="R35" i="5" s="1"/>
</calcChain>
</file>

<file path=xl/sharedStrings.xml><?xml version="1.0" encoding="utf-8"?>
<sst xmlns="http://schemas.openxmlformats.org/spreadsheetml/2006/main" count="209" uniqueCount="99">
  <si>
    <t>código</t>
  </si>
  <si>
    <t>termo</t>
  </si>
  <si>
    <t/>
  </si>
  <si>
    <t>Outras Contas a Receber</t>
  </si>
  <si>
    <t>* Caixa</t>
  </si>
  <si>
    <t>*Aplicação</t>
  </si>
  <si>
    <t>Clientes</t>
  </si>
  <si>
    <t>Impostos a Recuperar</t>
  </si>
  <si>
    <t>Adiantamentos</t>
  </si>
  <si>
    <t>Consórcios - CP</t>
  </si>
  <si>
    <t>Desp. Exerc. Seguintes</t>
  </si>
  <si>
    <t>Estoques</t>
  </si>
  <si>
    <t>Mútuos - Partes relacionadas- CP</t>
  </si>
  <si>
    <t>Outros Créditos</t>
  </si>
  <si>
    <t>Mútuos - Partes relacionadas- LP</t>
  </si>
  <si>
    <t>Impostos Diferidos- LP</t>
  </si>
  <si>
    <t>Consórcios</t>
  </si>
  <si>
    <t>Imobilizado</t>
  </si>
  <si>
    <t>Investimentos</t>
  </si>
  <si>
    <t>Intangível</t>
  </si>
  <si>
    <t>(-) Depreciação</t>
  </si>
  <si>
    <t>Outras obrigações</t>
  </si>
  <si>
    <t>Instituições Financeiras</t>
  </si>
  <si>
    <t>Mútuos - Partes relacionadas</t>
  </si>
  <si>
    <t>Salários, Impostos e C.S.</t>
  </si>
  <si>
    <t>Fornecedores</t>
  </si>
  <si>
    <t>Impostos Parcelados</t>
  </si>
  <si>
    <t>Outras contas a pagar</t>
  </si>
  <si>
    <t>Instituições Financeiras- LP</t>
  </si>
  <si>
    <t>Impostos Parcelados- LP</t>
  </si>
  <si>
    <t>Consórcios- LP</t>
  </si>
  <si>
    <t>Reservas</t>
  </si>
  <si>
    <t>Capital Social</t>
  </si>
  <si>
    <t>Reavaliação Patrimonial</t>
  </si>
  <si>
    <t>Resultados Acumulados</t>
  </si>
  <si>
    <t>Despesas Operacionais</t>
  </si>
  <si>
    <t>Receita Bruta</t>
  </si>
  <si>
    <t>Deduções</t>
  </si>
  <si>
    <t>CPV/CMV</t>
  </si>
  <si>
    <t>Depreciação</t>
  </si>
  <si>
    <t>Resultado Não Operacional</t>
  </si>
  <si>
    <t>Despesas Financeiras</t>
  </si>
  <si>
    <t>Receitas Financeiras</t>
  </si>
  <si>
    <t>IR / CSSL</t>
  </si>
  <si>
    <t>Diferença  Ativo - Passivo</t>
  </si>
  <si>
    <t>BALANÇO PATRIMONIAL</t>
  </si>
  <si>
    <t>DRE - DEMONSTRATIVO DE RESULTADOS DO EXERCÍCIO</t>
  </si>
  <si>
    <t>MR$</t>
  </si>
  <si>
    <t>Nome da Empresa</t>
  </si>
  <si>
    <t>Número de meses do DRE</t>
  </si>
  <si>
    <t>ATIVO CIRCULANTE</t>
  </si>
  <si>
    <t>A.V.</t>
  </si>
  <si>
    <t>A.H.</t>
  </si>
  <si>
    <t>A.V</t>
  </si>
  <si>
    <t>Disponibilidades</t>
  </si>
  <si>
    <t>Receita Líquida</t>
  </si>
  <si>
    <t>Lucro Bruto</t>
  </si>
  <si>
    <t>Resultado Operacional</t>
  </si>
  <si>
    <t>Lucro antes do IR / CSLL</t>
  </si>
  <si>
    <t>REALIZÁVEL LP</t>
  </si>
  <si>
    <t>Lucro Líquido</t>
  </si>
  <si>
    <t>FLUXO DE CAIXA</t>
  </si>
  <si>
    <t>PERMANENTE</t>
  </si>
  <si>
    <t>Saldo Inicial</t>
  </si>
  <si>
    <t>Fluxo Operacional</t>
  </si>
  <si>
    <t>Lucro Líquido Ajustado</t>
  </si>
  <si>
    <t>Var. Ativos Operacionais</t>
  </si>
  <si>
    <t>Var. Passivos Operacionais</t>
  </si>
  <si>
    <t>TOTAL DO ATIVO</t>
  </si>
  <si>
    <t>Fluxo de Investimentos</t>
  </si>
  <si>
    <t>Var. Ativo Permanente</t>
  </si>
  <si>
    <t>Fluxo de Financiamentos</t>
  </si>
  <si>
    <t>PASSIVO CIRCULANTE</t>
  </si>
  <si>
    <t>Var. Instituições Financeiras</t>
  </si>
  <si>
    <t>Var. Patr. Líquido</t>
  </si>
  <si>
    <t>Geração (Consumo) de caixa</t>
  </si>
  <si>
    <t>Saldo final período</t>
  </si>
  <si>
    <t>INDICADORES</t>
  </si>
  <si>
    <t>Liquidez Geral</t>
  </si>
  <si>
    <t>Liquidez Corrente</t>
  </si>
  <si>
    <t>Liquidez Seca</t>
  </si>
  <si>
    <t>EXIGÍVEL LP</t>
  </si>
  <si>
    <t>Endividamento Geral</t>
  </si>
  <si>
    <t>Endividamento Oneroso</t>
  </si>
  <si>
    <t>Perfil do Endividamento Oneroso</t>
  </si>
  <si>
    <t>Rentabilidade (R.O.E.)</t>
  </si>
  <si>
    <t>EBITDA (% s/ rec. Líquida)</t>
  </si>
  <si>
    <t>Dívida Líquida / EBITDA</t>
  </si>
  <si>
    <t>PATRIMONIO LIQUIDO</t>
  </si>
  <si>
    <t>EBIT / Despesas Financeiras</t>
  </si>
  <si>
    <t>Pzo Méd de Recebimento (PMR)</t>
  </si>
  <si>
    <t>Pzo Méd de Pagamento (PMP)</t>
  </si>
  <si>
    <t>Pzo Méd de Estoque (PME)</t>
  </si>
  <si>
    <t>Ciclo Financeiro</t>
  </si>
  <si>
    <t>TOTAL DO PASSIVO</t>
  </si>
  <si>
    <t>RECEITA MÉDIA MENSAL BRUTA</t>
  </si>
  <si>
    <t>NOTAS EXPLICATIVAS - BALANÇO PATRIMONIAL</t>
  </si>
  <si>
    <t>NOTAS EXPLICATIVAS - DRE, DFC E INDICADORES</t>
  </si>
  <si>
    <t>Planilhado / Conferido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</si>
</sst>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5" formatCode="_(* #,##0.00_);_(* \(#,##0.00\);_(* &quot;-&quot;??_);_(@_)"/>
    <numFmt numFmtId="166" formatCode="0\ &quot;dia(s)&quot;"/>
    <numFmt numFmtId="167" formatCode="_-* #,##0_-;\-* #,##0_-;_-* &quot;-&quot;??_-;_-@_-"/>
    <numFmt numFmtId="168" formatCode="#,##0.00;\(#,##0.00\)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3" tint="-0.499984740745262"/>
      <name val="Calibri"/>
      <family val="2"/>
      <scheme val="minor"/>
    </font>
    <font>
      <i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/>
      </left>
      <right/>
      <top style="thin">
        <color theme="0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 style="double">
        <color indexed="64"/>
      </bottom>
      <diagonal/>
    </border>
    <border>
      <left/>
      <right/>
      <top style="thin">
        <color theme="0"/>
      </top>
      <bottom style="double">
        <color indexed="64"/>
      </bottom>
      <diagonal/>
    </border>
    <border>
      <left style="thin">
        <color theme="2" tint="-0.249977111117893"/>
      </left>
      <right/>
      <top style="double">
        <color indexed="64"/>
      </top>
      <bottom style="thin">
        <color theme="2" tint="-0.249977111117893"/>
      </bottom>
      <diagonal/>
    </border>
    <border>
      <left/>
      <right/>
      <top style="double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double">
        <color indexed="64"/>
      </top>
      <bottom style="thin">
        <color theme="2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double">
        <color indexed="64"/>
      </bottom>
      <diagonal/>
    </border>
    <border>
      <left/>
      <right style="thin">
        <color theme="0"/>
      </right>
      <top/>
      <bottom style="double">
        <color indexed="64"/>
      </bottom>
      <diagonal/>
    </border>
    <border>
      <left style="thin">
        <color theme="2" tint="-0.249977111117893"/>
      </left>
      <right/>
      <top style="thin">
        <color theme="0"/>
      </top>
      <bottom style="thin">
        <color theme="0"/>
      </bottom>
      <diagonal/>
    </border>
    <border>
      <left/>
      <right style="thin">
        <color theme="2" tint="-0.249977111117893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0.249977111117893"/>
      </left>
      <right/>
      <top style="thin">
        <color theme="0"/>
      </top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0"/>
      </top>
      <bottom style="thin">
        <color theme="2" tint="-0.249977111117893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9" fontId="1" fillId="0" borderId="0"/>
    <xf numFmtId="165" fontId="2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3" fillId="4" borderId="7" xfId="1" applyFont="1" applyFill="1" applyBorder="1" applyAlignment="1">
      <alignment vertical="center"/>
    </xf>
    <xf numFmtId="3" fontId="3" fillId="5" borderId="7" xfId="2" applyNumberFormat="1" applyFont="1" applyFill="1" applyBorder="1" applyAlignment="1">
      <alignment horizontal="left" vertical="center" indent="1"/>
    </xf>
    <xf numFmtId="3" fontId="4" fillId="0" borderId="7" xfId="2" applyNumberFormat="1" applyFont="1" applyBorder="1" applyAlignment="1">
      <alignment horizontal="left" vertical="center" indent="1"/>
    </xf>
    <xf numFmtId="3" fontId="3" fillId="0" borderId="7" xfId="2" applyNumberFormat="1" applyFont="1" applyBorder="1" applyAlignment="1">
      <alignment horizontal="left" vertical="center" indent="1"/>
    </xf>
    <xf numFmtId="3" fontId="3" fillId="0" borderId="7" xfId="2" applyNumberFormat="1" applyFont="1" applyBorder="1" applyAlignment="1" applyProtection="1">
      <alignment horizontal="left" vertical="center" indent="1"/>
      <protection locked="0"/>
    </xf>
    <xf numFmtId="3" fontId="3" fillId="0" borderId="7" xfId="2" applyNumberFormat="1" applyFont="1" applyBorder="1" applyAlignment="1" applyProtection="1">
      <alignment horizontal="left" vertical="center"/>
      <protection locked="0"/>
    </xf>
    <xf numFmtId="0" fontId="3" fillId="4" borderId="7" xfId="1" applyFont="1" applyFill="1" applyBorder="1" applyAlignment="1">
      <alignment horizontal="center" vertical="center"/>
    </xf>
    <xf numFmtId="9" fontId="3" fillId="5" borderId="7" xfId="3" applyFont="1" applyFill="1" applyBorder="1" applyAlignment="1">
      <alignment horizontal="center" vertical="center"/>
    </xf>
    <xf numFmtId="9" fontId="3" fillId="0" borderId="7" xfId="3" applyFont="1" applyBorder="1" applyAlignment="1" applyProtection="1">
      <alignment horizontal="center" vertical="center"/>
      <protection locked="0"/>
    </xf>
    <xf numFmtId="9" fontId="3" fillId="4" borderId="7" xfId="3" applyFont="1" applyFill="1" applyBorder="1" applyAlignment="1">
      <alignment horizontal="center" vertical="center"/>
    </xf>
    <xf numFmtId="167" fontId="3" fillId="4" borderId="7" xfId="1" applyNumberFormat="1" applyFont="1" applyFill="1" applyBorder="1" applyAlignment="1">
      <alignment horizontal="center" vertical="center"/>
    </xf>
    <xf numFmtId="167" fontId="3" fillId="5" borderId="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0" xfId="0" applyFont="1"/>
    <xf numFmtId="0" fontId="3" fillId="4" borderId="7" xfId="0" applyFont="1" applyFill="1" applyBorder="1"/>
    <xf numFmtId="2" fontId="3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9" fontId="3" fillId="0" borderId="7" xfId="3" applyFont="1" applyBorder="1" applyAlignment="1">
      <alignment horizontal="center"/>
    </xf>
    <xf numFmtId="0" fontId="5" fillId="0" borderId="7" xfId="0" applyFont="1" applyBorder="1"/>
    <xf numFmtId="0" fontId="4" fillId="0" borderId="7" xfId="0" applyFont="1" applyBorder="1"/>
    <xf numFmtId="0" fontId="6" fillId="0" borderId="7" xfId="0" applyFont="1" applyBorder="1"/>
    <xf numFmtId="0" fontId="6" fillId="0" borderId="10" xfId="0" applyFont="1" applyBorder="1"/>
    <xf numFmtId="167" fontId="3" fillId="0" borderId="10" xfId="0" applyNumberFormat="1" applyFont="1" applyBorder="1" applyAlignment="1">
      <alignment horizontal="center"/>
    </xf>
    <xf numFmtId="9" fontId="3" fillId="0" borderId="10" xfId="3" applyFont="1" applyBorder="1" applyAlignment="1">
      <alignment horizontal="center"/>
    </xf>
    <xf numFmtId="0" fontId="3" fillId="0" borderId="5" xfId="0" applyFont="1" applyBorder="1"/>
    <xf numFmtId="167" fontId="3" fillId="4" borderId="7" xfId="0" applyNumberFormat="1" applyFont="1" applyFill="1" applyBorder="1" applyAlignment="1">
      <alignment horizontal="center"/>
    </xf>
    <xf numFmtId="9" fontId="3" fillId="4" borderId="7" xfId="3" applyFont="1" applyFill="1" applyBorder="1" applyAlignment="1">
      <alignment horizontal="center"/>
    </xf>
    <xf numFmtId="0" fontId="6" fillId="2" borderId="7" xfId="0" applyFont="1" applyFill="1" applyBorder="1"/>
    <xf numFmtId="0" fontId="3" fillId="0" borderId="10" xfId="0" applyFont="1" applyBorder="1"/>
    <xf numFmtId="0" fontId="5" fillId="0" borderId="5" xfId="0" applyFont="1" applyBorder="1"/>
    <xf numFmtId="167" fontId="5" fillId="0" borderId="5" xfId="0" applyNumberFormat="1" applyFont="1" applyBorder="1" applyAlignment="1">
      <alignment horizontal="center"/>
    </xf>
    <xf numFmtId="9" fontId="5" fillId="0" borderId="5" xfId="3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7" xfId="0" applyFont="1" applyFill="1" applyBorder="1"/>
    <xf numFmtId="0" fontId="3" fillId="0" borderId="6" xfId="0" applyFont="1" applyBorder="1"/>
    <xf numFmtId="0" fontId="3" fillId="0" borderId="8" xfId="0" applyFont="1" applyBorder="1"/>
    <xf numFmtId="0" fontId="3" fillId="0" borderId="12" xfId="0" applyFont="1" applyBorder="1"/>
    <xf numFmtId="0" fontId="3" fillId="0" borderId="2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7" xfId="0" applyFont="1" applyBorder="1"/>
    <xf numFmtId="0" fontId="7" fillId="0" borderId="7" xfId="0" applyFont="1" applyBorder="1"/>
    <xf numFmtId="167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7" xfId="0" applyFont="1" applyBorder="1" applyAlignment="1">
      <alignment horizontal="center"/>
    </xf>
    <xf numFmtId="0" fontId="9" fillId="7" borderId="7" xfId="2" applyFont="1" applyFill="1" applyBorder="1" applyAlignment="1" applyProtection="1">
      <alignment horizontal="center" vertical="center"/>
      <protection locked="0"/>
    </xf>
    <xf numFmtId="0" fontId="9" fillId="7" borderId="7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/>
    <xf numFmtId="167" fontId="5" fillId="2" borderId="5" xfId="0" applyNumberFormat="1" applyFont="1" applyFill="1" applyBorder="1" applyAlignment="1">
      <alignment horizontal="center"/>
    </xf>
    <xf numFmtId="9" fontId="5" fillId="2" borderId="5" xfId="3" applyFont="1" applyFill="1" applyBorder="1" applyAlignment="1">
      <alignment horizontal="center"/>
    </xf>
    <xf numFmtId="0" fontId="5" fillId="2" borderId="13" xfId="0" applyFont="1" applyFill="1" applyBorder="1"/>
    <xf numFmtId="0" fontId="10" fillId="0" borderId="0" xfId="0" applyFont="1"/>
    <xf numFmtId="0" fontId="10" fillId="0" borderId="1" xfId="0" applyFont="1" applyBorder="1"/>
    <xf numFmtId="44" fontId="0" fillId="2" borderId="4" xfId="5" applyFont="1" applyFill="1" applyBorder="1"/>
    <xf numFmtId="44" fontId="0" fillId="2" borderId="5" xfId="5" applyFont="1" applyFill="1" applyBorder="1"/>
    <xf numFmtId="44" fontId="0" fillId="2" borderId="6" xfId="5" applyFont="1" applyFill="1" applyBorder="1"/>
    <xf numFmtId="44" fontId="0" fillId="2" borderId="7" xfId="5" applyFont="1" applyFill="1" applyBorder="1"/>
    <xf numFmtId="44" fontId="0" fillId="2" borderId="4" xfId="5" applyFont="1" applyFill="1" applyBorder="1" applyAlignment="1">
      <alignment horizontal="center"/>
    </xf>
    <xf numFmtId="44" fontId="0" fillId="2" borderId="5" xfId="5" applyFont="1" applyFill="1" applyBorder="1" applyAlignment="1">
      <alignment horizontal="center"/>
    </xf>
    <xf numFmtId="44" fontId="0" fillId="2" borderId="6" xfId="5" applyFont="1" applyFill="1" applyBorder="1" applyAlignment="1">
      <alignment horizontal="center"/>
    </xf>
    <xf numFmtId="44" fontId="0" fillId="2" borderId="7" xfId="5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67" fontId="3" fillId="0" borderId="8" xfId="0" applyNumberFormat="1" applyFont="1" applyBorder="1"/>
    <xf numFmtId="167" fontId="3" fillId="0" borderId="6" xfId="0" applyNumberFormat="1" applyFont="1" applyBorder="1"/>
    <xf numFmtId="167" fontId="3" fillId="2" borderId="8" xfId="0" applyNumberFormat="1" applyFont="1" applyFill="1" applyBorder="1"/>
    <xf numFmtId="167" fontId="3" fillId="2" borderId="6" xfId="0" applyNumberFormat="1" applyFont="1" applyFill="1" applyBorder="1"/>
    <xf numFmtId="1" fontId="3" fillId="2" borderId="17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1" fontId="3" fillId="2" borderId="19" xfId="0" applyNumberFormat="1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68" fontId="3" fillId="0" borderId="8" xfId="0" applyNumberFormat="1" applyFont="1" applyBorder="1" applyAlignment="1">
      <alignment horizontal="center"/>
    </xf>
    <xf numFmtId="168" fontId="3" fillId="0" borderId="9" xfId="0" applyNumberFormat="1" applyFont="1" applyBorder="1" applyAlignment="1">
      <alignment horizontal="center"/>
    </xf>
    <xf numFmtId="168" fontId="3" fillId="0" borderId="6" xfId="0" applyNumberFormat="1" applyFont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6" borderId="8" xfId="0" applyNumberFormat="1" applyFont="1" applyFill="1" applyBorder="1" applyAlignment="1">
      <alignment horizontal="center"/>
    </xf>
    <xf numFmtId="10" fontId="3" fillId="6" borderId="9" xfId="0" applyNumberFormat="1" applyFont="1" applyFill="1" applyBorder="1" applyAlignment="1">
      <alignment horizontal="center"/>
    </xf>
    <xf numFmtId="10" fontId="3" fillId="6" borderId="6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66" fontId="3" fillId="0" borderId="21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center"/>
    </xf>
    <xf numFmtId="167" fontId="3" fillId="0" borderId="9" xfId="0" applyNumberFormat="1" applyFont="1" applyBorder="1"/>
    <xf numFmtId="167" fontId="3" fillId="2" borderId="9" xfId="0" applyNumberFormat="1" applyFont="1" applyFill="1" applyBorder="1"/>
    <xf numFmtId="167" fontId="3" fillId="0" borderId="14" xfId="0" applyNumberFormat="1" applyFont="1" applyBorder="1"/>
    <xf numFmtId="167" fontId="3" fillId="0" borderId="16" xfId="0" applyNumberFormat="1" applyFont="1" applyBorder="1"/>
    <xf numFmtId="167" fontId="3" fillId="0" borderId="15" xfId="0" applyNumberFormat="1" applyFont="1" applyBorder="1"/>
    <xf numFmtId="0" fontId="3" fillId="0" borderId="2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1" fontId="3" fillId="0" borderId="7" xfId="0" applyNumberFormat="1" applyFont="1" applyBorder="1"/>
    <xf numFmtId="1" fontId="3" fillId="2" borderId="7" xfId="0" applyNumberFormat="1" applyFont="1" applyFill="1" applyBorder="1"/>
    <xf numFmtId="1" fontId="5" fillId="2" borderId="8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1" fontId="3" fillId="0" borderId="0" xfId="0" applyNumberFormat="1" applyFont="1"/>
    <xf numFmtId="1" fontId="3" fillId="2" borderId="8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</cellXfs>
  <cellStyles count="6">
    <cellStyle name="Moeda" xfId="5" builtinId="4"/>
    <cellStyle name="Normal" xfId="0" builtinId="0"/>
    <cellStyle name="Normal 3 2" xfId="1" xr:uid="{00000000-0005-0000-0000-000001000000}"/>
    <cellStyle name="Normal_FAC TILIBRA" xfId="2" xr:uid="{00000000-0005-0000-0000-000002000000}"/>
    <cellStyle name="Porcentagem" xfId="3" builtinId="5"/>
    <cellStyle name="Separador de milhares 2 2" xfId="4" xr:uid="{00000000-0005-0000-0000-000004000000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3C3C-0C94-43CC-BE09-E5A33C743144}">
  <dimension ref="A1:E19"/>
  <sheetViews>
    <sheetView tabSelected="1" workbookViewId="0">
      <selection activeCell="C1" sqref="C1"/>
    </sheetView>
  </sheetViews>
  <sheetFormatPr defaultRowHeight="14.4" x14ac:dyDescent="0.3"/>
  <cols>
    <col min="1" max="1" width="6.6640625" bestFit="1" customWidth="1"/>
    <col min="2" max="2" width="28.33203125" bestFit="1" customWidth="1"/>
    <col min="3" max="5" width="22" bestFit="1" customWidth="1"/>
  </cols>
  <sheetData>
    <row r="1" spans="1:5" x14ac:dyDescent="0.3">
      <c r="A1" s="60" t="s">
        <v>0</v>
      </c>
      <c r="B1" s="61" t="s">
        <v>1</v>
      </c>
      <c r="C1" s="70">
        <v>2021</v>
      </c>
      <c r="D1" s="71">
        <v>2022</v>
      </c>
      <c r="E1" s="71">
        <v>2023</v>
      </c>
    </row>
    <row r="2" spans="1:5" x14ac:dyDescent="0.3">
      <c r="A2" t="s">
        <v>2</v>
      </c>
      <c r="B2" s="1" t="s">
        <v>3</v>
      </c>
      <c r="C2" s="62">
        <v>87869.62</v>
      </c>
      <c r="D2" s="63">
        <v>0</v>
      </c>
      <c r="E2" s="63">
        <v>0</v>
      </c>
    </row>
    <row r="3" spans="1:5" x14ac:dyDescent="0.3">
      <c r="A3" t="s">
        <v>2</v>
      </c>
      <c r="B3" s="1" t="s">
        <v>4</v>
      </c>
      <c r="C3" s="62">
        <v>111</v>
      </c>
      <c r="D3" s="63">
        <v>11</v>
      </c>
      <c r="E3" s="63">
        <v>11</v>
      </c>
    </row>
    <row r="4" spans="1:5" x14ac:dyDescent="0.3">
      <c r="A4" t="s">
        <v>2</v>
      </c>
      <c r="B4" s="1" t="s">
        <v>5</v>
      </c>
      <c r="C4" s="62">
        <v>512687.87</v>
      </c>
      <c r="D4" s="63">
        <v>476516.38</v>
      </c>
      <c r="E4" s="63">
        <v>2067673.68</v>
      </c>
    </row>
    <row r="5" spans="1:5" x14ac:dyDescent="0.3">
      <c r="A5" t="s">
        <v>2</v>
      </c>
      <c r="B5" s="1" t="s">
        <v>6</v>
      </c>
      <c r="C5" s="62">
        <v>0</v>
      </c>
      <c r="D5" s="63">
        <v>0</v>
      </c>
      <c r="E5" s="63">
        <v>534670.48</v>
      </c>
    </row>
    <row r="6" spans="1:5" x14ac:dyDescent="0.3">
      <c r="A6" t="s">
        <v>2</v>
      </c>
      <c r="B6" s="1" t="s">
        <v>7</v>
      </c>
      <c r="C6" s="62">
        <v>24.65</v>
      </c>
      <c r="D6" s="63">
        <v>0</v>
      </c>
      <c r="E6" s="63">
        <v>0</v>
      </c>
    </row>
    <row r="7" spans="1:5" x14ac:dyDescent="0.3">
      <c r="A7" t="s">
        <v>2</v>
      </c>
      <c r="B7" s="1" t="s">
        <v>8</v>
      </c>
      <c r="C7" s="62">
        <v>1584.18</v>
      </c>
      <c r="D7" s="63">
        <v>215.27</v>
      </c>
      <c r="E7" s="63">
        <v>0</v>
      </c>
    </row>
    <row r="8" spans="1:5" x14ac:dyDescent="0.3">
      <c r="A8" t="s">
        <v>2</v>
      </c>
      <c r="B8" s="1" t="s">
        <v>9</v>
      </c>
      <c r="C8" s="62">
        <v>0</v>
      </c>
      <c r="D8" s="63">
        <v>0</v>
      </c>
      <c r="E8" s="63">
        <v>0</v>
      </c>
    </row>
    <row r="9" spans="1:5" x14ac:dyDescent="0.3">
      <c r="A9" t="s">
        <v>2</v>
      </c>
      <c r="B9" s="1" t="s">
        <v>10</v>
      </c>
      <c r="C9" s="62">
        <v>2363.4299999999998</v>
      </c>
      <c r="D9" s="63">
        <v>5151.08</v>
      </c>
      <c r="E9" s="63">
        <v>7310.33</v>
      </c>
    </row>
    <row r="10" spans="1:5" x14ac:dyDescent="0.3">
      <c r="A10" t="s">
        <v>2</v>
      </c>
      <c r="B10" s="1" t="s">
        <v>11</v>
      </c>
      <c r="C10" s="62">
        <v>0</v>
      </c>
      <c r="D10" s="63">
        <v>0</v>
      </c>
      <c r="E10" s="63">
        <v>0</v>
      </c>
    </row>
    <row r="11" spans="1:5" x14ac:dyDescent="0.3">
      <c r="A11" t="s">
        <v>2</v>
      </c>
      <c r="B11" s="1" t="s">
        <v>12</v>
      </c>
      <c r="C11" s="62">
        <v>0</v>
      </c>
      <c r="D11" s="63">
        <v>0</v>
      </c>
      <c r="E11" s="63">
        <v>0</v>
      </c>
    </row>
    <row r="12" spans="1:5" x14ac:dyDescent="0.3">
      <c r="A12" t="s">
        <v>2</v>
      </c>
      <c r="B12" s="1" t="s">
        <v>13</v>
      </c>
      <c r="C12" s="62">
        <v>3000</v>
      </c>
      <c r="D12" s="63">
        <v>9400</v>
      </c>
      <c r="E12" s="63">
        <v>9400</v>
      </c>
    </row>
    <row r="13" spans="1:5" x14ac:dyDescent="0.3">
      <c r="A13" t="s">
        <v>2</v>
      </c>
      <c r="B13" s="1" t="s">
        <v>14</v>
      </c>
      <c r="C13" s="64">
        <v>0</v>
      </c>
      <c r="D13" s="65">
        <v>0</v>
      </c>
      <c r="E13" s="65">
        <v>0</v>
      </c>
    </row>
    <row r="14" spans="1:5" x14ac:dyDescent="0.3">
      <c r="A14" t="s">
        <v>2</v>
      </c>
      <c r="B14" s="1" t="s">
        <v>15</v>
      </c>
      <c r="C14" s="64">
        <v>0</v>
      </c>
      <c r="D14" s="65">
        <v>0</v>
      </c>
      <c r="E14" s="65">
        <v>0</v>
      </c>
    </row>
    <row r="15" spans="1:5" x14ac:dyDescent="0.3">
      <c r="A15" t="s">
        <v>2</v>
      </c>
      <c r="B15" s="1" t="s">
        <v>16</v>
      </c>
      <c r="C15" s="64">
        <v>0</v>
      </c>
      <c r="D15" s="65">
        <v>0</v>
      </c>
      <c r="E15" s="65">
        <v>0</v>
      </c>
    </row>
    <row r="16" spans="1:5" x14ac:dyDescent="0.3">
      <c r="A16" t="s">
        <v>2</v>
      </c>
      <c r="B16" s="1" t="s">
        <v>17</v>
      </c>
      <c r="C16" s="64">
        <v>41396.129999999997</v>
      </c>
      <c r="D16" s="65">
        <v>250454.23</v>
      </c>
      <c r="E16" s="65">
        <v>315031.61</v>
      </c>
    </row>
    <row r="17" spans="1:5" x14ac:dyDescent="0.3">
      <c r="A17" t="s">
        <v>2</v>
      </c>
      <c r="B17" s="1" t="s">
        <v>18</v>
      </c>
      <c r="C17" s="64">
        <v>0</v>
      </c>
      <c r="D17" s="65">
        <v>0</v>
      </c>
      <c r="E17" s="65">
        <v>0</v>
      </c>
    </row>
    <row r="18" spans="1:5" x14ac:dyDescent="0.3">
      <c r="A18" t="s">
        <v>2</v>
      </c>
      <c r="B18" s="1" t="s">
        <v>19</v>
      </c>
      <c r="C18" s="64">
        <v>0</v>
      </c>
      <c r="D18" s="65">
        <v>0</v>
      </c>
      <c r="E18" s="65">
        <v>0</v>
      </c>
    </row>
    <row r="19" spans="1:5" x14ac:dyDescent="0.3">
      <c r="A19" t="s">
        <v>2</v>
      </c>
      <c r="B19" s="1" t="s">
        <v>20</v>
      </c>
      <c r="C19" s="64">
        <v>-32098.09</v>
      </c>
      <c r="D19" s="65">
        <v>-29064.31</v>
      </c>
      <c r="E19" s="65">
        <v>-51897.43</v>
      </c>
    </row>
  </sheetData>
  <pageMargins left="0.511811024" right="0.511811024" top="0.78740157499999996" bottom="0.78740157499999996" header="0.31496062000000002" footer="0.31496062000000002"/>
  <pageSetup paperSize="9" orientation="portrait"/>
  <headerFooter>
    <oddFooter>&amp;C_x000D_&amp;1#&amp;"Calibri"&amp;12&amp;K0000FF Informação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DECD-73B4-4F64-8CEB-CD7EE01BD65F}">
  <dimension ref="A1:E18"/>
  <sheetViews>
    <sheetView workbookViewId="0">
      <selection activeCell="D26" sqref="D26"/>
    </sheetView>
  </sheetViews>
  <sheetFormatPr defaultRowHeight="14.4" x14ac:dyDescent="0.3"/>
  <cols>
    <col min="1" max="1" width="6.6640625" bestFit="1" customWidth="1"/>
    <col min="2" max="2" width="28.109375" bestFit="1" customWidth="1"/>
    <col min="3" max="5" width="22" bestFit="1" customWidth="1"/>
  </cols>
  <sheetData>
    <row r="1" spans="1:5" x14ac:dyDescent="0.3">
      <c r="A1" s="60" t="s">
        <v>0</v>
      </c>
      <c r="B1" s="61" t="s">
        <v>1</v>
      </c>
      <c r="C1" s="70">
        <v>2021</v>
      </c>
      <c r="D1" s="71">
        <v>2022</v>
      </c>
      <c r="E1" s="71">
        <v>2023</v>
      </c>
    </row>
    <row r="2" spans="1:5" x14ac:dyDescent="0.3">
      <c r="A2" t="s">
        <v>2</v>
      </c>
      <c r="B2" s="1" t="s">
        <v>21</v>
      </c>
      <c r="C2" s="66">
        <v>32192.51</v>
      </c>
      <c r="D2" s="67">
        <v>15624.92</v>
      </c>
      <c r="E2" s="67">
        <v>2012903.86</v>
      </c>
    </row>
    <row r="3" spans="1:5" x14ac:dyDescent="0.3">
      <c r="A3" t="s">
        <v>2</v>
      </c>
      <c r="B3" s="1" t="s">
        <v>22</v>
      </c>
      <c r="C3" s="66">
        <v>0</v>
      </c>
      <c r="D3" s="67">
        <v>14235.96</v>
      </c>
      <c r="E3" s="67">
        <v>5992.92</v>
      </c>
    </row>
    <row r="4" spans="1:5" x14ac:dyDescent="0.3">
      <c r="A4" t="s">
        <v>2</v>
      </c>
      <c r="B4" s="1" t="s">
        <v>23</v>
      </c>
      <c r="C4" s="66">
        <v>0</v>
      </c>
      <c r="D4" s="67">
        <v>0</v>
      </c>
      <c r="E4" s="67">
        <v>0</v>
      </c>
    </row>
    <row r="5" spans="1:5" x14ac:dyDescent="0.3">
      <c r="A5" t="s">
        <v>2</v>
      </c>
      <c r="B5" s="1" t="s">
        <v>24</v>
      </c>
      <c r="C5" s="66">
        <v>16327.94</v>
      </c>
      <c r="D5" s="67">
        <v>23903.86</v>
      </c>
      <c r="E5" s="67">
        <v>38779.949999999997</v>
      </c>
    </row>
    <row r="6" spans="1:5" x14ac:dyDescent="0.3">
      <c r="A6" t="s">
        <v>2</v>
      </c>
      <c r="B6" s="1" t="s">
        <v>25</v>
      </c>
      <c r="C6" s="66">
        <v>52.65</v>
      </c>
      <c r="D6" s="67">
        <v>63572.18</v>
      </c>
      <c r="E6" s="67">
        <v>19979.43</v>
      </c>
    </row>
    <row r="7" spans="1:5" x14ac:dyDescent="0.3">
      <c r="A7" t="s">
        <v>2</v>
      </c>
      <c r="B7" s="1" t="s">
        <v>16</v>
      </c>
      <c r="C7" s="66">
        <v>0</v>
      </c>
      <c r="D7" s="67">
        <v>0</v>
      </c>
      <c r="E7" s="67">
        <v>0</v>
      </c>
    </row>
    <row r="8" spans="1:5" x14ac:dyDescent="0.3">
      <c r="A8" t="s">
        <v>2</v>
      </c>
      <c r="B8" s="1" t="s">
        <v>8</v>
      </c>
      <c r="C8" s="66">
        <v>0</v>
      </c>
      <c r="D8" s="67">
        <v>0</v>
      </c>
      <c r="E8" s="67">
        <v>0</v>
      </c>
    </row>
    <row r="9" spans="1:5" x14ac:dyDescent="0.3">
      <c r="A9" t="s">
        <v>2</v>
      </c>
      <c r="B9" s="1" t="s">
        <v>26</v>
      </c>
      <c r="C9" s="66">
        <v>0</v>
      </c>
      <c r="D9" s="67">
        <v>0</v>
      </c>
      <c r="E9" s="67">
        <v>0</v>
      </c>
    </row>
    <row r="10" spans="1:5" x14ac:dyDescent="0.3">
      <c r="A10" t="s">
        <v>2</v>
      </c>
      <c r="B10" s="1" t="s">
        <v>27</v>
      </c>
      <c r="C10" s="68">
        <v>0</v>
      </c>
      <c r="D10" s="69">
        <v>0</v>
      </c>
      <c r="E10" s="69">
        <v>0</v>
      </c>
    </row>
    <row r="11" spans="1:5" x14ac:dyDescent="0.3">
      <c r="A11" t="s">
        <v>2</v>
      </c>
      <c r="B11" s="1" t="s">
        <v>28</v>
      </c>
      <c r="C11" s="68">
        <v>0</v>
      </c>
      <c r="D11" s="69">
        <v>0</v>
      </c>
      <c r="E11" s="69">
        <v>0</v>
      </c>
    </row>
    <row r="12" spans="1:5" x14ac:dyDescent="0.3">
      <c r="A12" t="s">
        <v>2</v>
      </c>
      <c r="B12" s="1" t="s">
        <v>29</v>
      </c>
      <c r="C12" s="68">
        <v>0</v>
      </c>
      <c r="D12" s="69">
        <v>0</v>
      </c>
      <c r="E12" s="69">
        <v>0</v>
      </c>
    </row>
    <row r="13" spans="1:5" x14ac:dyDescent="0.3">
      <c r="A13" t="s">
        <v>2</v>
      </c>
      <c r="B13" s="1" t="s">
        <v>14</v>
      </c>
      <c r="C13" s="68">
        <v>0</v>
      </c>
      <c r="D13" s="69">
        <v>0</v>
      </c>
      <c r="E13" s="69">
        <v>0</v>
      </c>
    </row>
    <row r="14" spans="1:5" x14ac:dyDescent="0.3">
      <c r="A14" t="s">
        <v>2</v>
      </c>
      <c r="B14" s="1" t="s">
        <v>30</v>
      </c>
      <c r="C14" s="68">
        <v>0</v>
      </c>
      <c r="D14" s="69">
        <v>0</v>
      </c>
      <c r="E14" s="69">
        <v>0</v>
      </c>
    </row>
    <row r="15" spans="1:5" x14ac:dyDescent="0.3">
      <c r="A15" t="s">
        <v>2</v>
      </c>
      <c r="B15" s="1" t="s">
        <v>31</v>
      </c>
      <c r="C15" s="68">
        <v>562898.41</v>
      </c>
      <c r="D15" s="69">
        <v>595346.73</v>
      </c>
      <c r="E15" s="69">
        <v>804543.51</v>
      </c>
    </row>
    <row r="16" spans="1:5" x14ac:dyDescent="0.3">
      <c r="A16" t="s">
        <v>2</v>
      </c>
      <c r="B16" s="1" t="s">
        <v>32</v>
      </c>
      <c r="C16" s="68">
        <v>0</v>
      </c>
      <c r="D16" s="69">
        <v>0</v>
      </c>
      <c r="E16" s="69">
        <v>0</v>
      </c>
    </row>
    <row r="17" spans="1:5" x14ac:dyDescent="0.3">
      <c r="A17" t="s">
        <v>2</v>
      </c>
      <c r="B17" s="1" t="s">
        <v>33</v>
      </c>
      <c r="C17" s="68">
        <v>5467.28</v>
      </c>
      <c r="D17" s="69">
        <v>0</v>
      </c>
      <c r="E17" s="69">
        <v>0</v>
      </c>
    </row>
    <row r="18" spans="1:5" x14ac:dyDescent="0.3">
      <c r="A18" t="s">
        <v>2</v>
      </c>
      <c r="B18" s="1" t="s">
        <v>34</v>
      </c>
      <c r="C18" s="68">
        <v>0</v>
      </c>
      <c r="D18" s="69">
        <v>0</v>
      </c>
      <c r="E18" s="69">
        <v>0</v>
      </c>
    </row>
  </sheetData>
  <pageMargins left="0.511811024" right="0.511811024" top="0.78740157499999996" bottom="0.78740157499999996" header="0.31496062000000002" footer="0.31496062000000002"/>
  <pageSetup paperSize="9" orientation="portrait"/>
  <headerFooter>
    <oddFooter>&amp;C_x000D_&amp;1#&amp;"Calibri"&amp;12&amp;K0000FF Informação Interna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9AF3-308F-451C-94FA-602928FD387C}">
  <dimension ref="A1:E10"/>
  <sheetViews>
    <sheetView workbookViewId="0">
      <selection activeCell="C13" sqref="C13"/>
    </sheetView>
  </sheetViews>
  <sheetFormatPr defaultRowHeight="14.4" x14ac:dyDescent="0.3"/>
  <cols>
    <col min="1" max="1" width="6.6640625" bestFit="1" customWidth="1"/>
    <col min="2" max="2" width="23.6640625" bestFit="1" customWidth="1"/>
    <col min="3" max="5" width="22" bestFit="1" customWidth="1"/>
  </cols>
  <sheetData>
    <row r="1" spans="1:5" x14ac:dyDescent="0.3">
      <c r="A1" s="60" t="s">
        <v>0</v>
      </c>
      <c r="B1" s="61" t="s">
        <v>1</v>
      </c>
      <c r="C1" s="70">
        <v>2021</v>
      </c>
      <c r="D1" s="71">
        <v>2022</v>
      </c>
      <c r="E1" s="71">
        <v>2023</v>
      </c>
    </row>
    <row r="2" spans="1:5" x14ac:dyDescent="0.3">
      <c r="A2" t="s">
        <v>2</v>
      </c>
      <c r="B2" s="1" t="s">
        <v>35</v>
      </c>
      <c r="C2" s="62">
        <v>-2622920.52</v>
      </c>
      <c r="D2" s="63">
        <v>-2614851.92</v>
      </c>
      <c r="E2" s="63">
        <v>-3300011.63</v>
      </c>
    </row>
    <row r="3" spans="1:5" x14ac:dyDescent="0.3">
      <c r="A3" t="s">
        <v>2</v>
      </c>
      <c r="B3" s="1" t="s">
        <v>36</v>
      </c>
      <c r="C3" s="62">
        <v>2892674.89</v>
      </c>
      <c r="D3" s="63">
        <v>3273014</v>
      </c>
      <c r="E3" s="63">
        <v>4050252.39</v>
      </c>
    </row>
    <row r="4" spans="1:5" x14ac:dyDescent="0.3">
      <c r="A4" t="s">
        <v>2</v>
      </c>
      <c r="B4" s="1" t="s">
        <v>37</v>
      </c>
      <c r="C4" s="62">
        <v>0</v>
      </c>
      <c r="D4" s="63">
        <v>0</v>
      </c>
      <c r="E4" s="63">
        <v>0</v>
      </c>
    </row>
    <row r="5" spans="1:5" x14ac:dyDescent="0.3">
      <c r="A5" t="s">
        <v>2</v>
      </c>
      <c r="B5" s="1" t="s">
        <v>38</v>
      </c>
      <c r="C5" s="62">
        <v>0</v>
      </c>
      <c r="D5" s="63">
        <v>-657171</v>
      </c>
      <c r="E5" s="63">
        <v>-552660</v>
      </c>
    </row>
    <row r="6" spans="1:5" x14ac:dyDescent="0.3">
      <c r="A6" t="s">
        <v>2</v>
      </c>
      <c r="B6" s="1" t="s">
        <v>39</v>
      </c>
      <c r="C6" s="62">
        <v>0</v>
      </c>
      <c r="D6" s="63">
        <v>-12361.08</v>
      </c>
      <c r="E6" s="63">
        <v>-22833.119999999999</v>
      </c>
    </row>
    <row r="7" spans="1:5" x14ac:dyDescent="0.3">
      <c r="A7" t="s">
        <v>2</v>
      </c>
      <c r="B7" s="1" t="s">
        <v>40</v>
      </c>
      <c r="C7" s="62">
        <v>0</v>
      </c>
      <c r="D7" s="63">
        <v>0</v>
      </c>
      <c r="E7" s="63">
        <v>0</v>
      </c>
    </row>
    <row r="8" spans="1:5" x14ac:dyDescent="0.3">
      <c r="A8" t="s">
        <v>2</v>
      </c>
      <c r="B8" s="1" t="s">
        <v>41</v>
      </c>
      <c r="C8" s="62">
        <v>-16471.13</v>
      </c>
      <c r="D8" s="63">
        <v>-27150.87</v>
      </c>
      <c r="E8" s="63">
        <v>-15068.38</v>
      </c>
    </row>
    <row r="9" spans="1:5" x14ac:dyDescent="0.3">
      <c r="A9" t="s">
        <v>2</v>
      </c>
      <c r="B9" s="1" t="s">
        <v>42</v>
      </c>
      <c r="C9" s="62">
        <v>22968.28</v>
      </c>
      <c r="D9" s="63">
        <v>50830.34</v>
      </c>
      <c r="E9" s="63">
        <v>52342.35</v>
      </c>
    </row>
    <row r="10" spans="1:5" x14ac:dyDescent="0.3">
      <c r="A10" t="s">
        <v>2</v>
      </c>
      <c r="B10" s="1" t="s">
        <v>43</v>
      </c>
      <c r="C10" s="62">
        <v>0</v>
      </c>
      <c r="D10" s="63">
        <v>0</v>
      </c>
      <c r="E10" s="63">
        <v>0</v>
      </c>
    </row>
  </sheetData>
  <pageMargins left="0.511811024" right="0.511811024" top="0.78740157499999996" bottom="0.78740157499999996" header="0.31496062000000002" footer="0.31496062000000002"/>
  <pageSetup paperSize="9" orientation="portrait"/>
  <headerFooter>
    <oddFooter>&amp;C_x000D_&amp;1#&amp;"Calibri"&amp;12&amp;K0000FF Informação Interna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8928-9501-43CA-902E-BB8E96A21532}">
  <dimension ref="A1:XFC61"/>
  <sheetViews>
    <sheetView showGridLines="0" zoomScale="70" zoomScaleNormal="70" workbookViewId="0">
      <pane ySplit="5" topLeftCell="A6" activePane="bottomLeft" state="frozen"/>
      <selection pane="bottomLeft" activeCell="J70" sqref="J70"/>
    </sheetView>
  </sheetViews>
  <sheetFormatPr defaultColWidth="9.109375" defaultRowHeight="15.6" x14ac:dyDescent="0.3"/>
  <cols>
    <col min="1" max="1" width="3" style="15" customWidth="1"/>
    <col min="2" max="2" width="32.5546875" style="15" bestFit="1" customWidth="1"/>
    <col min="3" max="3" width="15.44140625" style="15" customWidth="1"/>
    <col min="4" max="4" width="9.88671875" style="15" bestFit="1" customWidth="1"/>
    <col min="5" max="5" width="13.6640625" style="15" customWidth="1"/>
    <col min="6" max="6" width="8.5546875" style="15" bestFit="1" customWidth="1"/>
    <col min="7" max="7" width="9.109375" style="15" customWidth="1"/>
    <col min="8" max="8" width="15.6640625" style="15" customWidth="1"/>
    <col min="9" max="9" width="8.5546875" style="15" bestFit="1" customWidth="1"/>
    <col min="10" max="10" width="9.109375" style="15" customWidth="1"/>
    <col min="11" max="11" width="2.88671875" style="15" customWidth="1"/>
    <col min="12" max="12" width="34.33203125" style="15" bestFit="1" customWidth="1"/>
    <col min="13" max="13" width="17.5546875" style="15" customWidth="1"/>
    <col min="14" max="14" width="9.109375" style="15" customWidth="1"/>
    <col min="15" max="15" width="15" style="15" customWidth="1"/>
    <col min="16" max="17" width="9.109375" style="15" customWidth="1"/>
    <col min="18" max="18" width="14.109375" style="15" customWidth="1"/>
    <col min="19" max="20" width="9.109375" style="15" customWidth="1"/>
    <col min="21" max="21" width="9" style="15" customWidth="1"/>
    <col min="22" max="16383" width="0" style="15" hidden="1" customWidth="1"/>
    <col min="16384" max="16384" width="9.44140625" style="15" hidden="1" customWidth="1"/>
  </cols>
  <sheetData>
    <row r="1" spans="1:21" s="46" customFormat="1" ht="18" customHeight="1" x14ac:dyDescent="0.3">
      <c r="A1" s="43"/>
      <c r="B1" s="43" t="s">
        <v>44</v>
      </c>
      <c r="C1" s="44">
        <f>+C29-C53</f>
        <v>0</v>
      </c>
      <c r="D1" s="45"/>
      <c r="E1" s="44">
        <f>+E29-E53</f>
        <v>0</v>
      </c>
      <c r="F1" s="45"/>
      <c r="G1" s="45"/>
      <c r="H1" s="44">
        <f>+H29-H53</f>
        <v>0</v>
      </c>
      <c r="I1" s="45"/>
      <c r="J1" s="45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s="48" customFormat="1" ht="26.85" customHeight="1" x14ac:dyDescent="0.3">
      <c r="A2" s="47"/>
      <c r="B2" s="85" t="s">
        <v>45</v>
      </c>
      <c r="C2" s="80"/>
      <c r="D2" s="80"/>
      <c r="E2" s="80"/>
      <c r="F2" s="80"/>
      <c r="G2" s="80"/>
      <c r="H2" s="80"/>
      <c r="I2" s="80"/>
      <c r="J2" s="86"/>
      <c r="K2" s="47"/>
      <c r="L2" s="85" t="s">
        <v>46</v>
      </c>
      <c r="M2" s="80"/>
      <c r="N2" s="80"/>
      <c r="O2" s="80"/>
      <c r="P2" s="80"/>
      <c r="Q2" s="80"/>
      <c r="R2" s="80"/>
      <c r="S2" s="80"/>
      <c r="T2" s="86"/>
      <c r="U2" s="47"/>
    </row>
    <row r="3" spans="1:21" x14ac:dyDescent="0.3">
      <c r="A3" s="14"/>
      <c r="B3" s="55" t="s">
        <v>47</v>
      </c>
      <c r="C3" s="87" t="s">
        <v>48</v>
      </c>
      <c r="D3" s="88"/>
      <c r="E3" s="88"/>
      <c r="F3" s="88"/>
      <c r="G3" s="88"/>
      <c r="H3" s="88"/>
      <c r="I3" s="88"/>
      <c r="J3" s="89"/>
      <c r="K3" s="14"/>
      <c r="L3" s="55" t="s">
        <v>47</v>
      </c>
      <c r="M3" s="87" t="str">
        <f>C3</f>
        <v>Nome da Empresa</v>
      </c>
      <c r="N3" s="88"/>
      <c r="O3" s="88"/>
      <c r="P3" s="88"/>
      <c r="Q3" s="88"/>
      <c r="R3" s="88"/>
      <c r="S3" s="88"/>
      <c r="T3" s="89"/>
      <c r="U3" s="14"/>
    </row>
    <row r="4" spans="1:21" s="53" customFormat="1" x14ac:dyDescent="0.3">
      <c r="A4" s="49"/>
      <c r="B4" s="50" t="s">
        <v>49</v>
      </c>
      <c r="C4" s="51">
        <f>MONTH(C5)</f>
        <v>7</v>
      </c>
      <c r="D4" s="51"/>
      <c r="E4" s="51">
        <f>MONTH(E5)</f>
        <v>7</v>
      </c>
      <c r="F4" s="51"/>
      <c r="G4" s="51"/>
      <c r="H4" s="51">
        <f>MONTH(H5)</f>
        <v>7</v>
      </c>
      <c r="I4" s="51"/>
      <c r="J4" s="51"/>
      <c r="K4" s="52"/>
      <c r="L4" s="51"/>
      <c r="M4" s="51"/>
      <c r="N4" s="51"/>
      <c r="O4" s="51"/>
      <c r="P4" s="51"/>
      <c r="Q4" s="51"/>
      <c r="R4" s="51"/>
      <c r="S4" s="51"/>
      <c r="T4" s="51"/>
      <c r="U4" s="49"/>
    </row>
    <row r="5" spans="1:21" s="135" customFormat="1" x14ac:dyDescent="0.3">
      <c r="A5" s="130"/>
      <c r="B5" s="131"/>
      <c r="C5" s="132">
        <f>Ativo!C1</f>
        <v>2021</v>
      </c>
      <c r="D5" s="133"/>
      <c r="E5" s="132">
        <f>Ativo!D1</f>
        <v>2022</v>
      </c>
      <c r="F5" s="134"/>
      <c r="G5" s="133"/>
      <c r="H5" s="132">
        <f>Ativo!E1</f>
        <v>2023</v>
      </c>
      <c r="I5" s="134"/>
      <c r="J5" s="133"/>
      <c r="K5" s="130"/>
      <c r="L5" s="131"/>
      <c r="M5" s="132">
        <f>+C5</f>
        <v>2021</v>
      </c>
      <c r="N5" s="133"/>
      <c r="O5" s="132">
        <f>+E5</f>
        <v>2022</v>
      </c>
      <c r="P5" s="134"/>
      <c r="Q5" s="133"/>
      <c r="R5" s="132">
        <f>+H5</f>
        <v>2023</v>
      </c>
      <c r="S5" s="134"/>
      <c r="T5" s="133"/>
      <c r="U5" s="130"/>
    </row>
    <row r="6" spans="1:21" x14ac:dyDescent="0.3">
      <c r="A6" s="14"/>
      <c r="B6" s="2" t="s">
        <v>50</v>
      </c>
      <c r="C6" s="12">
        <f>SUM(C7:C18)-C8-C9</f>
        <v>604640.75000000012</v>
      </c>
      <c r="D6" s="8" t="s">
        <v>51</v>
      </c>
      <c r="E6" s="12">
        <f>SUM(E7:E18)-E8-E9</f>
        <v>481893.73</v>
      </c>
      <c r="F6" s="8" t="s">
        <v>51</v>
      </c>
      <c r="G6" s="8" t="s">
        <v>52</v>
      </c>
      <c r="H6" s="12">
        <f>SUM(H7:H18)-H8-H9</f>
        <v>2609665.4900000002</v>
      </c>
      <c r="I6" s="8" t="s">
        <v>51</v>
      </c>
      <c r="J6" s="8" t="s">
        <v>52</v>
      </c>
      <c r="K6" s="14"/>
      <c r="L6" s="16"/>
      <c r="M6" s="17" t="s">
        <v>47</v>
      </c>
      <c r="N6" s="18" t="s">
        <v>53</v>
      </c>
      <c r="O6" s="17" t="s">
        <v>47</v>
      </c>
      <c r="P6" s="18" t="s">
        <v>51</v>
      </c>
      <c r="Q6" s="18" t="s">
        <v>52</v>
      </c>
      <c r="R6" s="17" t="s">
        <v>47</v>
      </c>
      <c r="S6" s="18" t="s">
        <v>51</v>
      </c>
      <c r="T6" s="18" t="s">
        <v>52</v>
      </c>
      <c r="U6" s="14"/>
    </row>
    <row r="7" spans="1:21" x14ac:dyDescent="0.3">
      <c r="A7" s="14"/>
      <c r="B7" s="3" t="s">
        <v>54</v>
      </c>
      <c r="C7" s="13">
        <f>+C8+C9</f>
        <v>512798.87</v>
      </c>
      <c r="D7" s="9">
        <f>+IF(OR(C7&gt;0,C7&lt;0),C7/C$29,0)</f>
        <v>0.83119894276707718</v>
      </c>
      <c r="E7" s="13">
        <f>+E8+E9</f>
        <v>476527.38</v>
      </c>
      <c r="F7" s="9">
        <f t="shared" ref="F7:F29" si="0">+IF(OR(E7&gt;0,E7&lt;0),E7/E$29,0)</f>
        <v>0.66863801351413066</v>
      </c>
      <c r="G7" s="9">
        <f t="shared" ref="G7:G29" si="1">IFERROR((E7/C7)-1,0)</f>
        <v>-7.0732390654448918E-2</v>
      </c>
      <c r="H7" s="13">
        <f>+H8+H9</f>
        <v>2067684.68</v>
      </c>
      <c r="I7" s="9">
        <f t="shared" ref="I7:I18" si="2">+IF(OR(H7&gt;0,H7&lt;0),H7/H$29,0)</f>
        <v>0.71739813917888617</v>
      </c>
      <c r="J7" s="9">
        <f t="shared" ref="J7:J18" si="3">IFERROR((H7/E7)-1,0)</f>
        <v>3.3390679461062653</v>
      </c>
      <c r="K7" s="14"/>
      <c r="L7" s="14" t="s">
        <v>36</v>
      </c>
      <c r="M7" s="19">
        <f>(IFERROR(VLOOKUP($L7,DRE!$B$2:$E$10,MATCH(Balanços!M$5,Ativo!$B$1:$E$1,0),0),"0"))/1</f>
        <v>2892674.89</v>
      </c>
      <c r="N7" s="20">
        <f>IFERROR(+M7/M$9,0)</f>
        <v>1</v>
      </c>
      <c r="O7" s="19">
        <f>(IFERROR(VLOOKUP($L7,DRE!$B$2:$E$10,MATCH(Balanços!O$5,Ativo!$B$1:$E$1,0),0),"0"))/1</f>
        <v>3273014</v>
      </c>
      <c r="P7" s="20">
        <f>IFERROR(+O7/O$9,0)</f>
        <v>1</v>
      </c>
      <c r="Q7" s="20">
        <f t="shared" ref="Q7:Q20" si="4">IFERROR((O7/M7)-1,0)</f>
        <v>0.13148353149357894</v>
      </c>
      <c r="R7" s="19">
        <f>(IFERROR(VLOOKUP($L7,DRE!$B$2:$E$10,MATCH(Balanços!R$5,Ativo!$B$1:$E$1,0),0),"0"))/1</f>
        <v>4050252.39</v>
      </c>
      <c r="S7" s="20">
        <f>IFERROR(+R7/R$9,0)</f>
        <v>1</v>
      </c>
      <c r="T7" s="20">
        <f>IFERROR((R7/O7)-1,0)</f>
        <v>0.23746870315861779</v>
      </c>
      <c r="U7" s="14"/>
    </row>
    <row r="8" spans="1:21" x14ac:dyDescent="0.3">
      <c r="A8" s="14"/>
      <c r="B8" s="4" t="s">
        <v>4</v>
      </c>
      <c r="C8" s="19">
        <f>(IFERROR(VLOOKUP($B8,Ativo!$B$2:$E$19,MATCH(Balanços!C$5,Ativo!$B$1:$E$1,0),0),"0"))/1</f>
        <v>111</v>
      </c>
      <c r="D8" s="9">
        <f t="shared" ref="D8:D29" si="5">+IF(OR(C8&gt;0,C8&lt;0),C8/C$29,0)</f>
        <v>1.7992060444116341E-4</v>
      </c>
      <c r="E8" s="19">
        <f>(IFERROR(VLOOKUP($B8,Ativo!$B$2:$E$19,MATCH(Balanços!E$5,Ativo!$B$1:$E$1,0),0),"0"))/1</f>
        <v>11</v>
      </c>
      <c r="F8" s="20">
        <f t="shared" si="0"/>
        <v>1.5434618150704033E-5</v>
      </c>
      <c r="G8" s="20">
        <f t="shared" si="1"/>
        <v>-0.90090090090090091</v>
      </c>
      <c r="H8" s="19">
        <f>(IFERROR(VLOOKUP($B8,Ativo!$B$2:$E$19,MATCH(Balanços!H$5,Ativo!$B$1:$E$1,0),0),"0"))/1</f>
        <v>11</v>
      </c>
      <c r="I8" s="20">
        <f t="shared" si="2"/>
        <v>3.8165294772932918E-6</v>
      </c>
      <c r="J8" s="20">
        <f t="shared" si="3"/>
        <v>0</v>
      </c>
      <c r="K8" s="14"/>
      <c r="L8" s="14" t="s">
        <v>37</v>
      </c>
      <c r="M8" s="19">
        <f>(IFERROR(VLOOKUP($L8,DRE!$B$2:$E$10,MATCH(Balanços!M$5,Ativo!$B$1:$E$1,0),0),"0"))/1</f>
        <v>0</v>
      </c>
      <c r="N8" s="20">
        <f>IFERROR(+M8/M$9,0)</f>
        <v>0</v>
      </c>
      <c r="O8" s="19">
        <f>(IFERROR(VLOOKUP($L8,DRE!$B$2:$E$10,MATCH(Balanços!O$5,Ativo!$B$1:$E$1,0),0),"0"))/1</f>
        <v>0</v>
      </c>
      <c r="P8" s="20">
        <f>IFERROR(+O8/O$9,0)</f>
        <v>0</v>
      </c>
      <c r="Q8" s="20">
        <f t="shared" si="4"/>
        <v>0</v>
      </c>
      <c r="R8" s="19">
        <f>(IFERROR(VLOOKUP($L8,DRE!$B$2:$E$10,MATCH(Balanços!R$5,Ativo!$B$1:$E$1,0),0),"0"))/1</f>
        <v>0</v>
      </c>
      <c r="S8" s="20">
        <f>IFERROR(+R8/R$9,0)</f>
        <v>0</v>
      </c>
      <c r="T8" s="20">
        <f>IFERROR((R8/O8)-1,0)</f>
        <v>0</v>
      </c>
      <c r="U8" s="14"/>
    </row>
    <row r="9" spans="1:21" x14ac:dyDescent="0.3">
      <c r="A9" s="14"/>
      <c r="B9" s="4" t="s">
        <v>5</v>
      </c>
      <c r="C9" s="19">
        <f>(IFERROR(VLOOKUP($B9,Ativo!$B$2:$E$19,MATCH(Balanços!C$5,Ativo!$B$1:$E$1,0),0),"0"))/1</f>
        <v>512687.87</v>
      </c>
      <c r="D9" s="9">
        <f t="shared" si="5"/>
        <v>0.83101902216263601</v>
      </c>
      <c r="E9" s="19">
        <f>(IFERROR(VLOOKUP($B9,Ativo!$B$2:$E$19,MATCH(Balanços!E$5,Ativo!$B$1:$E$1,0),0),"0"))/1</f>
        <v>476516.38</v>
      </c>
      <c r="F9" s="20">
        <f t="shared" si="0"/>
        <v>0.66862257889597998</v>
      </c>
      <c r="G9" s="20">
        <f t="shared" si="1"/>
        <v>-7.0552654190940811E-2</v>
      </c>
      <c r="H9" s="19">
        <f>(IFERROR(VLOOKUP($B9,Ativo!$B$2:$E$19,MATCH(Balanços!H$5,Ativo!$B$1:$E$1,0),0),"0"))/1</f>
        <v>2067673.68</v>
      </c>
      <c r="I9" s="20">
        <f t="shared" si="2"/>
        <v>0.71739432264940883</v>
      </c>
      <c r="J9" s="20">
        <f t="shared" si="3"/>
        <v>3.3391450258226172</v>
      </c>
      <c r="K9" s="14"/>
      <c r="L9" s="21" t="s">
        <v>55</v>
      </c>
      <c r="M9" s="19">
        <f>M$7+M$8</f>
        <v>2892674.89</v>
      </c>
      <c r="N9" s="20">
        <f>IFERROR(+M9/M$9,0)</f>
        <v>1</v>
      </c>
      <c r="O9" s="19">
        <f>O$7+O$8</f>
        <v>3273014</v>
      </c>
      <c r="P9" s="20">
        <f>IFERROR(+O9/O$9,0)</f>
        <v>1</v>
      </c>
      <c r="Q9" s="20">
        <f t="shared" si="4"/>
        <v>0.13148353149357894</v>
      </c>
      <c r="R9" s="19">
        <f>R$7+R$8</f>
        <v>4050252.39</v>
      </c>
      <c r="S9" s="20">
        <f>IFERROR(+R9/R$9,0)</f>
        <v>1</v>
      </c>
      <c r="T9" s="20">
        <f t="shared" ref="T9:T20" si="6">IFERROR((R9/O9)-1,0)</f>
        <v>0.23746870315861779</v>
      </c>
      <c r="U9" s="14"/>
    </row>
    <row r="10" spans="1:21" x14ac:dyDescent="0.3">
      <c r="A10" s="14"/>
      <c r="B10" s="5" t="s">
        <v>6</v>
      </c>
      <c r="C10" s="19">
        <f>(IFERROR(VLOOKUP($B10,Ativo!$B$2:$E$19,MATCH(Balanços!C$5,Ativo!$B$1:$E$1,0),0),"0"))/1</f>
        <v>0</v>
      </c>
      <c r="D10" s="9">
        <f t="shared" si="5"/>
        <v>0</v>
      </c>
      <c r="E10" s="19">
        <f>(IFERROR(VLOOKUP($B10,Ativo!$B$2:$E$19,MATCH(Balanços!E$5,Ativo!$B$1:$E$1,0),0),"0"))/1</f>
        <v>0</v>
      </c>
      <c r="F10" s="20">
        <f t="shared" si="0"/>
        <v>0</v>
      </c>
      <c r="G10" s="20">
        <f t="shared" si="1"/>
        <v>0</v>
      </c>
      <c r="H10" s="19">
        <f>(IFERROR(VLOOKUP($B10,Ativo!$B$2:$E$19,MATCH(Balanços!H$5,Ativo!$B$1:$E$1,0),0),"0"))/1</f>
        <v>534670.48</v>
      </c>
      <c r="I10" s="20">
        <f t="shared" si="2"/>
        <v>0.18550778614168667</v>
      </c>
      <c r="J10" s="20">
        <f t="shared" si="3"/>
        <v>0</v>
      </c>
      <c r="K10" s="14"/>
      <c r="L10" s="14" t="s">
        <v>38</v>
      </c>
      <c r="M10" s="19">
        <f>(IFERROR(VLOOKUP($L10,DRE!$B$2:$E$10,MATCH(Balanços!M$5,Ativo!$B$1:$E$1,0),0),"0"))/1</f>
        <v>0</v>
      </c>
      <c r="N10" s="20">
        <f t="shared" ref="N10:N20" si="7">IFERROR(+M10/M$9,0)</f>
        <v>0</v>
      </c>
      <c r="O10" s="19">
        <f>(IFERROR(VLOOKUP($L10,DRE!$B$2:$E$10,MATCH(Balanços!O$5,Ativo!$B$1:$E$1,0),0),"0"))/1</f>
        <v>-657171</v>
      </c>
      <c r="P10" s="20">
        <f t="shared" ref="P10:P20" si="8">IFERROR(+O10/O$9,0)</f>
        <v>-0.20078465903292805</v>
      </c>
      <c r="Q10" s="20">
        <f t="shared" si="4"/>
        <v>0</v>
      </c>
      <c r="R10" s="19">
        <f>(IFERROR(VLOOKUP($L10,DRE!$B$2:$E$10,MATCH(Balanços!R$5,Ativo!$B$1:$E$1,0),0),"0"))/1</f>
        <v>-552660</v>
      </c>
      <c r="S10" s="20">
        <f t="shared" ref="S10:S20" si="9">IFERROR(+R10/R$9,0)</f>
        <v>-0.13645075585030395</v>
      </c>
      <c r="T10" s="20">
        <f t="shared" si="6"/>
        <v>-0.15903166755684595</v>
      </c>
      <c r="U10" s="14"/>
    </row>
    <row r="11" spans="1:21" x14ac:dyDescent="0.3">
      <c r="A11" s="14"/>
      <c r="B11" s="5" t="s">
        <v>11</v>
      </c>
      <c r="C11" s="19">
        <f>(IFERROR(VLOOKUP($B11,Ativo!$B$2:$E$19,MATCH(Balanços!C$5,Ativo!$B$1:$E$1,0),0),"0"))/1</f>
        <v>0</v>
      </c>
      <c r="D11" s="9">
        <f t="shared" si="5"/>
        <v>0</v>
      </c>
      <c r="E11" s="19">
        <f>(IFERROR(VLOOKUP($B11,Ativo!$B$2:$E$19,MATCH(Balanços!E$5,Ativo!$B$1:$E$1,0),0),"0"))/1</f>
        <v>0</v>
      </c>
      <c r="F11" s="20">
        <f t="shared" si="0"/>
        <v>0</v>
      </c>
      <c r="G11" s="20">
        <f t="shared" si="1"/>
        <v>0</v>
      </c>
      <c r="H11" s="19">
        <f>(IFERROR(VLOOKUP($B11,Ativo!$B$2:$E$19,MATCH(Balanços!H$5,Ativo!$B$1:$E$1,0),0),"0"))/1</f>
        <v>0</v>
      </c>
      <c r="I11" s="20">
        <f t="shared" si="2"/>
        <v>0</v>
      </c>
      <c r="J11" s="20">
        <f t="shared" si="3"/>
        <v>0</v>
      </c>
      <c r="K11" s="14"/>
      <c r="L11" s="22" t="s">
        <v>39</v>
      </c>
      <c r="M11" s="19">
        <f>(IFERROR(VLOOKUP($L11,DRE!$B$2:$E$10,MATCH(Balanços!M$5,Ativo!$B$1:$E$1,0),0),"0"))/1</f>
        <v>0</v>
      </c>
      <c r="N11" s="20">
        <f t="shared" si="7"/>
        <v>0</v>
      </c>
      <c r="O11" s="19">
        <f>(IFERROR(VLOOKUP($L11,DRE!$B$2:$E$10,MATCH(Balanços!O$5,Ativo!$B$1:$E$1,0),0),"0"))/1</f>
        <v>-12361.08</v>
      </c>
      <c r="P11" s="20">
        <f t="shared" si="8"/>
        <v>-3.7766657887806161E-3</v>
      </c>
      <c r="Q11" s="20">
        <f t="shared" si="4"/>
        <v>0</v>
      </c>
      <c r="R11" s="19">
        <f>(IFERROR(VLOOKUP($L11,DRE!$B$2:$E$10,MATCH(Balanços!R$5,Ativo!$B$1:$E$1,0),0),"0"))/1</f>
        <v>-22833.119999999999</v>
      </c>
      <c r="S11" s="20">
        <f t="shared" si="9"/>
        <v>-5.6374560894956963E-3</v>
      </c>
      <c r="T11" s="20">
        <f t="shared" si="6"/>
        <v>0.84717840188721372</v>
      </c>
      <c r="U11" s="14"/>
    </row>
    <row r="12" spans="1:21" x14ac:dyDescent="0.3">
      <c r="A12" s="14"/>
      <c r="B12" s="5" t="s">
        <v>7</v>
      </c>
      <c r="C12" s="19">
        <f>(IFERROR(VLOOKUP($B12,Ativo!$B$2:$E$19,MATCH(Balanços!C$5,Ativo!$B$1:$E$1,0),0),"0"))/1</f>
        <v>24.65</v>
      </c>
      <c r="D12" s="9">
        <f t="shared" si="5"/>
        <v>3.9955341436708807E-5</v>
      </c>
      <c r="E12" s="19">
        <f>(IFERROR(VLOOKUP($B12,Ativo!$B$2:$E$19,MATCH(Balanços!E$5,Ativo!$B$1:$E$1,0),0),"0"))/1</f>
        <v>0</v>
      </c>
      <c r="F12" s="20">
        <f t="shared" si="0"/>
        <v>0</v>
      </c>
      <c r="G12" s="20">
        <f t="shared" si="1"/>
        <v>-1</v>
      </c>
      <c r="H12" s="19">
        <f>(IFERROR(VLOOKUP($B12,Ativo!$B$2:$E$19,MATCH(Balanços!H$5,Ativo!$B$1:$E$1,0),0),"0"))/1</f>
        <v>0</v>
      </c>
      <c r="I12" s="20">
        <f t="shared" si="2"/>
        <v>0</v>
      </c>
      <c r="J12" s="20">
        <f t="shared" si="3"/>
        <v>0</v>
      </c>
      <c r="K12" s="14"/>
      <c r="L12" s="23" t="s">
        <v>56</v>
      </c>
      <c r="M12" s="19">
        <f>SUM(M9:M11)</f>
        <v>2892674.89</v>
      </c>
      <c r="N12" s="20">
        <f t="shared" si="7"/>
        <v>1</v>
      </c>
      <c r="O12" s="19">
        <f>SUM(O9:O11)</f>
        <v>2603481.92</v>
      </c>
      <c r="P12" s="20">
        <f t="shared" si="8"/>
        <v>0.79543867517829125</v>
      </c>
      <c r="Q12" s="20">
        <f t="shared" si="4"/>
        <v>-9.9974238722693176E-2</v>
      </c>
      <c r="R12" s="19">
        <f>SUM(R9:R11)</f>
        <v>3474759.27</v>
      </c>
      <c r="S12" s="20">
        <f t="shared" si="9"/>
        <v>0.8579117880602003</v>
      </c>
      <c r="T12" s="20">
        <f t="shared" si="6"/>
        <v>0.33465849841584472</v>
      </c>
      <c r="U12" s="14"/>
    </row>
    <row r="13" spans="1:21" x14ac:dyDescent="0.3">
      <c r="A13" s="14"/>
      <c r="B13" s="6" t="s">
        <v>8</v>
      </c>
      <c r="C13" s="19">
        <f>(IFERROR(VLOOKUP($B13,Ativo!$B$2:$E$19,MATCH(Balanços!C$5,Ativo!$B$1:$E$1,0),0),"0"))/1</f>
        <v>1584.18</v>
      </c>
      <c r="D13" s="9">
        <f t="shared" si="5"/>
        <v>2.5678074157081282E-3</v>
      </c>
      <c r="E13" s="19">
        <f>(IFERROR(VLOOKUP($B13,Ativo!$B$2:$E$19,MATCH(Balanços!E$5,Ativo!$B$1:$E$1,0),0),"0"))/1</f>
        <v>215.27</v>
      </c>
      <c r="F13" s="20">
        <f t="shared" si="0"/>
        <v>3.0205547720927792E-4</v>
      </c>
      <c r="G13" s="20">
        <f t="shared" si="1"/>
        <v>-0.86411266396495345</v>
      </c>
      <c r="H13" s="19">
        <f>(IFERROR(VLOOKUP($B13,Ativo!$B$2:$E$19,MATCH(Balanços!H$5,Ativo!$B$1:$E$1,0),0),"0"))/1</f>
        <v>0</v>
      </c>
      <c r="I13" s="20">
        <f t="shared" si="2"/>
        <v>0</v>
      </c>
      <c r="J13" s="20">
        <f t="shared" si="3"/>
        <v>-1</v>
      </c>
      <c r="K13" s="14"/>
      <c r="L13" s="14" t="s">
        <v>35</v>
      </c>
      <c r="M13" s="19">
        <f>(IFERROR(VLOOKUP($L13,DRE!$B$2:$E$10,MATCH(Balanços!M$5,Ativo!$B$1:$E$1,0),0),"0"))/1</f>
        <v>-2622920.52</v>
      </c>
      <c r="N13" s="20">
        <f t="shared" si="7"/>
        <v>-0.90674570068950955</v>
      </c>
      <c r="O13" s="19">
        <f>(IFERROR(VLOOKUP($L13,DRE!$B$2:$E$10,MATCH(Balanços!O$5,Ativo!$B$1:$E$1,0),0),"0"))/1</f>
        <v>-2614851.92</v>
      </c>
      <c r="P13" s="20">
        <f t="shared" si="8"/>
        <v>-0.79891253749602043</v>
      </c>
      <c r="Q13" s="20">
        <f t="shared" si="4"/>
        <v>-3.0761892853695683E-3</v>
      </c>
      <c r="R13" s="19">
        <f>(IFERROR(VLOOKUP($L13,DRE!$B$2:$E$10,MATCH(Balanços!R$5,Ativo!$B$1:$E$1,0),0),"0"))/1</f>
        <v>-3300011.63</v>
      </c>
      <c r="S13" s="20">
        <f t="shared" si="9"/>
        <v>-0.81476691135289958</v>
      </c>
      <c r="T13" s="20">
        <f t="shared" si="6"/>
        <v>0.26202619917383307</v>
      </c>
      <c r="U13" s="14"/>
    </row>
    <row r="14" spans="1:21" x14ac:dyDescent="0.3">
      <c r="A14" s="14"/>
      <c r="B14" s="6" t="s">
        <v>10</v>
      </c>
      <c r="C14" s="19">
        <f>(IFERROR(VLOOKUP($B14,Ativo!$B$2:$E$19,MATCH(Balanços!C$5,Ativo!$B$1:$E$1,0),0),"0"))/1</f>
        <v>2363.4299999999998</v>
      </c>
      <c r="D14" s="9">
        <f t="shared" si="5"/>
        <v>3.8308986860754843E-3</v>
      </c>
      <c r="E14" s="19">
        <f>(IFERROR(VLOOKUP($B14,Ativo!$B$2:$E$19,MATCH(Balanços!E$5,Ativo!$B$1:$E$1,0),0),"0"))/1</f>
        <v>5151.08</v>
      </c>
      <c r="F14" s="20">
        <f t="shared" si="0"/>
        <v>7.2277229876116841E-3</v>
      </c>
      <c r="G14" s="20">
        <f t="shared" si="1"/>
        <v>1.1794933634590405</v>
      </c>
      <c r="H14" s="19">
        <f>(IFERROR(VLOOKUP($B14,Ativo!$B$2:$E$19,MATCH(Balanços!H$5,Ativo!$B$1:$E$1,0),0),"0"))/1</f>
        <v>7310.33</v>
      </c>
      <c r="I14" s="20">
        <f t="shared" si="2"/>
        <v>2.5363718121583154E-3</v>
      </c>
      <c r="J14" s="20">
        <f t="shared" si="3"/>
        <v>0.41918393812559707</v>
      </c>
      <c r="K14" s="14"/>
      <c r="L14" s="23" t="s">
        <v>57</v>
      </c>
      <c r="M14" s="19">
        <f>+M12+M13</f>
        <v>269754.37000000011</v>
      </c>
      <c r="N14" s="20">
        <f t="shared" si="7"/>
        <v>9.3254299310490466E-2</v>
      </c>
      <c r="O14" s="19">
        <f>+O12+O13</f>
        <v>-11370</v>
      </c>
      <c r="P14" s="20">
        <f t="shared" si="8"/>
        <v>-3.4738623177291636E-3</v>
      </c>
      <c r="Q14" s="20">
        <f t="shared" si="4"/>
        <v>-1.042149456188606</v>
      </c>
      <c r="R14" s="19">
        <f>+R12+R13</f>
        <v>174747.64000000013</v>
      </c>
      <c r="S14" s="20">
        <f t="shared" si="9"/>
        <v>4.3144876707300731E-2</v>
      </c>
      <c r="T14" s="20">
        <f t="shared" si="6"/>
        <v>-16.369185576077406</v>
      </c>
      <c r="U14" s="14"/>
    </row>
    <row r="15" spans="1:21" x14ac:dyDescent="0.3">
      <c r="A15" s="14"/>
      <c r="B15" s="6" t="s">
        <v>3</v>
      </c>
      <c r="C15" s="19">
        <f>(IFERROR(VLOOKUP($B15,Ativo!$B$2:$E$19,MATCH(Balanços!C$5,Ativo!$B$1:$E$1,0),0),"0"))/1</f>
        <v>87869.62</v>
      </c>
      <c r="D15" s="9">
        <f t="shared" si="5"/>
        <v>0.14242842470644448</v>
      </c>
      <c r="E15" s="19">
        <f>(IFERROR(VLOOKUP($B15,Ativo!$B$2:$E$19,MATCH(Balanços!E$5,Ativo!$B$1:$E$1,0),0),"0"))/1</f>
        <v>0</v>
      </c>
      <c r="F15" s="20">
        <f t="shared" si="0"/>
        <v>0</v>
      </c>
      <c r="G15" s="20">
        <f t="shared" si="1"/>
        <v>-1</v>
      </c>
      <c r="H15" s="19">
        <f>(IFERROR(VLOOKUP($B15,Ativo!$B$2:$E$19,MATCH(Balanços!H$5,Ativo!$B$1:$E$1,0),0),"0"))/1</f>
        <v>0</v>
      </c>
      <c r="I15" s="20">
        <f t="shared" si="2"/>
        <v>0</v>
      </c>
      <c r="J15" s="20">
        <f t="shared" si="3"/>
        <v>0</v>
      </c>
      <c r="K15" s="14"/>
      <c r="L15" s="14" t="s">
        <v>42</v>
      </c>
      <c r="M15" s="19">
        <f>(IFERROR(VLOOKUP($L15,DRE!$B$2:$E$10,MATCH(Balanços!M$5,Ativo!$B$1:$E$1,0),0),"0"))/1</f>
        <v>22968.28</v>
      </c>
      <c r="N15" s="20">
        <f t="shared" si="7"/>
        <v>7.9401525831338752E-3</v>
      </c>
      <c r="O15" s="19">
        <f>(IFERROR(VLOOKUP($L15,DRE!$B$2:$E$10,MATCH(Balanços!O$5,Ativo!$B$1:$E$1,0),0),"0"))/1</f>
        <v>50830.34</v>
      </c>
      <c r="P15" s="20">
        <f t="shared" si="8"/>
        <v>1.5530132165643043E-2</v>
      </c>
      <c r="Q15" s="20">
        <f t="shared" si="4"/>
        <v>1.2130668905116098</v>
      </c>
      <c r="R15" s="19">
        <f>(IFERROR(VLOOKUP($L15,DRE!$B$2:$E$10,MATCH(Balanços!R$5,Ativo!$B$1:$E$1,0),0),"0"))/1</f>
        <v>52342.35</v>
      </c>
      <c r="S15" s="20">
        <f t="shared" si="9"/>
        <v>1.2923231680384242E-2</v>
      </c>
      <c r="T15" s="20">
        <f t="shared" si="6"/>
        <v>2.9746210629320924E-2</v>
      </c>
      <c r="U15" s="14"/>
    </row>
    <row r="16" spans="1:21" x14ac:dyDescent="0.3">
      <c r="A16" s="14"/>
      <c r="B16" s="7" t="s">
        <v>9</v>
      </c>
      <c r="C16" s="19">
        <f>(IFERROR(VLOOKUP($B16,Ativo!$B$2:$E$19,MATCH(Balanços!C$5,Ativo!$B$1:$E$1,0),0),"0"))/1</f>
        <v>0</v>
      </c>
      <c r="D16" s="9">
        <f t="shared" si="5"/>
        <v>0</v>
      </c>
      <c r="E16" s="19">
        <f>(IFERROR(VLOOKUP($B16,Ativo!$B$2:$E$19,MATCH(Balanços!E$5,Ativo!$B$1:$E$1,0),0),"0"))/1</f>
        <v>0</v>
      </c>
      <c r="F16" s="20">
        <f t="shared" si="0"/>
        <v>0</v>
      </c>
      <c r="G16" s="20">
        <f t="shared" si="1"/>
        <v>0</v>
      </c>
      <c r="H16" s="19">
        <f>(IFERROR(VLOOKUP($B16,Ativo!$B$2:$E$19,MATCH(Balanços!H$5,Ativo!$B$1:$E$1,0),0),"0"))/1</f>
        <v>0</v>
      </c>
      <c r="I16" s="20">
        <f t="shared" si="2"/>
        <v>0</v>
      </c>
      <c r="J16" s="20">
        <f t="shared" si="3"/>
        <v>0</v>
      </c>
      <c r="K16" s="14"/>
      <c r="L16" s="14" t="s">
        <v>41</v>
      </c>
      <c r="M16" s="19">
        <f>(IFERROR(VLOOKUP($L16,DRE!$B$2:$E$10,MATCH(Balanços!M$5,Ativo!$B$1:$E$1,0),0),"0"))/1</f>
        <v>-16471.13</v>
      </c>
      <c r="N16" s="20">
        <f t="shared" si="7"/>
        <v>-5.6940826834501268E-3</v>
      </c>
      <c r="O16" s="19">
        <f>(IFERROR(VLOOKUP($L16,DRE!$B$2:$E$10,MATCH(Balanços!O$5,Ativo!$B$1:$E$1,0),0),"0"))/1</f>
        <v>-27150.87</v>
      </c>
      <c r="P16" s="20">
        <f t="shared" si="8"/>
        <v>-8.295372399873633E-3</v>
      </c>
      <c r="Q16" s="20">
        <f t="shared" si="4"/>
        <v>0.6483914582666761</v>
      </c>
      <c r="R16" s="19">
        <f>(IFERROR(VLOOKUP($L16,DRE!$B$2:$E$10,MATCH(Balanços!R$5,Ativo!$B$1:$E$1,0),0),"0"))/1</f>
        <v>-15068.38</v>
      </c>
      <c r="S16" s="20">
        <f t="shared" si="9"/>
        <v>-3.7203558072587172E-3</v>
      </c>
      <c r="T16" s="20">
        <f t="shared" si="6"/>
        <v>-0.44501299590031551</v>
      </c>
      <c r="U16" s="14"/>
    </row>
    <row r="17" spans="1:21" x14ac:dyDescent="0.3">
      <c r="A17" s="14"/>
      <c r="B17" s="7" t="s">
        <v>12</v>
      </c>
      <c r="C17" s="19">
        <f>(IFERROR(VLOOKUP($B17,Ativo!$B$2:$E$19,MATCH(Balanços!C$5,Ativo!$B$1:$E$1,0),0),"0"))/1</f>
        <v>0</v>
      </c>
      <c r="D17" s="9">
        <f t="shared" si="5"/>
        <v>0</v>
      </c>
      <c r="E17" s="19">
        <f>(IFERROR(VLOOKUP($B17,Ativo!$B$2:$E$19,MATCH(Balanços!E$5,Ativo!$B$1:$E$1,0),0),"0"))/1</f>
        <v>0</v>
      </c>
      <c r="F17" s="20">
        <f t="shared" si="0"/>
        <v>0</v>
      </c>
      <c r="G17" s="20">
        <f t="shared" si="1"/>
        <v>0</v>
      </c>
      <c r="H17" s="19">
        <f>(IFERROR(VLOOKUP($B17,Ativo!$B$2:$E$19,MATCH(Balanços!H$5,Ativo!$B$1:$E$1,0),0),"0"))/1</f>
        <v>0</v>
      </c>
      <c r="I17" s="20">
        <f t="shared" si="2"/>
        <v>0</v>
      </c>
      <c r="J17" s="20">
        <f t="shared" si="3"/>
        <v>0</v>
      </c>
      <c r="K17" s="14"/>
      <c r="L17" s="14" t="s">
        <v>40</v>
      </c>
      <c r="M17" s="19">
        <f>(IFERROR(VLOOKUP($L17,DRE!$B$2:$E$10,MATCH(Balanços!M$5,Ativo!$B$1:$E$1,0),0),"0"))/1</f>
        <v>0</v>
      </c>
      <c r="N17" s="20">
        <f t="shared" si="7"/>
        <v>0</v>
      </c>
      <c r="O17" s="19">
        <f>(IFERROR(VLOOKUP($L17,DRE!$B$2:$E$10,MATCH(Balanços!O$5,Ativo!$B$1:$E$1,0),0),"0"))/1</f>
        <v>0</v>
      </c>
      <c r="P17" s="20">
        <f t="shared" si="8"/>
        <v>0</v>
      </c>
      <c r="Q17" s="20">
        <f t="shared" si="4"/>
        <v>0</v>
      </c>
      <c r="R17" s="19">
        <f>(IFERROR(VLOOKUP($L17,DRE!$B$2:$E$10,MATCH(Balanços!R$5,Ativo!$B$1:$E$1,0),0),"0"))/1</f>
        <v>0</v>
      </c>
      <c r="S17" s="20">
        <f t="shared" si="9"/>
        <v>0</v>
      </c>
      <c r="T17" s="20">
        <f t="shared" si="6"/>
        <v>0</v>
      </c>
      <c r="U17" s="14"/>
    </row>
    <row r="18" spans="1:21" x14ac:dyDescent="0.3">
      <c r="A18" s="14"/>
      <c r="B18" s="14"/>
      <c r="C18" s="19"/>
      <c r="D18" s="10">
        <f t="shared" si="5"/>
        <v>0</v>
      </c>
      <c r="E18" s="19"/>
      <c r="F18" s="20">
        <f t="shared" si="0"/>
        <v>0</v>
      </c>
      <c r="G18" s="20">
        <f t="shared" si="1"/>
        <v>0</v>
      </c>
      <c r="H18" s="19"/>
      <c r="I18" s="20">
        <f t="shared" si="2"/>
        <v>0</v>
      </c>
      <c r="J18" s="20">
        <f t="shared" si="3"/>
        <v>0</v>
      </c>
      <c r="K18" s="14"/>
      <c r="L18" s="23" t="s">
        <v>58</v>
      </c>
      <c r="M18" s="19">
        <f>SUM(M14:M17)</f>
        <v>276251.52000000014</v>
      </c>
      <c r="N18" s="20">
        <f t="shared" si="7"/>
        <v>9.5500369210174227E-2</v>
      </c>
      <c r="O18" s="19">
        <f>SUM(O14:O17)</f>
        <v>12309.469999999998</v>
      </c>
      <c r="P18" s="20">
        <f t="shared" si="8"/>
        <v>3.760897448040246E-3</v>
      </c>
      <c r="Q18" s="20">
        <f t="shared" si="4"/>
        <v>-0.95544107775406995</v>
      </c>
      <c r="R18" s="19">
        <f>SUM(R14:R17)</f>
        <v>212021.61000000013</v>
      </c>
      <c r="S18" s="20">
        <f t="shared" si="9"/>
        <v>5.234775258042626E-2</v>
      </c>
      <c r="T18" s="20">
        <f t="shared" si="6"/>
        <v>16.224267982293323</v>
      </c>
      <c r="U18" s="14"/>
    </row>
    <row r="19" spans="1:21" x14ac:dyDescent="0.3">
      <c r="A19" s="14"/>
      <c r="B19" s="2" t="s">
        <v>59</v>
      </c>
      <c r="C19" s="12">
        <f>SUM(C20:C23)</f>
        <v>3000</v>
      </c>
      <c r="D19" s="11">
        <f t="shared" si="5"/>
        <v>4.8627190389503618E-3</v>
      </c>
      <c r="E19" s="12">
        <f>SUM(E20:E23)</f>
        <v>9400</v>
      </c>
      <c r="F19" s="11">
        <f t="shared" si="0"/>
        <v>1.31895827833289E-2</v>
      </c>
      <c r="G19" s="11">
        <f t="shared" si="1"/>
        <v>2.1333333333333333</v>
      </c>
      <c r="H19" s="12">
        <f>SUM(H20:H23)</f>
        <v>9400</v>
      </c>
      <c r="I19" s="11">
        <f t="shared" ref="I19:I29" si="10">+IF(OR(H19&gt;0,H19&lt;0),H19/H$29,0)</f>
        <v>3.2613979169597222E-3</v>
      </c>
      <c r="J19" s="11">
        <f t="shared" ref="J19:J29" si="11">IFERROR((H19/E19)-1,0)</f>
        <v>0</v>
      </c>
      <c r="K19" s="14"/>
      <c r="L19" s="14" t="s">
        <v>43</v>
      </c>
      <c r="M19" s="19">
        <f>(IFERROR(VLOOKUP($L19,DRE!$B$2:$E$10,MATCH(Balanços!M$5,Ativo!$B$1:$E$1,0),0),"0"))/1</f>
        <v>0</v>
      </c>
      <c r="N19" s="20">
        <f t="shared" si="7"/>
        <v>0</v>
      </c>
      <c r="O19" s="19">
        <f>(IFERROR(VLOOKUP($L19,DRE!$B$2:$E$10,MATCH(Balanços!O$5,Ativo!$B$1:$E$1,0),0),"0"))/1</f>
        <v>0</v>
      </c>
      <c r="P19" s="20">
        <f t="shared" si="8"/>
        <v>0</v>
      </c>
      <c r="Q19" s="20">
        <f>IFERROR((O19/M19)-1,0)</f>
        <v>0</v>
      </c>
      <c r="R19" s="19">
        <f>(IFERROR(VLOOKUP($L19,DRE!$B$2:$E$10,MATCH(Balanços!R$5,Ativo!$B$1:$E$1,0),0),"0"))/1</f>
        <v>0</v>
      </c>
      <c r="S19" s="20">
        <f t="shared" si="9"/>
        <v>0</v>
      </c>
      <c r="T19" s="20">
        <f>IFERROR((R19/O19)-1,0)</f>
        <v>0</v>
      </c>
      <c r="U19" s="14"/>
    </row>
    <row r="20" spans="1:21" x14ac:dyDescent="0.3">
      <c r="A20" s="14"/>
      <c r="B20" s="14" t="s">
        <v>14</v>
      </c>
      <c r="C20" s="19">
        <f>(IFERROR(VLOOKUP($B20,Ativo!$B$2:$E$19,MATCH(Balanços!C$5,Ativo!$B$1:$E$1,0),0),"0"))/1</f>
        <v>0</v>
      </c>
      <c r="D20" s="20">
        <f t="shared" si="5"/>
        <v>0</v>
      </c>
      <c r="E20" s="19">
        <f>(IFERROR(VLOOKUP($B20,Ativo!$B$2:$E$19,MATCH(Balanços!E$5,Ativo!$B$1:$E$1,0),0),"0"))/1</f>
        <v>0</v>
      </c>
      <c r="F20" s="20">
        <f t="shared" si="0"/>
        <v>0</v>
      </c>
      <c r="G20" s="20">
        <f t="shared" si="1"/>
        <v>0</v>
      </c>
      <c r="H20" s="19">
        <f>(IFERROR(VLOOKUP($B20,Ativo!$B$2:$E$19,MATCH(Balanços!H$5,Ativo!$B$1:$E$1,0),0),"0"))/1</f>
        <v>0</v>
      </c>
      <c r="I20" s="20">
        <f t="shared" si="10"/>
        <v>0</v>
      </c>
      <c r="J20" s="20">
        <f t="shared" si="11"/>
        <v>0</v>
      </c>
      <c r="K20" s="14"/>
      <c r="L20" s="24" t="s">
        <v>60</v>
      </c>
      <c r="M20" s="25">
        <f>+M18+M19</f>
        <v>276251.52000000014</v>
      </c>
      <c r="N20" s="26">
        <f t="shared" si="7"/>
        <v>9.5500369210174227E-2</v>
      </c>
      <c r="O20" s="25">
        <f>+O18+O19</f>
        <v>12309.469999999998</v>
      </c>
      <c r="P20" s="26">
        <f t="shared" si="8"/>
        <v>3.760897448040246E-3</v>
      </c>
      <c r="Q20" s="26">
        <f t="shared" si="4"/>
        <v>-0.95544107775406995</v>
      </c>
      <c r="R20" s="25">
        <f>+R18+R19</f>
        <v>212021.61000000013</v>
      </c>
      <c r="S20" s="26">
        <f t="shared" si="9"/>
        <v>5.234775258042626E-2</v>
      </c>
      <c r="T20" s="26">
        <f t="shared" si="6"/>
        <v>16.224267982293323</v>
      </c>
      <c r="U20" s="14"/>
    </row>
    <row r="21" spans="1:21" x14ac:dyDescent="0.3">
      <c r="A21" s="14"/>
      <c r="B21" s="14" t="s">
        <v>16</v>
      </c>
      <c r="C21" s="19">
        <f>(IFERROR(VLOOKUP($B21,Ativo!$B$2:$E$19,MATCH(Balanços!C$5,Ativo!$B$1:$E$1,0),0),"0"))/1</f>
        <v>0</v>
      </c>
      <c r="D21" s="20">
        <f t="shared" si="5"/>
        <v>0</v>
      </c>
      <c r="E21" s="19">
        <f>(IFERROR(VLOOKUP($B21,Ativo!$B$2:$E$19,MATCH(Balanços!E$5,Ativo!$B$1:$E$1,0),0),"0"))/1</f>
        <v>0</v>
      </c>
      <c r="F21" s="20">
        <f t="shared" si="0"/>
        <v>0</v>
      </c>
      <c r="G21" s="20">
        <f t="shared" si="1"/>
        <v>0</v>
      </c>
      <c r="H21" s="19">
        <f>(IFERROR(VLOOKUP($B21,Ativo!$B$2:$E$19,MATCH(Balanços!H$5,Ativo!$B$1:$E$1,0),0),"0"))/1</f>
        <v>0</v>
      </c>
      <c r="I21" s="20">
        <f t="shared" si="10"/>
        <v>0</v>
      </c>
      <c r="J21" s="20">
        <f t="shared" si="11"/>
        <v>0</v>
      </c>
      <c r="K21" s="14"/>
      <c r="L21" s="27"/>
      <c r="M21" s="27"/>
      <c r="N21" s="27"/>
      <c r="O21" s="27"/>
      <c r="P21" s="27"/>
      <c r="Q21" s="27"/>
      <c r="R21" s="27"/>
      <c r="S21" s="27"/>
      <c r="T21" s="27"/>
      <c r="U21" s="14"/>
    </row>
    <row r="22" spans="1:21" x14ac:dyDescent="0.3">
      <c r="A22" s="14"/>
      <c r="B22" s="14" t="s">
        <v>13</v>
      </c>
      <c r="C22" s="19">
        <f>(IFERROR(VLOOKUP($B22,Ativo!$B$2:$E$19,MATCH(Balanços!C$5,Ativo!$B$1:$E$1,0),0),"0"))/1</f>
        <v>3000</v>
      </c>
      <c r="D22" s="20">
        <f t="shared" si="5"/>
        <v>4.8627190389503618E-3</v>
      </c>
      <c r="E22" s="19">
        <f>(IFERROR(VLOOKUP($B22,Ativo!$B$2:$E$19,MATCH(Balanços!E$5,Ativo!$B$1:$E$1,0),0),"0"))/1</f>
        <v>9400</v>
      </c>
      <c r="F22" s="20">
        <f t="shared" si="0"/>
        <v>1.31895827833289E-2</v>
      </c>
      <c r="G22" s="20">
        <f t="shared" si="1"/>
        <v>2.1333333333333333</v>
      </c>
      <c r="H22" s="19">
        <f>(IFERROR(VLOOKUP($B22,Ativo!$B$2:$E$19,MATCH(Balanços!H$5,Ativo!$B$1:$E$1,0),0),"0"))/1</f>
        <v>9400</v>
      </c>
      <c r="I22" s="20">
        <f t="shared" si="10"/>
        <v>3.2613979169597222E-3</v>
      </c>
      <c r="J22" s="20">
        <f t="shared" si="11"/>
        <v>0</v>
      </c>
      <c r="K22" s="14"/>
      <c r="L22" s="82" t="s">
        <v>61</v>
      </c>
      <c r="M22" s="83"/>
      <c r="N22" s="83"/>
      <c r="O22" s="83"/>
      <c r="P22" s="83"/>
      <c r="Q22" s="83"/>
      <c r="R22" s="83"/>
      <c r="S22" s="83"/>
      <c r="T22" s="84"/>
      <c r="U22" s="14"/>
    </row>
    <row r="23" spans="1:21" x14ac:dyDescent="0.3">
      <c r="A23" s="14"/>
      <c r="B23" s="14" t="s">
        <v>15</v>
      </c>
      <c r="C23" s="19">
        <f>(IFERROR(VLOOKUP($B23,Ativo!$B$2:$E$19,MATCH(Balanços!C$5,Ativo!$B$1:$E$1,0),0),"0"))/1</f>
        <v>0</v>
      </c>
      <c r="D23" s="20">
        <f t="shared" si="5"/>
        <v>0</v>
      </c>
      <c r="E23" s="19">
        <f>(IFERROR(VLOOKUP($B23,Ativo!$B$2:$E$19,MATCH(Balanços!E$5,Ativo!$B$1:$E$1,0),0),"0"))/1</f>
        <v>0</v>
      </c>
      <c r="F23" s="20">
        <f t="shared" si="0"/>
        <v>0</v>
      </c>
      <c r="G23" s="20">
        <f t="shared" si="1"/>
        <v>0</v>
      </c>
      <c r="H23" s="19">
        <f>(IFERROR(VLOOKUP($B23,Ativo!$B$2:$E$19,MATCH(Balanços!H$5,Ativo!$B$1:$E$1,0),0),"0"))/1</f>
        <v>0</v>
      </c>
      <c r="I23" s="20">
        <f t="shared" si="10"/>
        <v>0</v>
      </c>
      <c r="J23" s="20">
        <f t="shared" si="11"/>
        <v>0</v>
      </c>
      <c r="K23" s="14"/>
      <c r="L23" s="131"/>
      <c r="M23" s="132">
        <f>+C5</f>
        <v>2021</v>
      </c>
      <c r="N23" s="133"/>
      <c r="O23" s="132">
        <f>+E5</f>
        <v>2022</v>
      </c>
      <c r="P23" s="134"/>
      <c r="Q23" s="133"/>
      <c r="R23" s="132">
        <f>+H5</f>
        <v>2023</v>
      </c>
      <c r="S23" s="134"/>
      <c r="T23" s="133"/>
      <c r="U23" s="14"/>
    </row>
    <row r="24" spans="1:21" x14ac:dyDescent="0.3">
      <c r="A24" s="14"/>
      <c r="B24" s="2" t="s">
        <v>62</v>
      </c>
      <c r="C24" s="28">
        <f>SUM(C25:C28)</f>
        <v>9298.0399999999972</v>
      </c>
      <c r="D24" s="29">
        <f t="shared" si="5"/>
        <v>1.5071252044307338E-2</v>
      </c>
      <c r="E24" s="28">
        <f>SUM(E25:E28)</f>
        <v>221389.92</v>
      </c>
      <c r="F24" s="29">
        <f t="shared" si="0"/>
        <v>0.31064262523771946</v>
      </c>
      <c r="G24" s="29">
        <f t="shared" si="1"/>
        <v>22.810385844758688</v>
      </c>
      <c r="H24" s="28">
        <f>SUM(H25:H28)</f>
        <v>263134.18</v>
      </c>
      <c r="I24" s="29">
        <f t="shared" si="10"/>
        <v>9.1296304950308993E-2</v>
      </c>
      <c r="J24" s="29">
        <f t="shared" si="11"/>
        <v>0.18855537776968334</v>
      </c>
      <c r="K24" s="14"/>
      <c r="L24" s="14" t="s">
        <v>63</v>
      </c>
      <c r="M24" s="72"/>
      <c r="N24" s="73"/>
      <c r="O24" s="72">
        <f>+M35</f>
        <v>512798.87</v>
      </c>
      <c r="P24" s="119"/>
      <c r="Q24" s="73"/>
      <c r="R24" s="72">
        <f>+O35</f>
        <v>476527.38000000006</v>
      </c>
      <c r="S24" s="119"/>
      <c r="T24" s="73"/>
      <c r="U24" s="14"/>
    </row>
    <row r="25" spans="1:21" x14ac:dyDescent="0.3">
      <c r="A25" s="14"/>
      <c r="B25" s="14" t="s">
        <v>18</v>
      </c>
      <c r="C25" s="19">
        <f>(IFERROR(VLOOKUP($B25,Ativo!$B$2:$E$19,MATCH(Balanços!C$5,Ativo!$B$1:$E$1,0),0),"0"))/1</f>
        <v>0</v>
      </c>
      <c r="D25" s="20">
        <f t="shared" si="5"/>
        <v>0</v>
      </c>
      <c r="E25" s="19">
        <f>(IFERROR(VLOOKUP($B25,Ativo!$B$2:$E$19,MATCH(Balanços!E$5,Ativo!$B$1:$E$1,0),0),"0"))/1</f>
        <v>0</v>
      </c>
      <c r="F25" s="20">
        <f t="shared" si="0"/>
        <v>0</v>
      </c>
      <c r="G25" s="20">
        <f t="shared" si="1"/>
        <v>0</v>
      </c>
      <c r="H25" s="19">
        <f>(IFERROR(VLOOKUP($B25,Ativo!$B$2:$E$19,MATCH(Balanços!H$5,Ativo!$B$1:$E$1,0),0),"0"))/1</f>
        <v>0</v>
      </c>
      <c r="I25" s="20">
        <f t="shared" si="10"/>
        <v>0</v>
      </c>
      <c r="J25" s="20">
        <f t="shared" si="11"/>
        <v>0</v>
      </c>
      <c r="K25" s="14"/>
      <c r="L25" s="30" t="s">
        <v>64</v>
      </c>
      <c r="M25" s="74"/>
      <c r="N25" s="75"/>
      <c r="O25" s="74">
        <f>+SUM(O26:Q28)</f>
        <v>159273.94000000012</v>
      </c>
      <c r="P25" s="120"/>
      <c r="Q25" s="75"/>
      <c r="R25" s="74">
        <f>+SUM(R26:T28)</f>
        <v>1666802.55</v>
      </c>
      <c r="S25" s="120"/>
      <c r="T25" s="75"/>
      <c r="U25" s="14"/>
    </row>
    <row r="26" spans="1:21" x14ac:dyDescent="0.3">
      <c r="A26" s="14"/>
      <c r="B26" s="14" t="s">
        <v>17</v>
      </c>
      <c r="C26" s="19">
        <f>(IFERROR(VLOOKUP($B26,Ativo!$B$2:$E$19,MATCH(Balanços!C$5,Ativo!$B$1:$E$1,0),0),"0"))/1</f>
        <v>41396.129999999997</v>
      </c>
      <c r="D26" s="20">
        <f t="shared" si="5"/>
        <v>6.7099249829954744E-2</v>
      </c>
      <c r="E26" s="19">
        <f>(IFERROR(VLOOKUP($B26,Ativo!$B$2:$E$19,MATCH(Balanços!E$5,Ativo!$B$1:$E$1,0),0),"0"))/1</f>
        <v>250454.23</v>
      </c>
      <c r="F26" s="20">
        <f t="shared" si="0"/>
        <v>0.35142412766169112</v>
      </c>
      <c r="G26" s="20">
        <f t="shared" si="1"/>
        <v>5.0501846428639592</v>
      </c>
      <c r="H26" s="19">
        <f>(IFERROR(VLOOKUP($B26,Ativo!$B$2:$E$19,MATCH(Balanços!H$5,Ativo!$B$1:$E$1,0),0),"0"))/1</f>
        <v>315031.61</v>
      </c>
      <c r="I26" s="20">
        <f t="shared" si="10"/>
        <v>0.10930249325856038</v>
      </c>
      <c r="J26" s="20">
        <f t="shared" si="11"/>
        <v>0.2578410434513323</v>
      </c>
      <c r="K26" s="14"/>
      <c r="L26" s="14" t="s">
        <v>65</v>
      </c>
      <c r="M26" s="72"/>
      <c r="N26" s="73"/>
      <c r="O26" s="72">
        <f>+O20-O11</f>
        <v>24670.549999999996</v>
      </c>
      <c r="P26" s="119"/>
      <c r="Q26" s="73"/>
      <c r="R26" s="72">
        <f>+R20-R11</f>
        <v>234854.73000000013</v>
      </c>
      <c r="S26" s="119"/>
      <c r="T26" s="73"/>
      <c r="U26" s="14"/>
    </row>
    <row r="27" spans="1:21" x14ac:dyDescent="0.3">
      <c r="A27" s="14"/>
      <c r="B27" s="14" t="s">
        <v>20</v>
      </c>
      <c r="C27" s="19">
        <f>(IFERROR(VLOOKUP($B27,Ativo!$B$2:$E$19,MATCH(Balanços!C$5,Ativo!$B$1:$E$1,0),0),"0"))/1</f>
        <v>-32098.09</v>
      </c>
      <c r="D27" s="20">
        <f t="shared" si="5"/>
        <v>-5.2027997785647408E-2</v>
      </c>
      <c r="E27" s="19">
        <f>(IFERROR(VLOOKUP($B27,Ativo!$B$2:$E$19,MATCH(Balanços!E$5,Ativo!$B$1:$E$1,0),0),"0"))/1</f>
        <v>-29064.31</v>
      </c>
      <c r="F27" s="20">
        <f t="shared" si="0"/>
        <v>-4.0781502423971702E-2</v>
      </c>
      <c r="G27" s="20">
        <f t="shared" si="1"/>
        <v>-9.4515904217353675E-2</v>
      </c>
      <c r="H27" s="19">
        <f>(IFERROR(VLOOKUP($B27,Ativo!$B$2:$E$19,MATCH(Balanços!H$5,Ativo!$B$1:$E$1,0),0),"0"))/1</f>
        <v>-51897.43</v>
      </c>
      <c r="I27" s="20">
        <f t="shared" si="10"/>
        <v>-1.8006188308251382E-2</v>
      </c>
      <c r="J27" s="20">
        <f t="shared" si="11"/>
        <v>0.78560681468096094</v>
      </c>
      <c r="K27" s="14"/>
      <c r="L27" s="14" t="s">
        <v>66</v>
      </c>
      <c r="M27" s="72"/>
      <c r="N27" s="73"/>
      <c r="O27" s="72">
        <f>(C6-C7)-(E6-E7)+(C19-E19)</f>
        <v>80075.530000000144</v>
      </c>
      <c r="P27" s="119"/>
      <c r="Q27" s="73"/>
      <c r="R27" s="72">
        <f>(E6-E7)-(H6-H7)+(E19-H19)</f>
        <v>-536614.46000000031</v>
      </c>
      <c r="S27" s="119"/>
      <c r="T27" s="73"/>
      <c r="U27" s="14"/>
    </row>
    <row r="28" spans="1:21" x14ac:dyDescent="0.3">
      <c r="A28" s="14"/>
      <c r="B28" s="31" t="s">
        <v>19</v>
      </c>
      <c r="C28" s="25">
        <f>(IFERROR(VLOOKUP($B28,Ativo!$B$2:$E$19,MATCH(Balanços!C$5,Ativo!$B$1:$E$1,0),0),"0"))/1</f>
        <v>0</v>
      </c>
      <c r="D28" s="26">
        <f t="shared" si="5"/>
        <v>0</v>
      </c>
      <c r="E28" s="25">
        <f>(IFERROR(VLOOKUP($B28,Ativo!$B$2:$E$19,MATCH(Balanços!E$5,Ativo!$B$1:$E$1,0),0),"0"))/1</f>
        <v>0</v>
      </c>
      <c r="F28" s="26">
        <f t="shared" si="0"/>
        <v>0</v>
      </c>
      <c r="G28" s="26">
        <f t="shared" si="1"/>
        <v>0</v>
      </c>
      <c r="H28" s="25">
        <f>(IFERROR(VLOOKUP($B28,Ativo!$B$2:$E$19,MATCH(Balanços!H$5,Ativo!$B$1:$E$1,0),0),"0"))/1</f>
        <v>0</v>
      </c>
      <c r="I28" s="26">
        <f t="shared" si="10"/>
        <v>0</v>
      </c>
      <c r="J28" s="26">
        <f t="shared" si="11"/>
        <v>0</v>
      </c>
      <c r="K28" s="14"/>
      <c r="L28" s="14" t="s">
        <v>67</v>
      </c>
      <c r="M28" s="72"/>
      <c r="N28" s="73"/>
      <c r="O28" s="72">
        <f>(+E32-E33-E34)-(C32-C33-C34)+(E42-E43)-(C42-C43)</f>
        <v>54527.859999999993</v>
      </c>
      <c r="P28" s="119"/>
      <c r="Q28" s="73"/>
      <c r="R28" s="72">
        <f>(+H32-H33-H34)-(E32-E33-E34)+(H42-H43)-(E42-E43)</f>
        <v>1968562.2800000003</v>
      </c>
      <c r="S28" s="119"/>
      <c r="T28" s="73"/>
      <c r="U28" s="14"/>
    </row>
    <row r="29" spans="1:21" x14ac:dyDescent="0.3">
      <c r="A29" s="14"/>
      <c r="B29" s="32" t="s">
        <v>68</v>
      </c>
      <c r="C29" s="33">
        <f>C6+C19+C24</f>
        <v>616938.79000000015</v>
      </c>
      <c r="D29" s="34">
        <f t="shared" si="5"/>
        <v>1</v>
      </c>
      <c r="E29" s="33">
        <f>E6+E19+E24</f>
        <v>712683.65</v>
      </c>
      <c r="F29" s="34">
        <f t="shared" si="0"/>
        <v>1</v>
      </c>
      <c r="G29" s="34">
        <f t="shared" si="1"/>
        <v>0.15519345120121208</v>
      </c>
      <c r="H29" s="33">
        <f>H6+H19+H24</f>
        <v>2882199.6700000004</v>
      </c>
      <c r="I29" s="34">
        <f t="shared" si="10"/>
        <v>1</v>
      </c>
      <c r="J29" s="34">
        <f t="shared" si="11"/>
        <v>3.0441501218668341</v>
      </c>
      <c r="K29" s="14"/>
      <c r="L29" s="30" t="s">
        <v>69</v>
      </c>
      <c r="M29" s="74"/>
      <c r="N29" s="75"/>
      <c r="O29" s="74">
        <f>SUM(O30)</f>
        <v>-224452.96</v>
      </c>
      <c r="P29" s="120"/>
      <c r="Q29" s="75"/>
      <c r="R29" s="74">
        <f>SUM(R30)</f>
        <v>-64577.379999999976</v>
      </c>
      <c r="S29" s="120"/>
      <c r="T29" s="75"/>
      <c r="U29" s="14"/>
    </row>
    <row r="30" spans="1:21" x14ac:dyDescent="0.3">
      <c r="A30" s="14"/>
      <c r="B30" s="32"/>
      <c r="C30" s="33"/>
      <c r="D30" s="34"/>
      <c r="E30" s="33"/>
      <c r="F30" s="34"/>
      <c r="G30" s="34"/>
      <c r="H30" s="33"/>
      <c r="I30" s="34"/>
      <c r="J30" s="34"/>
      <c r="K30" s="14"/>
      <c r="L30" s="14" t="s">
        <v>70</v>
      </c>
      <c r="M30" s="72"/>
      <c r="N30" s="73"/>
      <c r="O30" s="72">
        <f>+(C24-E24)+O11</f>
        <v>-224452.96</v>
      </c>
      <c r="P30" s="119"/>
      <c r="Q30" s="73"/>
      <c r="R30" s="72">
        <f>+(E24-H24)+R11</f>
        <v>-64577.379999999976</v>
      </c>
      <c r="S30" s="119"/>
      <c r="T30" s="73"/>
      <c r="U30" s="14"/>
    </row>
    <row r="31" spans="1:21" x14ac:dyDescent="0.3">
      <c r="A31" s="14"/>
      <c r="B31" s="14"/>
      <c r="C31" s="19"/>
      <c r="D31" s="35"/>
      <c r="E31" s="19"/>
      <c r="F31" s="35"/>
      <c r="G31" s="35"/>
      <c r="H31" s="19"/>
      <c r="I31" s="35"/>
      <c r="J31" s="35"/>
      <c r="K31" s="14"/>
      <c r="L31" s="30" t="s">
        <v>71</v>
      </c>
      <c r="M31" s="74"/>
      <c r="N31" s="75"/>
      <c r="O31" s="74">
        <f>SUM(O32:Q33)</f>
        <v>28907.529999999948</v>
      </c>
      <c r="P31" s="120"/>
      <c r="Q31" s="75"/>
      <c r="R31" s="74">
        <f>SUM(R32:T33)</f>
        <v>-11067.870000000074</v>
      </c>
      <c r="S31" s="120"/>
      <c r="T31" s="75"/>
      <c r="U31" s="14"/>
    </row>
    <row r="32" spans="1:21" x14ac:dyDescent="0.3">
      <c r="A32" s="14"/>
      <c r="B32" s="16" t="s">
        <v>72</v>
      </c>
      <c r="C32" s="28">
        <f>SUM(C33:C41)</f>
        <v>48573.1</v>
      </c>
      <c r="D32" s="18" t="s">
        <v>51</v>
      </c>
      <c r="E32" s="28">
        <f>SUM(E33:E41)</f>
        <v>117336.92</v>
      </c>
      <c r="F32" s="18" t="s">
        <v>51</v>
      </c>
      <c r="G32" s="18" t="s">
        <v>52</v>
      </c>
      <c r="H32" s="28">
        <f>SUM(H33:H41)</f>
        <v>2077656.1600000001</v>
      </c>
      <c r="I32" s="18" t="s">
        <v>51</v>
      </c>
      <c r="J32" s="18" t="s">
        <v>52</v>
      </c>
      <c r="K32" s="14"/>
      <c r="L32" s="14" t="s">
        <v>73</v>
      </c>
      <c r="M32" s="72"/>
      <c r="N32" s="73"/>
      <c r="O32" s="72">
        <f>(E33+E34+E43+E44)-(C33+C43+C34+C44)</f>
        <v>14235.96</v>
      </c>
      <c r="P32" s="119"/>
      <c r="Q32" s="73"/>
      <c r="R32" s="72">
        <f>(H33+H34+H43+H44)-(E33+E34+E43+E44)</f>
        <v>-8243.0399999999991</v>
      </c>
      <c r="S32" s="119"/>
      <c r="T32" s="73"/>
      <c r="U32" s="14"/>
    </row>
    <row r="33" spans="1:21" x14ac:dyDescent="0.3">
      <c r="A33" s="14"/>
      <c r="B33" s="14" t="s">
        <v>22</v>
      </c>
      <c r="C33" s="19">
        <f>(IFERROR(VLOOKUP($B33,Passivo!$B$2:$E$25,MATCH(Balanços!C$5,Passivo!$B$1:$E$1,0),0),"0"))/1</f>
        <v>0</v>
      </c>
      <c r="D33" s="20">
        <f t="shared" ref="D33:D53" si="12">+IF(OR(C33&gt;0,C33&lt;0),C33/C$53,0)</f>
        <v>0</v>
      </c>
      <c r="E33" s="19">
        <f>(IFERROR(VLOOKUP($B33,Passivo!$B$2:$E$25,MATCH(Balanços!E$5,Passivo!$B$1:$E$1,0),0),"0"))/1</f>
        <v>14235.96</v>
      </c>
      <c r="F33" s="20">
        <f t="shared" ref="F33:F53" si="13">+IF(OR(E33&gt;0,E33&lt;0),E33/E$53,0)</f>
        <v>1.9975146055336051E-2</v>
      </c>
      <c r="G33" s="20">
        <f t="shared" ref="G33:G53" si="14">IFERROR((E33/C33)-1,0)</f>
        <v>0</v>
      </c>
      <c r="H33" s="19">
        <f>(IFERROR(VLOOKUP($B33,Passivo!$B$2:$E$25,MATCH(Balanços!H$5,Passivo!$B$1:$E$1,0),0),"0"))/1</f>
        <v>5992.92</v>
      </c>
      <c r="I33" s="20">
        <f t="shared" ref="I33:I53" si="15">+IF(OR(H33&gt;0,H33&lt;0),H33/H$53,0)</f>
        <v>2.0792868940964107E-3</v>
      </c>
      <c r="J33" s="20">
        <f t="shared" ref="J33:J53" si="16">IFERROR((H33/E33)-1,0)</f>
        <v>-0.57902944374668097</v>
      </c>
      <c r="K33" s="14"/>
      <c r="L33" s="14" t="s">
        <v>74</v>
      </c>
      <c r="M33" s="72"/>
      <c r="N33" s="73"/>
      <c r="O33" s="72">
        <f>+E48-O20-C48</f>
        <v>14671.569999999949</v>
      </c>
      <c r="P33" s="119"/>
      <c r="Q33" s="73"/>
      <c r="R33" s="72">
        <f>+H48-R20-E48</f>
        <v>-2824.8300000000745</v>
      </c>
      <c r="S33" s="119"/>
      <c r="T33" s="73"/>
      <c r="U33" s="14"/>
    </row>
    <row r="34" spans="1:21" x14ac:dyDescent="0.3">
      <c r="A34" s="14"/>
      <c r="B34" s="14" t="s">
        <v>16</v>
      </c>
      <c r="C34" s="19">
        <f>(IFERROR(VLOOKUP($B34,Passivo!$B$2:$E$25,MATCH(Balanços!C$5,Passivo!$B$1:$E$1,0),0),"0"))/1</f>
        <v>0</v>
      </c>
      <c r="D34" s="20">
        <f t="shared" si="12"/>
        <v>0</v>
      </c>
      <c r="E34" s="19">
        <f>(IFERROR(VLOOKUP($B34,Passivo!$B$2:$E$25,MATCH(Balanços!E$5,Passivo!$B$1:$E$1,0),0),"0"))/1</f>
        <v>0</v>
      </c>
      <c r="F34" s="20">
        <f t="shared" si="13"/>
        <v>0</v>
      </c>
      <c r="G34" s="20">
        <f t="shared" si="14"/>
        <v>0</v>
      </c>
      <c r="H34" s="19">
        <f>(IFERROR(VLOOKUP($B34,Passivo!$B$2:$E$25,MATCH(Balanços!H$5,Passivo!$B$1:$E$1,0),0),"0"))/1</f>
        <v>0</v>
      </c>
      <c r="I34" s="20">
        <f t="shared" si="15"/>
        <v>0</v>
      </c>
      <c r="J34" s="20">
        <f t="shared" si="16"/>
        <v>0</v>
      </c>
      <c r="K34" s="14"/>
      <c r="L34" s="30" t="s">
        <v>75</v>
      </c>
      <c r="M34" s="74"/>
      <c r="N34" s="75"/>
      <c r="O34" s="74">
        <f>+O25+O29+O31</f>
        <v>-36271.489999999925</v>
      </c>
      <c r="P34" s="120"/>
      <c r="Q34" s="75"/>
      <c r="R34" s="74">
        <f>+R25+R29+R31</f>
        <v>1591157.3</v>
      </c>
      <c r="S34" s="120"/>
      <c r="T34" s="75"/>
      <c r="U34" s="14"/>
    </row>
    <row r="35" spans="1:21" x14ac:dyDescent="0.3">
      <c r="A35" s="14"/>
      <c r="B35" s="14" t="s">
        <v>25</v>
      </c>
      <c r="C35" s="19">
        <f>(IFERROR(VLOOKUP($B35,Passivo!$B$2:$E$25,MATCH(Balanços!C$5,Passivo!$B$1:$E$1,0),0),"0"))/1</f>
        <v>52.65</v>
      </c>
      <c r="D35" s="20">
        <f t="shared" si="12"/>
        <v>8.5340719133578864E-5</v>
      </c>
      <c r="E35" s="19">
        <f>(IFERROR(VLOOKUP($B35,Passivo!$B$2:$E$25,MATCH(Balanços!E$5,Passivo!$B$1:$E$1,0),0),"0"))/1</f>
        <v>63572.18</v>
      </c>
      <c r="F35" s="20">
        <f t="shared" si="13"/>
        <v>8.9201120300711256E-2</v>
      </c>
      <c r="G35" s="20">
        <f t="shared" si="14"/>
        <v>1206.4488129154797</v>
      </c>
      <c r="H35" s="19">
        <f>(IFERROR(VLOOKUP($B35,Passivo!$B$2:$E$25,MATCH(Balanços!H$5,Passivo!$B$1:$E$1,0),0),"0"))/1</f>
        <v>19979.43</v>
      </c>
      <c r="I35" s="20">
        <f t="shared" si="15"/>
        <v>6.9320075940470845E-3</v>
      </c>
      <c r="J35" s="20">
        <f t="shared" si="16"/>
        <v>-0.68572054631444135</v>
      </c>
      <c r="K35" s="14"/>
      <c r="L35" s="31" t="s">
        <v>76</v>
      </c>
      <c r="M35" s="121">
        <f>+C7</f>
        <v>512798.87</v>
      </c>
      <c r="N35" s="123"/>
      <c r="O35" s="121">
        <f>+O34+O24</f>
        <v>476527.38000000006</v>
      </c>
      <c r="P35" s="122"/>
      <c r="Q35" s="123"/>
      <c r="R35" s="121">
        <f>+R34+R24</f>
        <v>2067684.6800000002</v>
      </c>
      <c r="S35" s="122"/>
      <c r="T35" s="123"/>
      <c r="U35" s="14"/>
    </row>
    <row r="36" spans="1:21" x14ac:dyDescent="0.3">
      <c r="A36" s="14"/>
      <c r="B36" s="14" t="s">
        <v>24</v>
      </c>
      <c r="C36" s="19">
        <f>(IFERROR(VLOOKUP($B36,Passivo!$B$2:$E$25,MATCH(Balanços!C$5,Passivo!$B$1:$E$1,0),0),"0"))/1</f>
        <v>16327.94</v>
      </c>
      <c r="D36" s="20">
        <f t="shared" si="12"/>
        <v>2.6466061568279731E-2</v>
      </c>
      <c r="E36" s="19">
        <f>(IFERROR(VLOOKUP($B36,Passivo!$B$2:$E$25,MATCH(Balanços!E$5,Passivo!$B$1:$E$1,0),0),"0"))/1</f>
        <v>23903.86</v>
      </c>
      <c r="F36" s="20">
        <f t="shared" si="13"/>
        <v>3.3540631947989827E-2</v>
      </c>
      <c r="G36" s="20">
        <f t="shared" si="14"/>
        <v>0.4639850464908617</v>
      </c>
      <c r="H36" s="19">
        <f>(IFERROR(VLOOKUP($B36,Passivo!$B$2:$E$25,MATCH(Balanços!H$5,Passivo!$B$1:$E$1,0),0),"0"))/1</f>
        <v>38779.949999999997</v>
      </c>
      <c r="I36" s="20">
        <f t="shared" si="15"/>
        <v>1.3454983845723637E-2</v>
      </c>
      <c r="J36" s="20">
        <f t="shared" si="16"/>
        <v>0.62233003372677032</v>
      </c>
      <c r="K36" s="14"/>
      <c r="L36" s="27"/>
      <c r="M36" s="27"/>
      <c r="N36" s="27"/>
      <c r="O36" s="27"/>
      <c r="P36" s="27"/>
      <c r="Q36" s="27"/>
      <c r="R36" s="27"/>
      <c r="S36" s="27"/>
      <c r="T36" s="27"/>
      <c r="U36" s="14"/>
    </row>
    <row r="37" spans="1:21" x14ac:dyDescent="0.3">
      <c r="A37" s="14"/>
      <c r="B37" s="14" t="s">
        <v>8</v>
      </c>
      <c r="C37" s="19">
        <f>(IFERROR(VLOOKUP($B37,Passivo!$B$2:$E$25,MATCH(Balanços!C$5,Passivo!$B$1:$E$1,0),0),"0"))/1</f>
        <v>0</v>
      </c>
      <c r="D37" s="20">
        <f t="shared" si="12"/>
        <v>0</v>
      </c>
      <c r="E37" s="19">
        <f>(IFERROR(VLOOKUP($B37,Passivo!$B$2:$E$25,MATCH(Balanços!E$5,Passivo!$B$1:$E$1,0),0),"0"))/1</f>
        <v>0</v>
      </c>
      <c r="F37" s="20">
        <f t="shared" si="13"/>
        <v>0</v>
      </c>
      <c r="G37" s="20">
        <f t="shared" si="14"/>
        <v>0</v>
      </c>
      <c r="H37" s="19">
        <f>(IFERROR(VLOOKUP($B37,Passivo!$B$2:$E$25,MATCH(Balanços!H$5,Passivo!$B$1:$E$1,0),0),"0"))/1</f>
        <v>0</v>
      </c>
      <c r="I37" s="20">
        <f t="shared" si="15"/>
        <v>0</v>
      </c>
      <c r="J37" s="20">
        <f t="shared" si="16"/>
        <v>0</v>
      </c>
      <c r="K37" s="14"/>
      <c r="L37" s="82" t="s">
        <v>77</v>
      </c>
      <c r="M37" s="83"/>
      <c r="N37" s="83"/>
      <c r="O37" s="83"/>
      <c r="P37" s="83"/>
      <c r="Q37" s="83"/>
      <c r="R37" s="83"/>
      <c r="S37" s="83"/>
      <c r="T37" s="84"/>
      <c r="U37" s="14"/>
    </row>
    <row r="38" spans="1:21" x14ac:dyDescent="0.3">
      <c r="A38" s="14"/>
      <c r="B38" s="14" t="s">
        <v>21</v>
      </c>
      <c r="C38" s="19">
        <f>(IFERROR(VLOOKUP($B38,Passivo!$B$2:$E$25,MATCH(Balanços!C$5,Passivo!$B$1:$E$1,0),0),"0"))/1</f>
        <v>32192.51</v>
      </c>
      <c r="D38" s="20">
        <f t="shared" si="12"/>
        <v>5.2181043762866648E-2</v>
      </c>
      <c r="E38" s="19">
        <f>(IFERROR(VLOOKUP($B38,Passivo!$B$2:$E$25,MATCH(Balanços!E$5,Passivo!$B$1:$E$1,0),0),"0"))/1</f>
        <v>15624.92</v>
      </c>
      <c r="F38" s="20">
        <f t="shared" si="13"/>
        <v>2.1924061257754403E-2</v>
      </c>
      <c r="G38" s="20">
        <f t="shared" si="14"/>
        <v>-0.5146411385754015</v>
      </c>
      <c r="H38" s="19">
        <f>(IFERROR(VLOOKUP($B38,Passivo!$B$2:$E$25,MATCH(Balanços!H$5,Passivo!$B$1:$E$1,0),0),"0"))/1</f>
        <v>2012903.86</v>
      </c>
      <c r="I38" s="20">
        <f t="shared" si="15"/>
        <v>0.698391537877041</v>
      </c>
      <c r="J38" s="20">
        <f t="shared" si="16"/>
        <v>127.82650663171395</v>
      </c>
      <c r="K38" s="14"/>
      <c r="L38" s="54"/>
      <c r="M38" s="136">
        <f>+C5</f>
        <v>2021</v>
      </c>
      <c r="N38" s="137"/>
      <c r="O38" s="136">
        <f>+E5</f>
        <v>2022</v>
      </c>
      <c r="P38" s="138"/>
      <c r="Q38" s="137"/>
      <c r="R38" s="136">
        <f>+H5</f>
        <v>2023</v>
      </c>
      <c r="S38" s="138"/>
      <c r="T38" s="137"/>
      <c r="U38" s="14"/>
    </row>
    <row r="39" spans="1:21" x14ac:dyDescent="0.3">
      <c r="A39" s="14"/>
      <c r="B39" s="14" t="s">
        <v>23</v>
      </c>
      <c r="C39" s="19">
        <f>(IFERROR(VLOOKUP($B39,Passivo!$B$2:$E$25,MATCH(Balanços!C$5,Passivo!$B$1:$E$1,0),0),"0"))/1</f>
        <v>0</v>
      </c>
      <c r="D39" s="20">
        <f t="shared" si="12"/>
        <v>0</v>
      </c>
      <c r="E39" s="19">
        <f>(IFERROR(VLOOKUP($B39,Passivo!$B$2:$E$25,MATCH(Balanços!E$5,Passivo!$B$1:$E$1,0),0),"0"))/1</f>
        <v>0</v>
      </c>
      <c r="F39" s="20">
        <f t="shared" si="13"/>
        <v>0</v>
      </c>
      <c r="G39" s="20">
        <f t="shared" si="14"/>
        <v>0</v>
      </c>
      <c r="H39" s="19">
        <f>(IFERROR(VLOOKUP($B39,Passivo!$B$2:$E$25,MATCH(Balanços!H$5,Passivo!$B$1:$E$1,0),0),"0"))/1</f>
        <v>0</v>
      </c>
      <c r="I39" s="20">
        <f t="shared" si="15"/>
        <v>0</v>
      </c>
      <c r="J39" s="20">
        <f t="shared" si="16"/>
        <v>0</v>
      </c>
      <c r="K39" s="14"/>
      <c r="L39" s="14" t="s">
        <v>78</v>
      </c>
      <c r="M39" s="91">
        <f>IFERROR(+(C6+C19)/(C32+C42),0)</f>
        <v>12.509820250303154</v>
      </c>
      <c r="N39" s="93"/>
      <c r="O39" s="91">
        <f>IFERROR(+(E6+E19)/(E32+E42),0)</f>
        <v>4.1870344815595981</v>
      </c>
      <c r="P39" s="92"/>
      <c r="Q39" s="93"/>
      <c r="R39" s="91">
        <f>IFERROR(+(H6+H19)/(H32+H42),0)</f>
        <v>1.2605865881099403</v>
      </c>
      <c r="S39" s="92"/>
      <c r="T39" s="93"/>
      <c r="U39" s="14"/>
    </row>
    <row r="40" spans="1:21" x14ac:dyDescent="0.3">
      <c r="A40" s="14"/>
      <c r="B40" s="14" t="s">
        <v>26</v>
      </c>
      <c r="C40" s="19">
        <f>(IFERROR(VLOOKUP($B40,Passivo!$B$2:$E$25,MATCH(Balanços!C$5,Passivo!$B$1:$E$1,0),0),"0"))/1</f>
        <v>0</v>
      </c>
      <c r="D40" s="20">
        <f t="shared" si="12"/>
        <v>0</v>
      </c>
      <c r="E40" s="19">
        <f>(IFERROR(VLOOKUP($B40,Passivo!$B$2:$E$25,MATCH(Balanços!E$5,Passivo!$B$1:$E$1,0),0),"0"))/1</f>
        <v>0</v>
      </c>
      <c r="F40" s="20">
        <f t="shared" si="13"/>
        <v>0</v>
      </c>
      <c r="G40" s="20">
        <f t="shared" si="14"/>
        <v>0</v>
      </c>
      <c r="H40" s="19">
        <f>(IFERROR(VLOOKUP($B40,Passivo!$B$2:$E$25,MATCH(Balanços!H$5,Passivo!$B$1:$E$1,0),0),"0"))/1</f>
        <v>0</v>
      </c>
      <c r="I40" s="20">
        <f t="shared" si="15"/>
        <v>0</v>
      </c>
      <c r="J40" s="20">
        <f t="shared" si="16"/>
        <v>0</v>
      </c>
      <c r="K40" s="14"/>
      <c r="L40" s="14" t="s">
        <v>79</v>
      </c>
      <c r="M40" s="91">
        <f>IFERROR(+C6/C32,0)</f>
        <v>12.448057669780189</v>
      </c>
      <c r="N40" s="93"/>
      <c r="O40" s="91">
        <f>IFERROR(+E6/E32,0)</f>
        <v>4.1069232940493068</v>
      </c>
      <c r="P40" s="92"/>
      <c r="Q40" s="93"/>
      <c r="R40" s="91">
        <f>IFERROR(+H6/H32,0)</f>
        <v>1.2560622591179862</v>
      </c>
      <c r="S40" s="92"/>
      <c r="T40" s="93"/>
      <c r="U40" s="14"/>
    </row>
    <row r="41" spans="1:21" x14ac:dyDescent="0.3">
      <c r="A41" s="14"/>
      <c r="B41" s="14"/>
      <c r="C41" s="19"/>
      <c r="D41" s="20">
        <f t="shared" si="12"/>
        <v>0</v>
      </c>
      <c r="E41" s="19"/>
      <c r="F41" s="20">
        <f t="shared" si="13"/>
        <v>0</v>
      </c>
      <c r="G41" s="20">
        <f t="shared" si="14"/>
        <v>0</v>
      </c>
      <c r="H41" s="19">
        <v>0</v>
      </c>
      <c r="I41" s="20">
        <f t="shared" si="15"/>
        <v>0</v>
      </c>
      <c r="J41" s="20">
        <f t="shared" si="16"/>
        <v>0</v>
      </c>
      <c r="K41" s="14"/>
      <c r="L41" s="14" t="s">
        <v>80</v>
      </c>
      <c r="M41" s="91">
        <f>IFERROR(+(C6-C11)/(C32),0)</f>
        <v>12.448057669780189</v>
      </c>
      <c r="N41" s="93"/>
      <c r="O41" s="91">
        <f>IFERROR(+(E6-E11)/(E32),0)</f>
        <v>4.1069232940493068</v>
      </c>
      <c r="P41" s="92"/>
      <c r="Q41" s="93"/>
      <c r="R41" s="91">
        <f>IFERROR(+(H6-H11)/(H32),0)</f>
        <v>1.2560622591179862</v>
      </c>
      <c r="S41" s="92"/>
      <c r="T41" s="93"/>
      <c r="U41" s="14"/>
    </row>
    <row r="42" spans="1:21" x14ac:dyDescent="0.3">
      <c r="A42" s="14"/>
      <c r="B42" s="16" t="s">
        <v>81</v>
      </c>
      <c r="C42" s="28">
        <f>SUM(C43:C47)</f>
        <v>0</v>
      </c>
      <c r="D42" s="29">
        <f t="shared" si="12"/>
        <v>0</v>
      </c>
      <c r="E42" s="28">
        <f>SUM(E43:E47)</f>
        <v>0</v>
      </c>
      <c r="F42" s="29">
        <f t="shared" si="13"/>
        <v>0</v>
      </c>
      <c r="G42" s="29">
        <f t="shared" si="14"/>
        <v>0</v>
      </c>
      <c r="H42" s="28">
        <f>SUM(H43:H47)</f>
        <v>0</v>
      </c>
      <c r="I42" s="29">
        <f t="shared" si="15"/>
        <v>0</v>
      </c>
      <c r="J42" s="29">
        <f t="shared" si="16"/>
        <v>0</v>
      </c>
      <c r="K42" s="14"/>
      <c r="L42" s="14" t="s">
        <v>82</v>
      </c>
      <c r="M42" s="91">
        <f>IFERROR(+(C32+C42)/C53,0)</f>
        <v>7.8732446050279958E-2</v>
      </c>
      <c r="N42" s="93"/>
      <c r="O42" s="91">
        <f>IFERROR(+(E32+E42)/E53,0)</f>
        <v>0.16464095956179153</v>
      </c>
      <c r="P42" s="92"/>
      <c r="Q42" s="93"/>
      <c r="R42" s="91">
        <f>IFERROR(+(H32+H42)/H53,0)</f>
        <v>0.72085781621090816</v>
      </c>
      <c r="S42" s="92"/>
      <c r="T42" s="93"/>
      <c r="U42" s="14"/>
    </row>
    <row r="43" spans="1:21" x14ac:dyDescent="0.3">
      <c r="A43" s="14"/>
      <c r="B43" s="14" t="s">
        <v>28</v>
      </c>
      <c r="C43" s="19">
        <f>(IFERROR(VLOOKUP($B43,Passivo!$B$2:$E$25,MATCH(Balanços!C$5,Passivo!$B$1:$E$1,0),0),"0"))/1</f>
        <v>0</v>
      </c>
      <c r="D43" s="20">
        <f t="shared" si="12"/>
        <v>0</v>
      </c>
      <c r="E43" s="19">
        <f>(IFERROR(VLOOKUP($B43,Passivo!$B$2:$E$25,MATCH(Balanços!E$5,Passivo!$B$1:$E$1,0),0),"0"))/1</f>
        <v>0</v>
      </c>
      <c r="F43" s="20">
        <f t="shared" si="13"/>
        <v>0</v>
      </c>
      <c r="G43" s="20">
        <f t="shared" si="14"/>
        <v>0</v>
      </c>
      <c r="H43" s="19">
        <f>(IFERROR(VLOOKUP($B43,Passivo!$B$2:$E$25,MATCH(Balanços!H$5,Passivo!$B$1:$E$1,0),0),"0"))/1</f>
        <v>0</v>
      </c>
      <c r="I43" s="20">
        <f t="shared" si="15"/>
        <v>0</v>
      </c>
      <c r="J43" s="20">
        <f t="shared" si="16"/>
        <v>0</v>
      </c>
      <c r="K43" s="14"/>
      <c r="L43" s="14" t="s">
        <v>83</v>
      </c>
      <c r="M43" s="91">
        <f>IFERROR(+(C33+C43+C34)/C53,0)</f>
        <v>0</v>
      </c>
      <c r="N43" s="93"/>
      <c r="O43" s="91">
        <f>IFERROR(+(E33+E43+E34)/E53,0)</f>
        <v>1.9975146055336051E-2</v>
      </c>
      <c r="P43" s="92"/>
      <c r="Q43" s="93"/>
      <c r="R43" s="91">
        <f>IFERROR(+(H33+H43+H34)/H53,0)</f>
        <v>2.0792868940964107E-3</v>
      </c>
      <c r="S43" s="92"/>
      <c r="T43" s="93"/>
      <c r="U43" s="14"/>
    </row>
    <row r="44" spans="1:21" x14ac:dyDescent="0.3">
      <c r="A44" s="14"/>
      <c r="B44" s="14" t="s">
        <v>30</v>
      </c>
      <c r="C44" s="19">
        <f>(IFERROR(VLOOKUP($B44,Passivo!$B$2:$E$25,MATCH(Balanços!C$5,Passivo!$B$1:$E$1,0),0),"0"))/1</f>
        <v>0</v>
      </c>
      <c r="D44" s="20">
        <f t="shared" si="12"/>
        <v>0</v>
      </c>
      <c r="E44" s="19">
        <f>(IFERROR(VLOOKUP($B44,Passivo!$B$2:$E$25,MATCH(Balanços!E$5,Passivo!$B$1:$E$1,0),0),"0"))/1</f>
        <v>0</v>
      </c>
      <c r="F44" s="20">
        <f t="shared" si="13"/>
        <v>0</v>
      </c>
      <c r="G44" s="20">
        <f t="shared" si="14"/>
        <v>0</v>
      </c>
      <c r="H44" s="19">
        <f>(IFERROR(VLOOKUP($B44,Passivo!$B$2:$E$25,MATCH(Balanços!H$5,Passivo!$B$1:$E$1,0),0),"0"))/1</f>
        <v>0</v>
      </c>
      <c r="I44" s="20">
        <f t="shared" si="15"/>
        <v>0</v>
      </c>
      <c r="J44" s="20">
        <f t="shared" si="16"/>
        <v>0</v>
      </c>
      <c r="K44" s="14"/>
      <c r="L44" s="14" t="s">
        <v>84</v>
      </c>
      <c r="M44" s="94" t="str">
        <f>IFERROR(CONCATENATE(ROUND((C33+C34)/(C33+C34+C43)*100,0),"% C.P. | ",100-(ROUND((C33+C34)/(C33+C34+C43)*100,0)),"% L.P."),"")</f>
        <v/>
      </c>
      <c r="N44" s="96"/>
      <c r="O44" s="94" t="str">
        <f>IFERROR(CONCATENATE(ROUND((E33+E34)/(E33+E34+E43)*100,0),"% C.P. | ",100-(ROUND((E33+E34)/(E33+E34+E43)*100,0)),"% L.P."),"")</f>
        <v>100% C.P. | 0% L.P.</v>
      </c>
      <c r="P44" s="95"/>
      <c r="Q44" s="96"/>
      <c r="R44" s="94" t="str">
        <f>IFERROR(CONCATENATE(ROUND((H33+H34)/(H33+H34+H43)*100,0),"% C.P. | ",100-(ROUND((H33+H34)/(H33+H34+H43)*100,0)),"% L.P."),"")</f>
        <v>100% C.P. | 0% L.P.</v>
      </c>
      <c r="S44" s="95"/>
      <c r="T44" s="96"/>
      <c r="U44" s="14"/>
    </row>
    <row r="45" spans="1:21" x14ac:dyDescent="0.3">
      <c r="A45" s="14"/>
      <c r="B45" s="14" t="s">
        <v>29</v>
      </c>
      <c r="C45" s="19">
        <f>(IFERROR(VLOOKUP($B45,Passivo!$B$2:$E$25,MATCH(Balanços!C$5,Passivo!$B$1:$E$1,0),0),"0"))/1</f>
        <v>0</v>
      </c>
      <c r="D45" s="20">
        <f t="shared" si="12"/>
        <v>0</v>
      </c>
      <c r="E45" s="19">
        <f>(IFERROR(VLOOKUP($B45,Passivo!$B$2:$E$25,MATCH(Balanços!E$5,Passivo!$B$1:$E$1,0),0),"0"))/1</f>
        <v>0</v>
      </c>
      <c r="F45" s="20">
        <f t="shared" si="13"/>
        <v>0</v>
      </c>
      <c r="G45" s="20">
        <f t="shared" si="14"/>
        <v>0</v>
      </c>
      <c r="H45" s="19">
        <f>(IFERROR(VLOOKUP($B45,Passivo!$B$2:$E$25,MATCH(Balanços!H$5,Passivo!$B$1:$E$1,0),0),"0"))/1</f>
        <v>0</v>
      </c>
      <c r="I45" s="20">
        <f t="shared" si="15"/>
        <v>0</v>
      </c>
      <c r="J45" s="20">
        <f t="shared" si="16"/>
        <v>0</v>
      </c>
      <c r="K45" s="14"/>
      <c r="L45" s="14" t="s">
        <v>85</v>
      </c>
      <c r="M45" s="97">
        <f>IFERROR(+M20/(C48-M20),0)</f>
        <v>0.94569708823094822</v>
      </c>
      <c r="N45" s="99"/>
      <c r="O45" s="97">
        <f>IFERROR(+O20/(E48-O20),0)</f>
        <v>2.1112664394724957E-2</v>
      </c>
      <c r="P45" s="98"/>
      <c r="Q45" s="99"/>
      <c r="R45" s="97">
        <f>IFERROR(+R20/(H48-R20),0)</f>
        <v>0.35782915365659929</v>
      </c>
      <c r="S45" s="98"/>
      <c r="T45" s="99"/>
      <c r="U45" s="14"/>
    </row>
    <row r="46" spans="1:21" x14ac:dyDescent="0.3">
      <c r="A46" s="14"/>
      <c r="B46" s="14" t="s">
        <v>14</v>
      </c>
      <c r="C46" s="19">
        <f>(IFERROR(VLOOKUP($B46,Passivo!$B$2:$E$25,MATCH(Balanços!C$5,Passivo!$B$1:$E$1,0),0),"0"))/1</f>
        <v>0</v>
      </c>
      <c r="D46" s="20">
        <f t="shared" si="12"/>
        <v>0</v>
      </c>
      <c r="E46" s="19">
        <f>(IFERROR(VLOOKUP($B46,Passivo!$B$2:$E$25,MATCH(Balanços!E$5,Passivo!$B$1:$E$1,0),0),"0"))/1</f>
        <v>0</v>
      </c>
      <c r="F46" s="20">
        <f t="shared" si="13"/>
        <v>0</v>
      </c>
      <c r="G46" s="20">
        <f>IFERROR((E46/C46)-1,0)</f>
        <v>0</v>
      </c>
      <c r="H46" s="19">
        <f>(IFERROR(VLOOKUP($B46,Passivo!$B$2:$E$25,MATCH(Balanços!H$5,Passivo!$B$1:$E$1,0),0),"0"))/1</f>
        <v>0</v>
      </c>
      <c r="I46" s="20">
        <f t="shared" si="15"/>
        <v>0</v>
      </c>
      <c r="J46" s="20">
        <f>IFERROR((H46/E46)-1,0)</f>
        <v>0</v>
      </c>
      <c r="K46" s="14"/>
      <c r="L46" s="36" t="s">
        <v>86</v>
      </c>
      <c r="M46" s="100">
        <f>IFERROR((M14-M11)/M9,0)</f>
        <v>9.3254299310490466E-2</v>
      </c>
      <c r="N46" s="102"/>
      <c r="O46" s="100">
        <f>IFERROR(+(O14-O11)/O9,0)</f>
        <v>3.0280347105145287E-4</v>
      </c>
      <c r="P46" s="101"/>
      <c r="Q46" s="102"/>
      <c r="R46" s="100">
        <f>IFERROR(+(R14-R11)/R9,0)</f>
        <v>4.8782332796796432E-2</v>
      </c>
      <c r="S46" s="101"/>
      <c r="T46" s="102"/>
      <c r="U46" s="14"/>
    </row>
    <row r="47" spans="1:21" x14ac:dyDescent="0.3">
      <c r="A47" s="14"/>
      <c r="B47" s="14" t="s">
        <v>27</v>
      </c>
      <c r="C47" s="19">
        <f>(IFERROR(VLOOKUP($B47,Passivo!$B$2:$E$25,MATCH(Balanços!C$5,Passivo!$B$1:$E$1,0),0),"0"))/1</f>
        <v>0</v>
      </c>
      <c r="D47" s="20">
        <f t="shared" si="12"/>
        <v>0</v>
      </c>
      <c r="E47" s="19">
        <f>(IFERROR(VLOOKUP($B47,Passivo!$B$2:$E$25,MATCH(Balanços!E$5,Passivo!$B$1:$E$1,0),0),"0"))/1</f>
        <v>0</v>
      </c>
      <c r="F47" s="20">
        <f t="shared" si="13"/>
        <v>0</v>
      </c>
      <c r="G47" s="20">
        <f t="shared" si="14"/>
        <v>0</v>
      </c>
      <c r="H47" s="19">
        <f>(IFERROR(VLOOKUP($B47,Passivo!$B$2:$E$25,MATCH(Balanços!H$5,Passivo!$B$1:$E$1,0),0),"0"))/1</f>
        <v>0</v>
      </c>
      <c r="I47" s="20">
        <f t="shared" si="15"/>
        <v>0</v>
      </c>
      <c r="J47" s="20">
        <f t="shared" si="16"/>
        <v>0</v>
      </c>
      <c r="K47" s="14"/>
      <c r="L47" s="14" t="s">
        <v>87</v>
      </c>
      <c r="M47" s="91">
        <f>IFERROR((C43+C34+C33+C44-C7)/(M14-M11),0)</f>
        <v>-1.9009844771004072</v>
      </c>
      <c r="N47" s="93"/>
      <c r="O47" s="91">
        <f>IFERROR(+(E43+E34+E33+E44-E7)/(O14-O11),0)</f>
        <v>-466.45217338660859</v>
      </c>
      <c r="P47" s="92"/>
      <c r="Q47" s="93"/>
      <c r="R47" s="91">
        <f>IFERROR((H43+H34+H33+H44-H7)/(R14-R11),0)</f>
        <v>-10.434678761231604</v>
      </c>
      <c r="S47" s="92"/>
      <c r="T47" s="93"/>
      <c r="U47" s="14"/>
    </row>
    <row r="48" spans="1:21" x14ac:dyDescent="0.3">
      <c r="A48" s="14"/>
      <c r="B48" s="16" t="s">
        <v>88</v>
      </c>
      <c r="C48" s="28">
        <f>SUM(C49:C52)</f>
        <v>568365.69000000006</v>
      </c>
      <c r="D48" s="29">
        <f t="shared" si="12"/>
        <v>0.92126755394972004</v>
      </c>
      <c r="E48" s="28">
        <f>SUM(E49:E52)</f>
        <v>595346.73</v>
      </c>
      <c r="F48" s="29">
        <f t="shared" si="13"/>
        <v>0.83535904043820841</v>
      </c>
      <c r="G48" s="29">
        <f t="shared" si="14"/>
        <v>4.74712680140843E-2</v>
      </c>
      <c r="H48" s="28">
        <f>SUM(H49:H52)</f>
        <v>804543.51</v>
      </c>
      <c r="I48" s="29">
        <f t="shared" si="15"/>
        <v>0.27914218378909189</v>
      </c>
      <c r="J48" s="29">
        <f t="shared" si="16"/>
        <v>0.35138646012215435</v>
      </c>
      <c r="K48" s="14"/>
      <c r="L48" s="14" t="s">
        <v>89</v>
      </c>
      <c r="M48" s="103">
        <f>IFERROR(+M14/-M16,0)</f>
        <v>16.377405193207757</v>
      </c>
      <c r="N48" s="104"/>
      <c r="O48" s="103">
        <f>IFERROR(+O14/-O16,0)</f>
        <v>-0.41877111120196148</v>
      </c>
      <c r="P48" s="110"/>
      <c r="Q48" s="104"/>
      <c r="R48" s="103">
        <f>IFERROR(+R14/-R16,0)</f>
        <v>11.596975919110093</v>
      </c>
      <c r="S48" s="110"/>
      <c r="T48" s="104"/>
      <c r="U48" s="14"/>
    </row>
    <row r="49" spans="1:21" x14ac:dyDescent="0.3">
      <c r="A49" s="14"/>
      <c r="B49" s="14" t="s">
        <v>32</v>
      </c>
      <c r="C49" s="19">
        <f>(IFERROR(VLOOKUP($B49,Passivo!$B$2:$E$25,MATCH(Balanços!C$5,Passivo!$B$1:$E$1,0),0),"0"))/1</f>
        <v>0</v>
      </c>
      <c r="D49" s="20">
        <f t="shared" si="12"/>
        <v>0</v>
      </c>
      <c r="E49" s="19">
        <f>(IFERROR(VLOOKUP($B49,Passivo!$B$2:$E$25,MATCH(Balanços!E$5,Passivo!$B$1:$E$1,0),0),"0"))/1</f>
        <v>0</v>
      </c>
      <c r="F49" s="20">
        <f t="shared" si="13"/>
        <v>0</v>
      </c>
      <c r="G49" s="20">
        <f t="shared" si="14"/>
        <v>0</v>
      </c>
      <c r="H49" s="19">
        <f>(IFERROR(VLOOKUP($B49,Passivo!$B$2:$E$25,MATCH(Balanços!H$5,Passivo!$B$1:$E$1,0),0),"0"))/1</f>
        <v>0</v>
      </c>
      <c r="I49" s="20">
        <f t="shared" si="15"/>
        <v>0</v>
      </c>
      <c r="J49" s="20">
        <f t="shared" si="16"/>
        <v>0</v>
      </c>
      <c r="K49" s="14"/>
      <c r="L49" s="14" t="s">
        <v>90</v>
      </c>
      <c r="M49" s="105">
        <f>IFERROR(+C10/M7*360,"0")</f>
        <v>0</v>
      </c>
      <c r="N49" s="106"/>
      <c r="O49" s="105">
        <f>IFERROR(+E10/O7*360,"0")</f>
        <v>0</v>
      </c>
      <c r="P49" s="111"/>
      <c r="Q49" s="106"/>
      <c r="R49" s="105">
        <f>IFERROR(+H10/R7*360,"0")</f>
        <v>47.523303307031682</v>
      </c>
      <c r="S49" s="111"/>
      <c r="T49" s="106"/>
      <c r="U49" s="14"/>
    </row>
    <row r="50" spans="1:21" x14ac:dyDescent="0.3">
      <c r="A50" s="14"/>
      <c r="B50" s="14" t="s">
        <v>34</v>
      </c>
      <c r="C50" s="19">
        <f>(IFERROR(VLOOKUP($B50,Passivo!$B$2:$E$25,MATCH(Balanços!C$5,Passivo!$B$1:$E$1,0),0),"0"))/1</f>
        <v>0</v>
      </c>
      <c r="D50" s="20">
        <f t="shared" si="12"/>
        <v>0</v>
      </c>
      <c r="E50" s="19">
        <f>(IFERROR(VLOOKUP($B50,Passivo!$B$2:$E$25,MATCH(Balanços!E$5,Passivo!$B$1:$E$1,0),0),"0"))/1</f>
        <v>0</v>
      </c>
      <c r="F50" s="20">
        <f t="shared" si="13"/>
        <v>0</v>
      </c>
      <c r="G50" s="20">
        <f t="shared" si="14"/>
        <v>0</v>
      </c>
      <c r="H50" s="19">
        <f>(IFERROR(VLOOKUP($B50,Passivo!$B$2:$E$25,MATCH(Balanços!H$5,Passivo!$B$1:$E$1,0),0),"0"))/1</f>
        <v>0</v>
      </c>
      <c r="I50" s="20">
        <f t="shared" si="15"/>
        <v>0</v>
      </c>
      <c r="J50" s="20">
        <f t="shared" si="16"/>
        <v>0</v>
      </c>
      <c r="K50" s="14"/>
      <c r="L50" s="14" t="s">
        <v>91</v>
      </c>
      <c r="M50" s="105" t="str">
        <f>IFERROR(+C35/-M10*360,"0")</f>
        <v>0</v>
      </c>
      <c r="N50" s="106"/>
      <c r="O50" s="105">
        <f>IFERROR(+E35/-O10*360,"0")</f>
        <v>34.825007189909478</v>
      </c>
      <c r="P50" s="111"/>
      <c r="Q50" s="106"/>
      <c r="R50" s="116">
        <f>IFERROR(+H35/-R10*360,"0")</f>
        <v>13.014502225599825</v>
      </c>
      <c r="S50" s="117"/>
      <c r="T50" s="118"/>
      <c r="U50" s="14"/>
    </row>
    <row r="51" spans="1:21" x14ac:dyDescent="0.3">
      <c r="A51" s="14"/>
      <c r="B51" s="14" t="s">
        <v>33</v>
      </c>
      <c r="C51" s="19">
        <f>(IFERROR(VLOOKUP($B51,Passivo!$B$2:$E$25,MATCH(Balanços!C$5,Passivo!$B$1:$E$1,0),0),"0"))/1</f>
        <v>5467.28</v>
      </c>
      <c r="D51" s="20">
        <f t="shared" si="12"/>
        <v>8.8619488490908459E-3</v>
      </c>
      <c r="E51" s="19">
        <f>(IFERROR(VLOOKUP($B51,Passivo!$B$2:$E$25,MATCH(Balanços!E$5,Passivo!$B$1:$E$1,0),0),"0"))/1</f>
        <v>0</v>
      </c>
      <c r="F51" s="20">
        <f t="shared" si="13"/>
        <v>0</v>
      </c>
      <c r="G51" s="20">
        <f t="shared" si="14"/>
        <v>-1</v>
      </c>
      <c r="H51" s="19">
        <f>(IFERROR(VLOOKUP($B51,Passivo!$B$2:$E$25,MATCH(Balanços!H$5,Passivo!$B$1:$E$1,0),0),"0"))/1</f>
        <v>0</v>
      </c>
      <c r="I51" s="20">
        <f t="shared" si="15"/>
        <v>0</v>
      </c>
      <c r="J51" s="20">
        <f t="shared" si="16"/>
        <v>0</v>
      </c>
      <c r="K51" s="14"/>
      <c r="L51" s="14" t="s">
        <v>92</v>
      </c>
      <c r="M51" s="105" t="str">
        <f>IFERROR(+C11/-M10*360,"0")</f>
        <v>0</v>
      </c>
      <c r="N51" s="106"/>
      <c r="O51" s="105">
        <f>IFERROR(+E11/-O10*360,"0")</f>
        <v>0</v>
      </c>
      <c r="P51" s="111"/>
      <c r="Q51" s="111"/>
      <c r="R51" s="115">
        <f>IFERROR(+H11/-R10*360,"0")</f>
        <v>0</v>
      </c>
      <c r="S51" s="115"/>
      <c r="T51" s="115"/>
      <c r="U51" s="14"/>
    </row>
    <row r="52" spans="1:21" x14ac:dyDescent="0.3">
      <c r="A52" s="14"/>
      <c r="B52" s="31" t="s">
        <v>31</v>
      </c>
      <c r="C52" s="25">
        <f>(IFERROR(VLOOKUP($B52,Passivo!$B$2:$E$25,MATCH(Balanços!C$5,Passivo!$B$1:$E$1,0),0),"0"))/1</f>
        <v>562898.41</v>
      </c>
      <c r="D52" s="26">
        <f t="shared" si="12"/>
        <v>0.91240560510062918</v>
      </c>
      <c r="E52" s="25">
        <f>(IFERROR(VLOOKUP($B52,Passivo!$B$2:$E$25,MATCH(Balanços!E$5,Passivo!$B$1:$E$1,0),0),"0"))/1</f>
        <v>595346.73</v>
      </c>
      <c r="F52" s="26">
        <f t="shared" si="13"/>
        <v>0.83535904043820841</v>
      </c>
      <c r="G52" s="26">
        <f t="shared" si="14"/>
        <v>5.7645073113636869E-2</v>
      </c>
      <c r="H52" s="25">
        <f>(IFERROR(VLOOKUP($B52,Passivo!$B$2:$E$25,MATCH(Balanços!H$5,Passivo!$B$1:$E$1,0),0),"0"))/1</f>
        <v>804543.51</v>
      </c>
      <c r="I52" s="26">
        <f t="shared" si="15"/>
        <v>0.27914218378909189</v>
      </c>
      <c r="J52" s="26">
        <f t="shared" si="16"/>
        <v>0.35138646012215435</v>
      </c>
      <c r="K52" s="14"/>
      <c r="L52" s="31" t="s">
        <v>93</v>
      </c>
      <c r="M52" s="107">
        <f>+M50-(M49+M51)</f>
        <v>0</v>
      </c>
      <c r="N52" s="109"/>
      <c r="O52" s="107">
        <f>+O50-(O49+O51)</f>
        <v>34.825007189909478</v>
      </c>
      <c r="P52" s="108"/>
      <c r="Q52" s="109"/>
      <c r="R52" s="112">
        <f>+R50-(R49+R51)</f>
        <v>-34.508801081431855</v>
      </c>
      <c r="S52" s="113"/>
      <c r="T52" s="114"/>
      <c r="U52" s="37"/>
    </row>
    <row r="53" spans="1:21" x14ac:dyDescent="0.3">
      <c r="A53" s="14"/>
      <c r="B53" s="56" t="s">
        <v>94</v>
      </c>
      <c r="C53" s="57">
        <f>+C48+C42+C32</f>
        <v>616938.79</v>
      </c>
      <c r="D53" s="58">
        <f t="shared" si="12"/>
        <v>1</v>
      </c>
      <c r="E53" s="57">
        <f>+E48+E42+E32</f>
        <v>712683.65</v>
      </c>
      <c r="F53" s="58">
        <f t="shared" si="13"/>
        <v>1</v>
      </c>
      <c r="G53" s="58">
        <f t="shared" si="14"/>
        <v>0.15519345120121231</v>
      </c>
      <c r="H53" s="57">
        <f>+H48+H42+H32</f>
        <v>2882199.67</v>
      </c>
      <c r="I53" s="58">
        <f t="shared" si="15"/>
        <v>1</v>
      </c>
      <c r="J53" s="58">
        <f t="shared" si="16"/>
        <v>3.0441501218668341</v>
      </c>
      <c r="K53" s="14"/>
      <c r="L53" s="59" t="s">
        <v>95</v>
      </c>
      <c r="M53" s="90">
        <f>+M7/(MONTH(M5))</f>
        <v>413239.27</v>
      </c>
      <c r="N53" s="90"/>
      <c r="O53" s="76">
        <f>+O7/(MONTH(O5))</f>
        <v>467573.42857142858</v>
      </c>
      <c r="P53" s="77"/>
      <c r="Q53" s="78"/>
      <c r="R53" s="76">
        <f>+R7/(MONTH(R5))</f>
        <v>578607.48428571434</v>
      </c>
      <c r="S53" s="77"/>
      <c r="T53" s="78"/>
      <c r="U53" s="14"/>
    </row>
    <row r="54" spans="1:2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38"/>
      <c r="L54" s="39"/>
      <c r="M54" s="39"/>
      <c r="N54" s="39"/>
      <c r="O54" s="39"/>
      <c r="P54" s="39"/>
      <c r="Q54" s="39"/>
      <c r="R54" s="39"/>
      <c r="S54" s="39"/>
      <c r="T54" s="39"/>
      <c r="U54" s="37"/>
    </row>
    <row r="55" spans="1:21" x14ac:dyDescent="0.3">
      <c r="A55" s="14"/>
      <c r="B55" s="79" t="s">
        <v>96</v>
      </c>
      <c r="C55" s="80"/>
      <c r="D55" s="80"/>
      <c r="E55" s="80"/>
      <c r="F55" s="80"/>
      <c r="G55" s="80"/>
      <c r="H55" s="80"/>
      <c r="I55" s="80"/>
      <c r="J55" s="81"/>
      <c r="K55" s="40"/>
      <c r="L55" s="79" t="s">
        <v>97</v>
      </c>
      <c r="M55" s="80"/>
      <c r="N55" s="80"/>
      <c r="O55" s="80"/>
      <c r="P55" s="80"/>
      <c r="Q55" s="80"/>
      <c r="R55" s="80"/>
      <c r="S55" s="80"/>
      <c r="T55" s="81"/>
      <c r="U55" s="14"/>
    </row>
    <row r="56" spans="1:21" x14ac:dyDescent="0.3">
      <c r="A56" s="14"/>
      <c r="B56" s="124"/>
      <c r="C56" s="125"/>
      <c r="D56" s="125"/>
      <c r="E56" s="125"/>
      <c r="F56" s="125"/>
      <c r="G56" s="125"/>
      <c r="H56" s="125"/>
      <c r="I56" s="125"/>
      <c r="J56" s="126"/>
      <c r="K56" s="41"/>
      <c r="L56" s="124"/>
      <c r="M56" s="125"/>
      <c r="N56" s="125"/>
      <c r="O56" s="125"/>
      <c r="P56" s="125"/>
      <c r="Q56" s="125"/>
      <c r="R56" s="125"/>
      <c r="S56" s="125"/>
      <c r="T56" s="126"/>
      <c r="U56" s="14"/>
    </row>
    <row r="57" spans="1:21" x14ac:dyDescent="0.3">
      <c r="A57" s="14"/>
      <c r="B57" s="124"/>
      <c r="C57" s="125"/>
      <c r="D57" s="125"/>
      <c r="E57" s="125"/>
      <c r="F57" s="125"/>
      <c r="G57" s="125"/>
      <c r="H57" s="125"/>
      <c r="I57" s="125"/>
      <c r="J57" s="126"/>
      <c r="K57" s="41"/>
      <c r="L57" s="124"/>
      <c r="M57" s="125"/>
      <c r="N57" s="125"/>
      <c r="O57" s="125"/>
      <c r="P57" s="125"/>
      <c r="Q57" s="125"/>
      <c r="R57" s="125"/>
      <c r="S57" s="125"/>
      <c r="T57" s="126"/>
      <c r="U57" s="14"/>
    </row>
    <row r="58" spans="1:21" x14ac:dyDescent="0.3">
      <c r="A58" s="14"/>
      <c r="B58" s="124"/>
      <c r="C58" s="125"/>
      <c r="D58" s="125"/>
      <c r="E58" s="125"/>
      <c r="F58" s="125"/>
      <c r="G58" s="125"/>
      <c r="H58" s="125"/>
      <c r="I58" s="125"/>
      <c r="J58" s="126"/>
      <c r="K58" s="41"/>
      <c r="L58" s="124"/>
      <c r="M58" s="125"/>
      <c r="N58" s="125"/>
      <c r="O58" s="125"/>
      <c r="P58" s="125"/>
      <c r="Q58" s="125"/>
      <c r="R58" s="125"/>
      <c r="S58" s="125"/>
      <c r="T58" s="126"/>
      <c r="U58" s="14"/>
    </row>
    <row r="59" spans="1:21" x14ac:dyDescent="0.3">
      <c r="A59" s="14"/>
      <c r="B59" s="124"/>
      <c r="C59" s="125"/>
      <c r="D59" s="125"/>
      <c r="E59" s="125"/>
      <c r="F59" s="125"/>
      <c r="G59" s="125"/>
      <c r="H59" s="125"/>
      <c r="I59" s="125"/>
      <c r="J59" s="126"/>
      <c r="K59" s="41"/>
      <c r="L59" s="124"/>
      <c r="M59" s="125"/>
      <c r="N59" s="125"/>
      <c r="O59" s="125"/>
      <c r="P59" s="125"/>
      <c r="Q59" s="125"/>
      <c r="R59" s="125"/>
      <c r="S59" s="125"/>
      <c r="T59" s="126"/>
      <c r="U59" s="14"/>
    </row>
    <row r="60" spans="1:21" x14ac:dyDescent="0.3">
      <c r="A60" s="14"/>
      <c r="B60" s="127"/>
      <c r="C60" s="128"/>
      <c r="D60" s="128"/>
      <c r="E60" s="128"/>
      <c r="F60" s="128"/>
      <c r="G60" s="128"/>
      <c r="H60" s="128"/>
      <c r="I60" s="128"/>
      <c r="J60" s="129"/>
      <c r="K60" s="41"/>
      <c r="L60" s="127"/>
      <c r="M60" s="128"/>
      <c r="N60" s="128"/>
      <c r="O60" s="128"/>
      <c r="P60" s="128"/>
      <c r="Q60" s="128"/>
      <c r="R60" s="128"/>
      <c r="S60" s="128"/>
      <c r="T60" s="129"/>
      <c r="U60" s="14"/>
    </row>
    <row r="61" spans="1:21" x14ac:dyDescent="0.3">
      <c r="A61" s="14"/>
      <c r="B61" s="42" t="s">
        <v>98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</sheetData>
  <mergeCells count="111">
    <mergeCell ref="B59:J59"/>
    <mergeCell ref="L59:T59"/>
    <mergeCell ref="B60:J60"/>
    <mergeCell ref="L60:T60"/>
    <mergeCell ref="M29:N29"/>
    <mergeCell ref="M30:N30"/>
    <mergeCell ref="M31:N31"/>
    <mergeCell ref="M32:N32"/>
    <mergeCell ref="M33:N33"/>
    <mergeCell ref="R42:T42"/>
    <mergeCell ref="R43:T43"/>
    <mergeCell ref="R44:T44"/>
    <mergeCell ref="R45:T45"/>
    <mergeCell ref="R34:T34"/>
    <mergeCell ref="R33:T33"/>
    <mergeCell ref="R32:T32"/>
    <mergeCell ref="B56:J56"/>
    <mergeCell ref="L56:T56"/>
    <mergeCell ref="B57:J57"/>
    <mergeCell ref="L57:T57"/>
    <mergeCell ref="B58:J58"/>
    <mergeCell ref="L58:T58"/>
    <mergeCell ref="M28:N28"/>
    <mergeCell ref="O33:Q33"/>
    <mergeCell ref="O34:Q34"/>
    <mergeCell ref="O35:Q35"/>
    <mergeCell ref="R35:T35"/>
    <mergeCell ref="O32:Q32"/>
    <mergeCell ref="O24:Q24"/>
    <mergeCell ref="O25:Q25"/>
    <mergeCell ref="O26:Q26"/>
    <mergeCell ref="O27:Q27"/>
    <mergeCell ref="O28:Q28"/>
    <mergeCell ref="O29:Q29"/>
    <mergeCell ref="O30:Q30"/>
    <mergeCell ref="O31:Q31"/>
    <mergeCell ref="R24:T24"/>
    <mergeCell ref="R25:T25"/>
    <mergeCell ref="R31:T31"/>
    <mergeCell ref="R30:T30"/>
    <mergeCell ref="R29:T29"/>
    <mergeCell ref="R28:T28"/>
    <mergeCell ref="R27:T27"/>
    <mergeCell ref="R26:T26"/>
    <mergeCell ref="M34:N34"/>
    <mergeCell ref="M35:N35"/>
    <mergeCell ref="M44:N44"/>
    <mergeCell ref="M45:N45"/>
    <mergeCell ref="M39:N39"/>
    <mergeCell ref="O47:Q47"/>
    <mergeCell ref="O48:Q48"/>
    <mergeCell ref="O49:Q49"/>
    <mergeCell ref="O50:Q50"/>
    <mergeCell ref="O51:Q51"/>
    <mergeCell ref="R53:T53"/>
    <mergeCell ref="R52:T52"/>
    <mergeCell ref="R51:T51"/>
    <mergeCell ref="R50:T50"/>
    <mergeCell ref="R49:T49"/>
    <mergeCell ref="R39:T39"/>
    <mergeCell ref="R40:T40"/>
    <mergeCell ref="R41:T41"/>
    <mergeCell ref="R46:T46"/>
    <mergeCell ref="L55:T55"/>
    <mergeCell ref="B55:J55"/>
    <mergeCell ref="L22:T22"/>
    <mergeCell ref="L2:T2"/>
    <mergeCell ref="L37:T37"/>
    <mergeCell ref="M3:T3"/>
    <mergeCell ref="R5:T5"/>
    <mergeCell ref="O5:Q5"/>
    <mergeCell ref="M5:N5"/>
    <mergeCell ref="R23:T23"/>
    <mergeCell ref="B2:J2"/>
    <mergeCell ref="C3:J3"/>
    <mergeCell ref="C5:D5"/>
    <mergeCell ref="E5:G5"/>
    <mergeCell ref="H5:J5"/>
    <mergeCell ref="M53:N53"/>
    <mergeCell ref="O39:Q39"/>
    <mergeCell ref="O40:Q40"/>
    <mergeCell ref="O41:Q41"/>
    <mergeCell ref="O42:Q42"/>
    <mergeCell ref="O43:Q43"/>
    <mergeCell ref="O44:Q44"/>
    <mergeCell ref="O45:Q45"/>
    <mergeCell ref="O46:Q46"/>
    <mergeCell ref="O23:Q23"/>
    <mergeCell ref="M23:N23"/>
    <mergeCell ref="M38:N38"/>
    <mergeCell ref="O38:Q38"/>
    <mergeCell ref="R38:T38"/>
    <mergeCell ref="M24:N24"/>
    <mergeCell ref="M25:N25"/>
    <mergeCell ref="M26:N26"/>
    <mergeCell ref="O53:Q53"/>
    <mergeCell ref="M46:N46"/>
    <mergeCell ref="M47:N47"/>
    <mergeCell ref="M48:N48"/>
    <mergeCell ref="M49:N49"/>
    <mergeCell ref="M50:N50"/>
    <mergeCell ref="M51:N51"/>
    <mergeCell ref="M40:N40"/>
    <mergeCell ref="O52:Q52"/>
    <mergeCell ref="R48:T48"/>
    <mergeCell ref="R47:T47"/>
    <mergeCell ref="M27:N27"/>
    <mergeCell ref="M52:N52"/>
    <mergeCell ref="M41:N41"/>
    <mergeCell ref="M42:N42"/>
    <mergeCell ref="M43:N43"/>
  </mergeCells>
  <pageMargins left="0.511811024" right="0.511811024" top="0.78740157499999996" bottom="0.78740157499999996" header="0.31496062000000002" footer="0.31496062000000002"/>
  <pageSetup paperSize="9" scale="55" orientation="landscape"/>
  <headerFooter>
    <oddFooter>&amp;C_x000D_&amp;1#&amp;"Calibri"&amp;12&amp;K0000FF Informação Interna</oddFooter>
  </headerFooter>
  <ignoredErrors>
    <ignoredError sqref="D7:E7 D19 C24:D24 D29 H24 D42 E48 C48:D48 D53 H48 M9:N9 M12:N12 M14:N14 M18:N18 N20 R9 R12 R14 R18 E53 E29 E24 E19 E8:E18 E20:E23 E25:E28 O18 O14 O12 O9 O20 O7:O8 O10:O11 O13 O15:O17 O19" formula="1"/>
    <ignoredError sqref="D18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2E97C260943642B6CD189163D2338A" ma:contentTypeVersion="12" ma:contentTypeDescription="Crie um novo documento." ma:contentTypeScope="" ma:versionID="645e5aee36bb4b8f22539be498f00862">
  <xsd:schema xmlns:xsd="http://www.w3.org/2001/XMLSchema" xmlns:xs="http://www.w3.org/2001/XMLSchema" xmlns:p="http://schemas.microsoft.com/office/2006/metadata/properties" xmlns:ns2="00d8f02d-726d-4c8d-9dbc-f9cd844966c7" xmlns:ns3="ede76e03-4413-4002-87aa-13b32fe59ea5" targetNamespace="http://schemas.microsoft.com/office/2006/metadata/properties" ma:root="true" ma:fieldsID="f2183b11ae9c4de8762b0f66b558b6c8" ns2:_="" ns3:_="">
    <xsd:import namespace="00d8f02d-726d-4c8d-9dbc-f9cd844966c7"/>
    <xsd:import namespace="ede76e03-4413-4002-87aa-13b32fe59e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8f02d-726d-4c8d-9dbc-f9cd8449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76e03-4413-4002-87aa-13b32fe59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2B60F-BAA8-4269-B1AF-803BF76E6E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d8f02d-726d-4c8d-9dbc-f9cd844966c7"/>
    <ds:schemaRef ds:uri="ede76e03-4413-4002-87aa-13b32fe59e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479710-3F39-4181-849A-7AA03E56E980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00d8f02d-726d-4c8d-9dbc-f9cd844966c7"/>
    <ds:schemaRef ds:uri="http://schemas.microsoft.com/office/infopath/2007/PartnerControls"/>
    <ds:schemaRef ds:uri="ede76e03-4413-4002-87aa-13b32fe59ea5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30FB9C8-D414-4CD1-AFFD-2857CAB238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Ativo</vt:lpstr>
      <vt:lpstr>Passivo</vt:lpstr>
      <vt:lpstr>DRE</vt:lpstr>
      <vt:lpstr>Balanços</vt:lpstr>
      <vt:lpstr>Balanços!Area_de_impressao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Guedes</dc:creator>
  <cp:lastModifiedBy>Osvaldo Caio Oliveira dos Santos</cp:lastModifiedBy>
  <cp:lastPrinted>2021-08-05T17:32:10Z</cp:lastPrinted>
  <dcterms:created xsi:type="dcterms:W3CDTF">2021-07-21T22:44:39Z</dcterms:created>
  <dcterms:modified xsi:type="dcterms:W3CDTF">2024-07-02T23:46:51Z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0x0101008E2E97C260943642B6CD189163D2338A</vt:lpwstr>
  </property>
  <property fmtid="{D5CDD505-2E9C-101B-9397-08002B2CF9AE}" pid="3" name="MSIP_Label_97614cba-6e42-4eed-9cc2-91d89cc118ec_Enabled">
    <vt:lpwstr>true</vt:lpwstr>
  </property>
  <property fmtid="{D5CDD505-2E9C-101B-9397-08002B2CF9AE}" pid="4" name="MSIP_Label_97614cba-6e42-4eed-9cc2-91d89cc118ec_SetDate">
    <vt:lpwstr>2023-12-01T19:36:30Z</vt:lpwstr>
  </property>
  <property fmtid="{D5CDD505-2E9C-101B-9397-08002B2CF9AE}" pid="5" name="MSIP_Label_97614cba-6e42-4eed-9cc2-91d89cc118ec_Method">
    <vt:lpwstr>Standard</vt:lpwstr>
  </property>
  <property fmtid="{D5CDD505-2E9C-101B-9397-08002B2CF9AE}" pid="6" name="MSIP_Label_97614cba-6e42-4eed-9cc2-91d89cc118ec_Name">
    <vt:lpwstr>Interno</vt:lpwstr>
  </property>
  <property fmtid="{D5CDD505-2E9C-101B-9397-08002B2CF9AE}" pid="7" name="MSIP_Label_97614cba-6e42-4eed-9cc2-91d89cc118ec_SiteId">
    <vt:lpwstr>812a6bd0-5829-4196-b2be-d0580b7bd0cb</vt:lpwstr>
  </property>
  <property fmtid="{D5CDD505-2E9C-101B-9397-08002B2CF9AE}" pid="8" name="MSIP_Label_97614cba-6e42-4eed-9cc2-91d89cc118ec_ActionId">
    <vt:lpwstr>106570b5-1f61-46b5-8679-4be2d1863c50</vt:lpwstr>
  </property>
  <property fmtid="{D5CDD505-2E9C-101B-9397-08002B2CF9AE}" pid="9" name="MSIP_Label_97614cba-6e42-4eed-9cc2-91d89cc118ec_ContentBits">
    <vt:lpwstr>2</vt:lpwstr>
  </property>
</Properties>
</file>