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OSVALDO\MI CARRERA\INFORMATICA\11 OPTATIVAS\INF 354 INTELIGENCIA ARTIFICIAL\PRIMER PARCIAL\PREGUNTA 6\"/>
    </mc:Choice>
  </mc:AlternateContent>
  <xr:revisionPtr revIDLastSave="0" documentId="13_ncr:1_{A4283743-C44A-4DEB-81C4-11C10FADE4EB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HALLANDO DATOS" sheetId="1" r:id="rId1"/>
    <sheet name="ARBOL DE DESICION" sheetId="3" r:id="rId2"/>
    <sheet name="Sheet2MasDatos" sheetId="2" r:id="rId3"/>
  </sheets>
  <definedNames>
    <definedName name="_xlnm._FilterDatabase" localSheetId="1" hidden="1">'ARBOL DE DESICION'!$A$1:$E$22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" i="1" l="1"/>
  <c r="K85" i="1"/>
  <c r="J85" i="1"/>
  <c r="I85" i="1"/>
  <c r="M85" i="1" s="1"/>
  <c r="H85" i="1"/>
  <c r="L84" i="1"/>
  <c r="K84" i="1"/>
  <c r="J84" i="1"/>
  <c r="I84" i="1"/>
  <c r="H84" i="1"/>
  <c r="L83" i="1"/>
  <c r="K83" i="1"/>
  <c r="J83" i="1"/>
  <c r="I83" i="1"/>
  <c r="H83" i="1"/>
  <c r="L82" i="1"/>
  <c r="K82" i="1"/>
  <c r="J82" i="1"/>
  <c r="I82" i="1"/>
  <c r="H82" i="1"/>
  <c r="L81" i="1"/>
  <c r="K81" i="1"/>
  <c r="J81" i="1"/>
  <c r="I81" i="1"/>
  <c r="M81" i="1" s="1"/>
  <c r="H81" i="1"/>
  <c r="L79" i="1"/>
  <c r="K79" i="1"/>
  <c r="J79" i="1"/>
  <c r="I79" i="1"/>
  <c r="H79" i="1"/>
  <c r="M82" i="1" l="1"/>
  <c r="M83" i="1"/>
  <c r="M79" i="1"/>
  <c r="M84" i="1"/>
  <c r="N80" i="1" l="1"/>
  <c r="H63" i="1" l="1"/>
  <c r="H62" i="1"/>
  <c r="H60" i="1"/>
  <c r="L72" i="1"/>
  <c r="L135" i="2"/>
  <c r="K135" i="2"/>
  <c r="J135" i="2"/>
  <c r="I135" i="2"/>
  <c r="H135" i="2"/>
  <c r="L134" i="2"/>
  <c r="K134" i="2"/>
  <c r="J134" i="2"/>
  <c r="I134" i="2"/>
  <c r="H134" i="2"/>
  <c r="L133" i="2"/>
  <c r="K133" i="2"/>
  <c r="J133" i="2"/>
  <c r="I133" i="2"/>
  <c r="H133" i="2"/>
  <c r="L132" i="2"/>
  <c r="K132" i="2"/>
  <c r="J132" i="2"/>
  <c r="I132" i="2"/>
  <c r="M132" i="2" s="1"/>
  <c r="H132" i="2"/>
  <c r="L130" i="2"/>
  <c r="K130" i="2"/>
  <c r="J130" i="2"/>
  <c r="I130" i="2"/>
  <c r="H130" i="2"/>
  <c r="L129" i="2"/>
  <c r="K129" i="2"/>
  <c r="J129" i="2"/>
  <c r="I129" i="2"/>
  <c r="H129" i="2"/>
  <c r="L128" i="2"/>
  <c r="K128" i="2"/>
  <c r="J128" i="2"/>
  <c r="I128" i="2"/>
  <c r="H128" i="2"/>
  <c r="L127" i="2"/>
  <c r="K127" i="2"/>
  <c r="J127" i="2"/>
  <c r="I127" i="2"/>
  <c r="M127" i="2" s="1"/>
  <c r="H127" i="2"/>
  <c r="L126" i="2"/>
  <c r="K126" i="2"/>
  <c r="J126" i="2"/>
  <c r="I126" i="2"/>
  <c r="H126" i="2"/>
  <c r="L125" i="2"/>
  <c r="K125" i="2"/>
  <c r="J125" i="2"/>
  <c r="I125" i="2"/>
  <c r="H125" i="2"/>
  <c r="L123" i="2"/>
  <c r="K123" i="2"/>
  <c r="J123" i="2"/>
  <c r="I123" i="2"/>
  <c r="H123" i="2"/>
  <c r="L122" i="2"/>
  <c r="K122" i="2"/>
  <c r="J122" i="2"/>
  <c r="I122" i="2"/>
  <c r="M122" i="2" s="1"/>
  <c r="H122" i="2"/>
  <c r="L121" i="2"/>
  <c r="K121" i="2"/>
  <c r="J121" i="2"/>
  <c r="I121" i="2"/>
  <c r="H121" i="2"/>
  <c r="L120" i="2"/>
  <c r="K120" i="2"/>
  <c r="J120" i="2"/>
  <c r="I120" i="2"/>
  <c r="H120" i="2"/>
  <c r="L119" i="2"/>
  <c r="K119" i="2"/>
  <c r="J119" i="2"/>
  <c r="I119" i="2"/>
  <c r="H119" i="2"/>
  <c r="L117" i="2"/>
  <c r="K117" i="2"/>
  <c r="J117" i="2"/>
  <c r="I117" i="2"/>
  <c r="M117" i="2" s="1"/>
  <c r="H117" i="2"/>
  <c r="L110" i="2"/>
  <c r="K110" i="2"/>
  <c r="J110" i="2"/>
  <c r="I110" i="2"/>
  <c r="H110" i="2"/>
  <c r="L109" i="2"/>
  <c r="K109" i="2"/>
  <c r="J109" i="2"/>
  <c r="I109" i="2"/>
  <c r="H109" i="2"/>
  <c r="L108" i="2"/>
  <c r="K108" i="2"/>
  <c r="J108" i="2"/>
  <c r="I108" i="2"/>
  <c r="H108" i="2"/>
  <c r="L107" i="2"/>
  <c r="K107" i="2"/>
  <c r="J107" i="2"/>
  <c r="I107" i="2"/>
  <c r="M107" i="2" s="1"/>
  <c r="H107" i="2"/>
  <c r="L105" i="2"/>
  <c r="K105" i="2"/>
  <c r="J105" i="2"/>
  <c r="I105" i="2"/>
  <c r="H105" i="2"/>
  <c r="L104" i="2"/>
  <c r="K104" i="2"/>
  <c r="J104" i="2"/>
  <c r="I104" i="2"/>
  <c r="H104" i="2"/>
  <c r="L103" i="2"/>
  <c r="K103" i="2"/>
  <c r="J103" i="2"/>
  <c r="I103" i="2"/>
  <c r="H103" i="2"/>
  <c r="L102" i="2"/>
  <c r="K102" i="2"/>
  <c r="J102" i="2"/>
  <c r="I102" i="2"/>
  <c r="M102" i="2" s="1"/>
  <c r="H102" i="2"/>
  <c r="L101" i="2"/>
  <c r="K101" i="2"/>
  <c r="J101" i="2"/>
  <c r="I101" i="2"/>
  <c r="H101" i="2"/>
  <c r="L100" i="2"/>
  <c r="K100" i="2"/>
  <c r="J100" i="2"/>
  <c r="I100" i="2"/>
  <c r="H100" i="2"/>
  <c r="L98" i="2"/>
  <c r="K98" i="2"/>
  <c r="J98" i="2"/>
  <c r="I98" i="2"/>
  <c r="H98" i="2"/>
  <c r="L97" i="2"/>
  <c r="K97" i="2"/>
  <c r="J97" i="2"/>
  <c r="I97" i="2"/>
  <c r="M97" i="2" s="1"/>
  <c r="H97" i="2"/>
  <c r="L96" i="2"/>
  <c r="K96" i="2"/>
  <c r="J96" i="2"/>
  <c r="I96" i="2"/>
  <c r="H96" i="2"/>
  <c r="L95" i="2"/>
  <c r="K95" i="2"/>
  <c r="J95" i="2"/>
  <c r="I95" i="2"/>
  <c r="H95" i="2"/>
  <c r="L94" i="2"/>
  <c r="K94" i="2"/>
  <c r="J94" i="2"/>
  <c r="I94" i="2"/>
  <c r="H94" i="2"/>
  <c r="L92" i="2"/>
  <c r="K92" i="2"/>
  <c r="J92" i="2"/>
  <c r="I92" i="2"/>
  <c r="M92" i="2" s="1"/>
  <c r="H92" i="2"/>
  <c r="L27" i="2"/>
  <c r="K27" i="2"/>
  <c r="J27" i="2"/>
  <c r="I27" i="2"/>
  <c r="M27" i="2" s="1"/>
  <c r="H27" i="2"/>
  <c r="L26" i="2"/>
  <c r="K26" i="2"/>
  <c r="J26" i="2"/>
  <c r="I26" i="2"/>
  <c r="M26" i="2" s="1"/>
  <c r="H26" i="2"/>
  <c r="L25" i="2"/>
  <c r="K25" i="2"/>
  <c r="J25" i="2"/>
  <c r="I25" i="2"/>
  <c r="M25" i="2" s="1"/>
  <c r="H25" i="2"/>
  <c r="L24" i="2"/>
  <c r="K24" i="2"/>
  <c r="J24" i="2"/>
  <c r="I24" i="2"/>
  <c r="M24" i="2" s="1"/>
  <c r="H24" i="2"/>
  <c r="L23" i="2"/>
  <c r="K23" i="2"/>
  <c r="J23" i="2"/>
  <c r="I23" i="2"/>
  <c r="M23" i="2" s="1"/>
  <c r="H23" i="2"/>
  <c r="L21" i="2"/>
  <c r="K21" i="2"/>
  <c r="J21" i="2"/>
  <c r="I21" i="2"/>
  <c r="M21" i="2" s="1"/>
  <c r="H21" i="2"/>
  <c r="L20" i="2"/>
  <c r="K20" i="2"/>
  <c r="J20" i="2"/>
  <c r="I20" i="2"/>
  <c r="M20" i="2" s="1"/>
  <c r="H20" i="2"/>
  <c r="L19" i="2"/>
  <c r="K19" i="2"/>
  <c r="J19" i="2"/>
  <c r="I19" i="2"/>
  <c r="M19" i="2" s="1"/>
  <c r="H19" i="2"/>
  <c r="L18" i="2"/>
  <c r="K18" i="2"/>
  <c r="J18" i="2"/>
  <c r="I18" i="2"/>
  <c r="M18" i="2" s="1"/>
  <c r="H18" i="2"/>
  <c r="L16" i="2"/>
  <c r="K16" i="2"/>
  <c r="J16" i="2"/>
  <c r="I16" i="2"/>
  <c r="M16" i="2" s="1"/>
  <c r="H16" i="2"/>
  <c r="L15" i="2"/>
  <c r="K15" i="2"/>
  <c r="J15" i="2"/>
  <c r="I15" i="2"/>
  <c r="M15" i="2" s="1"/>
  <c r="H15" i="2"/>
  <c r="L14" i="2"/>
  <c r="K14" i="2"/>
  <c r="J14" i="2"/>
  <c r="I14" i="2"/>
  <c r="M14" i="2" s="1"/>
  <c r="H14" i="2"/>
  <c r="L13" i="2"/>
  <c r="K13" i="2"/>
  <c r="J13" i="2"/>
  <c r="I13" i="2"/>
  <c r="M13" i="2" s="1"/>
  <c r="H13" i="2"/>
  <c r="L12" i="2"/>
  <c r="K12" i="2"/>
  <c r="J12" i="2"/>
  <c r="I12" i="2"/>
  <c r="M12" i="2" s="1"/>
  <c r="H12" i="2"/>
  <c r="L11" i="2"/>
  <c r="K11" i="2"/>
  <c r="J11" i="2"/>
  <c r="I11" i="2"/>
  <c r="M11" i="2" s="1"/>
  <c r="H11" i="2"/>
  <c r="L9" i="2"/>
  <c r="K9" i="2"/>
  <c r="J9" i="2"/>
  <c r="I9" i="2"/>
  <c r="M9" i="2" s="1"/>
  <c r="H9" i="2"/>
  <c r="L8" i="2"/>
  <c r="K8" i="2"/>
  <c r="J8" i="2"/>
  <c r="I8" i="2"/>
  <c r="M8" i="2" s="1"/>
  <c r="H8" i="2"/>
  <c r="L7" i="2"/>
  <c r="K7" i="2"/>
  <c r="J7" i="2"/>
  <c r="I7" i="2"/>
  <c r="M7" i="2" s="1"/>
  <c r="H7" i="2"/>
  <c r="L6" i="2"/>
  <c r="K6" i="2"/>
  <c r="J6" i="2"/>
  <c r="I6" i="2"/>
  <c r="M6" i="2" s="1"/>
  <c r="H6" i="2"/>
  <c r="L5" i="2"/>
  <c r="K5" i="2"/>
  <c r="J5" i="2"/>
  <c r="I5" i="2"/>
  <c r="M5" i="2" s="1"/>
  <c r="H5" i="2"/>
  <c r="L3" i="2"/>
  <c r="K3" i="2"/>
  <c r="J3" i="2"/>
  <c r="I3" i="2"/>
  <c r="M3" i="2" s="1"/>
  <c r="H3" i="2"/>
  <c r="L73" i="1"/>
  <c r="K73" i="1"/>
  <c r="J73" i="1"/>
  <c r="I73" i="1"/>
  <c r="H73" i="1"/>
  <c r="K72" i="1"/>
  <c r="J72" i="1"/>
  <c r="I72" i="1"/>
  <c r="H72" i="1"/>
  <c r="L71" i="1"/>
  <c r="K71" i="1"/>
  <c r="J71" i="1"/>
  <c r="I71" i="1"/>
  <c r="M71" i="1" s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6" i="1"/>
  <c r="K66" i="1"/>
  <c r="J66" i="1"/>
  <c r="I66" i="1"/>
  <c r="M66" i="1" s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L62" i="1"/>
  <c r="K62" i="1"/>
  <c r="J62" i="1"/>
  <c r="I62" i="1"/>
  <c r="L60" i="1"/>
  <c r="K60" i="1"/>
  <c r="J60" i="1"/>
  <c r="I60" i="1"/>
  <c r="L50" i="1"/>
  <c r="L51" i="1"/>
  <c r="L52" i="1"/>
  <c r="L53" i="1"/>
  <c r="K53" i="1"/>
  <c r="K52" i="1"/>
  <c r="K51" i="1"/>
  <c r="K50" i="1"/>
  <c r="J53" i="1"/>
  <c r="J52" i="1"/>
  <c r="J51" i="1"/>
  <c r="J50" i="1"/>
  <c r="I53" i="1"/>
  <c r="I52" i="1"/>
  <c r="I51" i="1"/>
  <c r="I50" i="1"/>
  <c r="H53" i="1"/>
  <c r="H52" i="1"/>
  <c r="H51" i="1"/>
  <c r="H50" i="1"/>
  <c r="L48" i="1"/>
  <c r="L47" i="1"/>
  <c r="L46" i="1"/>
  <c r="L45" i="1"/>
  <c r="L44" i="1"/>
  <c r="L43" i="1"/>
  <c r="K48" i="1"/>
  <c r="K47" i="1"/>
  <c r="K46" i="1"/>
  <c r="K45" i="1"/>
  <c r="K44" i="1"/>
  <c r="K43" i="1"/>
  <c r="J48" i="1"/>
  <c r="J47" i="1"/>
  <c r="J46" i="1"/>
  <c r="J45" i="1"/>
  <c r="J44" i="1"/>
  <c r="J43" i="1"/>
  <c r="I48" i="1"/>
  <c r="I47" i="1"/>
  <c r="I46" i="1"/>
  <c r="I45" i="1"/>
  <c r="I44" i="1"/>
  <c r="I43" i="1"/>
  <c r="H48" i="1"/>
  <c r="H47" i="1"/>
  <c r="H46" i="1"/>
  <c r="H45" i="1"/>
  <c r="H44" i="1"/>
  <c r="H43" i="1"/>
  <c r="L41" i="1"/>
  <c r="L40" i="1"/>
  <c r="L39" i="1"/>
  <c r="L38" i="1"/>
  <c r="L37" i="1"/>
  <c r="K41" i="1"/>
  <c r="K40" i="1"/>
  <c r="M40" i="1" s="1"/>
  <c r="K39" i="1"/>
  <c r="K38" i="1"/>
  <c r="K37" i="1"/>
  <c r="J41" i="1"/>
  <c r="J40" i="1"/>
  <c r="J39" i="1"/>
  <c r="J38" i="1"/>
  <c r="J37" i="1"/>
  <c r="I41" i="1"/>
  <c r="M41" i="1" s="1"/>
  <c r="I40" i="1"/>
  <c r="I39" i="1"/>
  <c r="M39" i="1" s="1"/>
  <c r="I38" i="1"/>
  <c r="M38" i="1" s="1"/>
  <c r="I37" i="1"/>
  <c r="H41" i="1"/>
  <c r="H40" i="1"/>
  <c r="H39" i="1"/>
  <c r="H38" i="1"/>
  <c r="H37" i="1"/>
  <c r="L35" i="1"/>
  <c r="K35" i="1"/>
  <c r="J35" i="1"/>
  <c r="I35" i="1"/>
  <c r="H35" i="1"/>
  <c r="L27" i="1"/>
  <c r="K27" i="1"/>
  <c r="J27" i="1"/>
  <c r="M27" i="1" s="1"/>
  <c r="L26" i="1"/>
  <c r="K26" i="1"/>
  <c r="J26" i="1"/>
  <c r="L25" i="1"/>
  <c r="K25" i="1"/>
  <c r="J25" i="1"/>
  <c r="L24" i="1"/>
  <c r="K24" i="1"/>
  <c r="J24" i="1"/>
  <c r="I27" i="1"/>
  <c r="I26" i="1"/>
  <c r="M26" i="1" s="1"/>
  <c r="I25" i="1"/>
  <c r="M25" i="1" s="1"/>
  <c r="I24" i="1"/>
  <c r="M24" i="1" s="1"/>
  <c r="L23" i="1"/>
  <c r="K23" i="1"/>
  <c r="J23" i="1"/>
  <c r="I23" i="1"/>
  <c r="M23" i="1" s="1"/>
  <c r="H27" i="1"/>
  <c r="H26" i="1"/>
  <c r="H25" i="1"/>
  <c r="H24" i="1"/>
  <c r="H23" i="1"/>
  <c r="L21" i="1"/>
  <c r="K21" i="1"/>
  <c r="J21" i="1"/>
  <c r="I21" i="1"/>
  <c r="M21" i="1" s="1"/>
  <c r="L20" i="1"/>
  <c r="K20" i="1"/>
  <c r="J20" i="1"/>
  <c r="I20" i="1"/>
  <c r="M20" i="1" s="1"/>
  <c r="L19" i="1"/>
  <c r="M19" i="1" s="1"/>
  <c r="K19" i="1"/>
  <c r="J19" i="1"/>
  <c r="I19" i="1"/>
  <c r="L18" i="1"/>
  <c r="K18" i="1"/>
  <c r="J18" i="1"/>
  <c r="I18" i="1"/>
  <c r="M18" i="1" s="1"/>
  <c r="H18" i="1"/>
  <c r="H21" i="1"/>
  <c r="H20" i="1"/>
  <c r="H19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H16" i="1"/>
  <c r="H15" i="1"/>
  <c r="H14" i="1"/>
  <c r="H13" i="1"/>
  <c r="H12" i="1"/>
  <c r="H11" i="1"/>
  <c r="L9" i="1"/>
  <c r="L8" i="1"/>
  <c r="L7" i="1"/>
  <c r="L6" i="1"/>
  <c r="L5" i="1"/>
  <c r="K5" i="1"/>
  <c r="K9" i="1"/>
  <c r="K8" i="1"/>
  <c r="K7" i="1"/>
  <c r="K6" i="1"/>
  <c r="J9" i="1"/>
  <c r="J8" i="1"/>
  <c r="J7" i="1"/>
  <c r="J6" i="1"/>
  <c r="J5" i="1"/>
  <c r="I5" i="1"/>
  <c r="I9" i="1"/>
  <c r="I8" i="1"/>
  <c r="I7" i="1"/>
  <c r="I6" i="1"/>
  <c r="H9" i="1"/>
  <c r="H8" i="1"/>
  <c r="H7" i="1"/>
  <c r="H6" i="1"/>
  <c r="H5" i="1"/>
  <c r="L3" i="1"/>
  <c r="K3" i="1"/>
  <c r="J3" i="1"/>
  <c r="I3" i="1"/>
  <c r="M3" i="1" s="1"/>
  <c r="H3" i="1"/>
  <c r="N17" i="1" l="1"/>
  <c r="N22" i="1"/>
  <c r="M64" i="1"/>
  <c r="M69" i="1"/>
  <c r="M62" i="1"/>
  <c r="M68" i="1"/>
  <c r="M73" i="1"/>
  <c r="M65" i="1"/>
  <c r="M70" i="1"/>
  <c r="M60" i="1"/>
  <c r="M63" i="1"/>
  <c r="M72" i="1"/>
  <c r="M94" i="2"/>
  <c r="N93" i="2" s="1"/>
  <c r="M98" i="2"/>
  <c r="M103" i="2"/>
  <c r="M108" i="2"/>
  <c r="N106" i="2" s="1"/>
  <c r="M119" i="2"/>
  <c r="M123" i="2"/>
  <c r="M128" i="2"/>
  <c r="M133" i="2"/>
  <c r="M95" i="2"/>
  <c r="M100" i="2"/>
  <c r="M104" i="2"/>
  <c r="M109" i="2"/>
  <c r="M120" i="2"/>
  <c r="M125" i="2"/>
  <c r="M129" i="2"/>
  <c r="M134" i="2"/>
  <c r="M96" i="2"/>
  <c r="M101" i="2"/>
  <c r="M105" i="2"/>
  <c r="M110" i="2"/>
  <c r="M121" i="2"/>
  <c r="M126" i="2"/>
  <c r="M130" i="2"/>
  <c r="M135" i="2"/>
  <c r="N22" i="2"/>
  <c r="N17" i="2"/>
  <c r="N4" i="2"/>
  <c r="N10" i="2"/>
  <c r="N99" i="2"/>
  <c r="N131" i="2"/>
  <c r="N118" i="2"/>
  <c r="N124" i="2"/>
  <c r="M53" i="1"/>
  <c r="M52" i="1"/>
  <c r="M51" i="1"/>
  <c r="M50" i="1"/>
  <c r="M48" i="1"/>
  <c r="M47" i="1"/>
  <c r="M46" i="1"/>
  <c r="M45" i="1"/>
  <c r="M44" i="1"/>
  <c r="M43" i="1"/>
  <c r="M37" i="1"/>
  <c r="M35" i="1"/>
  <c r="N10" i="1"/>
  <c r="M8" i="1"/>
  <c r="M7" i="1"/>
  <c r="M9" i="1"/>
  <c r="M6" i="1"/>
  <c r="M5" i="1"/>
  <c r="N67" i="1" l="1"/>
  <c r="N61" i="1"/>
  <c r="N42" i="1"/>
  <c r="N49" i="1"/>
  <c r="N36" i="1"/>
  <c r="N4" i="1"/>
</calcChain>
</file>

<file path=xl/sharedStrings.xml><?xml version="1.0" encoding="utf-8"?>
<sst xmlns="http://schemas.openxmlformats.org/spreadsheetml/2006/main" count="436" uniqueCount="54">
  <si>
    <t>Global Rank</t>
  </si>
  <si>
    <t>Stars</t>
  </si>
  <si>
    <t>Country Rank</t>
  </si>
  <si>
    <t>Rating</t>
  </si>
  <si>
    <t>Fully Solved</t>
  </si>
  <si>
    <t>Partially Solved</t>
  </si>
  <si>
    <t>India</t>
  </si>
  <si>
    <t>Kazakhstan</t>
  </si>
  <si>
    <t>China</t>
  </si>
  <si>
    <t>Czech Republic</t>
  </si>
  <si>
    <t>Singapore</t>
  </si>
  <si>
    <t>Belarus</t>
  </si>
  <si>
    <t>oficial</t>
  </si>
  <si>
    <t xml:space="preserve">TOTAL </t>
  </si>
  <si>
    <t>7 STARS</t>
  </si>
  <si>
    <t>6 STARS</t>
  </si>
  <si>
    <t xml:space="preserve">5 STARS </t>
  </si>
  <si>
    <t>4 STARS</t>
  </si>
  <si>
    <t>ENTROPIA</t>
  </si>
  <si>
    <t>GANANCIA</t>
  </si>
  <si>
    <t>GLOBAL RANK</t>
  </si>
  <si>
    <t>[1, 2000]</t>
  </si>
  <si>
    <t>[2001,4000]</t>
  </si>
  <si>
    <t>[8001, 15000]</t>
  </si>
  <si>
    <t>[6001, 8000]</t>
  </si>
  <si>
    <t>[4001, 6000]</t>
  </si>
  <si>
    <t>COUNTRY  RANK</t>
  </si>
  <si>
    <t>RATING</t>
  </si>
  <si>
    <t>[1, 1399]</t>
  </si>
  <si>
    <t>[1400, 1599]</t>
  </si>
  <si>
    <t>[1600, 1999]</t>
  </si>
  <si>
    <t>[2000, 5000]</t>
  </si>
  <si>
    <t>div1</t>
  </si>
  <si>
    <t>div2</t>
  </si>
  <si>
    <t>div3</t>
  </si>
  <si>
    <t>div4</t>
  </si>
  <si>
    <t>FULL SOLVED</t>
  </si>
  <si>
    <t>[1,200)</t>
  </si>
  <si>
    <t>[200, 400)</t>
  </si>
  <si>
    <t>[400, 600)</t>
  </si>
  <si>
    <t>[600, 800)</t>
  </si>
  <si>
    <t>[800, 1000)</t>
  </si>
  <si>
    <t>Analizar por FULL SOLVED</t>
  </si>
  <si>
    <t>ANALIZAR POR RATING</t>
  </si>
  <si>
    <t>7 stars = 1</t>
  </si>
  <si>
    <t>6 stars = 1</t>
  </si>
  <si>
    <t>5 stars = 4</t>
  </si>
  <si>
    <t>4 stars = 10</t>
  </si>
  <si>
    <t>(7S=1, 6S=1,5S=2,4S=0)</t>
  </si>
  <si>
    <t>(7S=0, 6S=0,5S=5,4S=0)</t>
  </si>
  <si>
    <t>(7S=0, 6S=0,5S=1,4S=3)</t>
  </si>
  <si>
    <t>(7S=0, 6S=0,5S=0,4S=7)</t>
  </si>
  <si>
    <t>(7S=0, 6S=0,5S=0,4S=1)</t>
  </si>
  <si>
    <t>ANALIZAR POR COUNTRY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</si>
</sst>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504825</xdr:colOff>
      <xdr:row>1</xdr:row>
      <xdr:rowOff>152400</xdr:rowOff>
    </xdr:from>
    <xdr:to>
      <xdr:col>22</xdr:col>
      <xdr:colOff>26194</xdr:colOff>
      <xdr:row>9</xdr:row>
      <xdr:rowOff>142645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17073E-DEF6-4380-96DE-54C726ACD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342900"/>
          <a:ext cx="4750594" cy="168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24741</xdr:colOff>
      <xdr:row>2</xdr:row>
      <xdr:rowOff>173182</xdr:rowOff>
    </xdr:from>
    <xdr:to>
      <xdr:col>17</xdr:col>
      <xdr:colOff>177141</xdr:colOff>
      <xdr:row>32</xdr:row>
      <xdr:rowOff>176090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C1695E-A919-464E-B1CE-CE477AE1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3377" y="358734"/>
          <a:ext cx="7821881" cy="32191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504825</xdr:colOff>
      <xdr:row>1</xdr:row>
      <xdr:rowOff>152400</xdr:rowOff>
    </xdr:from>
    <xdr:to>
      <xdr:col>23</xdr:col>
      <xdr:colOff>378619</xdr:colOff>
      <xdr:row>9</xdr:row>
      <xdr:rowOff>142645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2C9FF-1704-4AB3-91E0-055D28BC7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342900"/>
          <a:ext cx="4750594" cy="168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7"/>
  <sheetViews>
    <sheetView topLeftCell="A9" zoomScale="57" workbookViewId="0">
      <selection activeCell="AJ43" sqref="AJ43"/>
    </sheetView>
  </sheetViews>
  <sheetFormatPr baseColWidth="10" defaultColWidth="9.140625" defaultRowHeight="15" x14ac:dyDescent="0.25"/>
  <cols>
    <col min="1" max="1" width="11.85546875" style="1" customWidth="1"/>
    <col min="2" max="5" width="13.7109375" style="1" customWidth="1"/>
    <col min="6" max="6" width="11" style="1" customWidth="1"/>
    <col min="7" max="7" width="14.5703125" style="1" customWidth="1"/>
    <col min="8" max="12" width="7.7109375" style="1" customWidth="1"/>
    <col min="13" max="14" width="12.7109375" style="1" customWidth="1"/>
    <col min="15" max="18" width="9.140625" style="1"/>
    <col min="19" max="19" width="15" style="1" customWidth="1"/>
    <col min="20" max="26" width="12" style="1" customWidth="1"/>
    <col min="27" max="16384" width="9.140625" style="1"/>
  </cols>
  <sheetData>
    <row r="1" spans="1:18" x14ac:dyDescent="0.25">
      <c r="A1" s="1">
        <v>0</v>
      </c>
      <c r="B1" s="1">
        <v>3</v>
      </c>
      <c r="C1" s="1">
        <v>5</v>
      </c>
      <c r="D1" s="1">
        <v>7</v>
      </c>
      <c r="E1" s="1">
        <v>1</v>
      </c>
    </row>
    <row r="2" spans="1:18" ht="28.5" customHeight="1" x14ac:dyDescent="0.25">
      <c r="A2" s="3" t="s">
        <v>0</v>
      </c>
      <c r="B2" s="3" t="s">
        <v>2</v>
      </c>
      <c r="C2" s="3" t="s">
        <v>3</v>
      </c>
      <c r="D2" s="3" t="s">
        <v>4</v>
      </c>
      <c r="E2" s="3" t="s">
        <v>1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</row>
    <row r="3" spans="1:18" x14ac:dyDescent="0.25">
      <c r="A3" s="1">
        <v>1642</v>
      </c>
      <c r="B3" s="1" t="s">
        <v>6</v>
      </c>
      <c r="C3" s="1">
        <v>2143</v>
      </c>
      <c r="D3" s="1">
        <v>50</v>
      </c>
      <c r="E3" s="1">
        <v>5</v>
      </c>
      <c r="G3" s="3" t="s">
        <v>13</v>
      </c>
      <c r="H3" s="1">
        <f>COUNTA(E3:E23)</f>
        <v>21</v>
      </c>
      <c r="I3" s="1">
        <f>COUNTIF(E3:E23,7)</f>
        <v>1</v>
      </c>
      <c r="J3" s="1">
        <f>COUNTIF(E3:E23,6)</f>
        <v>1</v>
      </c>
      <c r="K3" s="1">
        <f>COUNTIF(E3:E23,5)</f>
        <v>8</v>
      </c>
      <c r="L3" s="1">
        <f>COUNTIF(E3:E23,4)</f>
        <v>11</v>
      </c>
      <c r="M3" s="1">
        <f xml:space="preserve"> -((I3/H3) * IMLOG2(I3/H3) + (J3/H3) * IMLOG2(J3/H3) + (K3/H3) * IMLOG2(K3/H3)  +  (L3/H3) * IMLOG2(L3/H3))</f>
        <v>1.4373770511116044</v>
      </c>
    </row>
    <row r="4" spans="1:18" x14ac:dyDescent="0.25">
      <c r="A4" s="1">
        <v>8323</v>
      </c>
      <c r="B4" s="1" t="s">
        <v>6</v>
      </c>
      <c r="C4" s="1">
        <v>1899</v>
      </c>
      <c r="D4" s="1">
        <v>20</v>
      </c>
      <c r="E4" s="1">
        <v>4</v>
      </c>
      <c r="G4" s="3" t="s">
        <v>20</v>
      </c>
      <c r="H4" s="2"/>
      <c r="I4" s="2"/>
      <c r="J4" s="2"/>
      <c r="K4" s="2"/>
      <c r="L4" s="2"/>
      <c r="M4" s="2"/>
      <c r="N4" s="1">
        <f>M3 - ((H5/H3) *M5) - ((H6/H3) *M6) - ((H7/H3) *M7) - ((H8/H3) *M8) - ((H9/H3) *M9)</f>
        <v>1.4373770511116044</v>
      </c>
    </row>
    <row r="5" spans="1:18" x14ac:dyDescent="0.25">
      <c r="A5" s="1">
        <v>8225</v>
      </c>
      <c r="B5" s="1" t="s">
        <v>6</v>
      </c>
      <c r="C5" s="1">
        <v>1901</v>
      </c>
      <c r="D5" s="1">
        <v>75</v>
      </c>
      <c r="E5" s="1">
        <v>4</v>
      </c>
      <c r="G5" s="1" t="s">
        <v>21</v>
      </c>
      <c r="H5" s="1">
        <f>COUNTIFS(A3:A23,"&lt;=2000",A3:A23,"&gt;=1")</f>
        <v>4</v>
      </c>
      <c r="I5" s="1">
        <f>COUNTIFS(A3:A23,"&gt;=1",A3:A23,"&lt;= 2000",E3:E23,"7")</f>
        <v>1</v>
      </c>
      <c r="J5" s="1">
        <f>COUNTIFS(A3:A23,"&gt;=1",A3:A23,"&lt;= 2000",E3:E23,"6")</f>
        <v>1</v>
      </c>
      <c r="K5" s="1">
        <f>COUNTIFS(A3:A23,"&gt;=1",A3:A23,"&lt;= 2000",E3:E23,"5")</f>
        <v>2</v>
      </c>
      <c r="L5" s="1">
        <f>COUNTIFS(A3:A23,"&gt;=1",A3:A23,"&lt;= 2000",E3:E23,"4")</f>
        <v>0</v>
      </c>
      <c r="M5" s="1">
        <f xml:space="preserve">  IFERROR( -((I5/H5) * IMLOG2(I5/H5) + (J5/H5) * IMLOG2(J5/H5) + (K5/H5) * IMLOG2(K5/H5) +  (L5/H5) * IMLOG2(L5/H5)), 0)</f>
        <v>0</v>
      </c>
    </row>
    <row r="6" spans="1:18" x14ac:dyDescent="0.25">
      <c r="A6" s="1">
        <v>2378</v>
      </c>
      <c r="B6" s="1" t="s">
        <v>6</v>
      </c>
      <c r="C6" s="1">
        <v>2086</v>
      </c>
      <c r="D6" s="1">
        <v>188</v>
      </c>
      <c r="E6" s="1">
        <v>5</v>
      </c>
      <c r="G6" s="1" t="s">
        <v>22</v>
      </c>
      <c r="H6" s="1">
        <f>COUNTIFS(A3:A23,"&lt;=4000",A3:A23,"&gt;=2001")</f>
        <v>5</v>
      </c>
      <c r="I6" s="1">
        <f>COUNTIFS(A3:A23,"&gt;=2001",A3:A23,"&lt;= 4000",E3:E23,"7")</f>
        <v>0</v>
      </c>
      <c r="J6" s="1">
        <f>COUNTIFS(A3:A23,"&gt;=2001",A3:A23,"&lt;= 4000",E3:E23,"6")</f>
        <v>0</v>
      </c>
      <c r="K6" s="1">
        <f>COUNTIFS(A3:A23,"&gt;=2001",A3:A23,"&lt;= 4000",E3:E23,"5")</f>
        <v>5</v>
      </c>
      <c r="L6" s="1">
        <f>COUNTIFS(A3:A23,"&gt;=2001",A3:A23,"&lt;= 4000",E3:E23,"4")</f>
        <v>0</v>
      </c>
      <c r="M6" s="1">
        <f>IFERROR( -((I6/H6) * IMLOG2(I6/H6) + (J6/H6) * IMLOG2(J6/H6) + (K6/H6) * IMLOG2(K6/H6) +  (L6/H6) * IMLOG2(L6/H6)),0)</f>
        <v>0</v>
      </c>
    </row>
    <row r="7" spans="1:18" x14ac:dyDescent="0.25">
      <c r="A7" s="1">
        <v>5345</v>
      </c>
      <c r="B7" s="1" t="s">
        <v>6</v>
      </c>
      <c r="C7" s="1">
        <v>1969</v>
      </c>
      <c r="D7" s="1">
        <v>63</v>
      </c>
      <c r="E7" s="1">
        <v>4</v>
      </c>
      <c r="G7" s="1" t="s">
        <v>25</v>
      </c>
      <c r="H7" s="1">
        <f>COUNTIFS(A3:A23,"&lt;=6000",A3:A23,"&gt;=4001")</f>
        <v>4</v>
      </c>
      <c r="I7" s="1">
        <f>COUNTIFS(A3:A23,"&gt;=4001",A3:A23,"&lt;= 6000",E3:E23,"7")</f>
        <v>0</v>
      </c>
      <c r="J7" s="1">
        <f>COUNTIFS(A3:A23,"&gt;=4001",A3:A23,"&lt;= 6000",E3:E23,"6")</f>
        <v>0</v>
      </c>
      <c r="K7" s="1">
        <f>COUNTIFS(A3:A23,"&gt;=4001",A3:A23,"&lt;= 6000",E3:E23,"5")</f>
        <v>1</v>
      </c>
      <c r="L7" s="1">
        <f>COUNTIFS(A3:A23,"&gt;=4001",A3:A23,"&lt;= 6000",E3:E23,"4")</f>
        <v>3</v>
      </c>
      <c r="M7" s="1">
        <f xml:space="preserve"> IFERROR(-((I7/H7) * IMLOG2(I7/H7) + (J7/H7) * IMLOG2(J7/H7) + (K7/H7) * IMLOG2(K7/H7) +  (L7/H7) * IMLOG2(L7/H7)),0)</f>
        <v>0</v>
      </c>
    </row>
    <row r="8" spans="1:18" x14ac:dyDescent="0.25">
      <c r="A8" s="1">
        <v>2532</v>
      </c>
      <c r="B8" s="1" t="s">
        <v>6</v>
      </c>
      <c r="C8" s="1">
        <v>2077</v>
      </c>
      <c r="D8" s="1">
        <v>352</v>
      </c>
      <c r="E8" s="1">
        <v>5</v>
      </c>
      <c r="G8" s="1" t="s">
        <v>24</v>
      </c>
      <c r="H8" s="1">
        <f>COUNTIFS(A3:A23,"&lt;=8000",A3:A23,"&gt;=6001")</f>
        <v>1</v>
      </c>
      <c r="I8" s="1">
        <f>COUNTIFS(A3:A23,"&gt;=6001",A3:A23,"&lt;= 8000",E3:E23,"7")</f>
        <v>0</v>
      </c>
      <c r="J8" s="1">
        <f>COUNTIFS(A3:A23,"&gt;=6001",A3:A23,"&lt;= 8000",E3:E23,"6")</f>
        <v>0</v>
      </c>
      <c r="K8" s="1">
        <f>COUNTIFS(A3:A23,"&gt;=6001",A3:A23,"&lt;= 8000",E3:E23,"5")</f>
        <v>0</v>
      </c>
      <c r="L8" s="1">
        <f>COUNTIFS(A3:A23,"&gt;=6001",A3:A23,"&lt;= 8000",E3:E23,"4")</f>
        <v>1</v>
      </c>
      <c r="M8" s="1">
        <f>IFERROR( -((I8/H8) * IMLOG2(I8/H8) + (J8/H8) * IMLOG2(J8/H8) + (K8/H8) * IMLOG2(K8/H8) +  (L8/H8) * IMLOG2(L8/H8)),0)</f>
        <v>0</v>
      </c>
    </row>
    <row r="9" spans="1:18" x14ac:dyDescent="0.25">
      <c r="A9" s="1">
        <v>2984</v>
      </c>
      <c r="B9" s="1" t="s">
        <v>6</v>
      </c>
      <c r="C9" s="1">
        <v>2054</v>
      </c>
      <c r="D9" s="1">
        <v>207</v>
      </c>
      <c r="E9" s="1">
        <v>5</v>
      </c>
      <c r="G9" s="1" t="s">
        <v>23</v>
      </c>
      <c r="H9" s="1">
        <f>COUNTIFS(A3:A23,"&lt;=15000",A3:A23,"&gt;=8001")</f>
        <v>7</v>
      </c>
      <c r="I9" s="1">
        <f>COUNTIFS(A3:A23,"&gt;=8001",A3:A23,"&lt;= 15000",E3:E23,"7")</f>
        <v>0</v>
      </c>
      <c r="J9" s="1">
        <f>COUNTIFS(A3:A23,"&gt;=8001",A3:A23,"&lt;= 15000",E3:E23,"6")</f>
        <v>0</v>
      </c>
      <c r="K9" s="1">
        <f>COUNTIFS(A3:A23,"&gt;=8001",A3:A23,"&lt;= 15000",E3:E23,"5")</f>
        <v>0</v>
      </c>
      <c r="L9" s="1">
        <f>COUNTIFS(A3:A23,"&gt;=8001",A3:A23,"&lt;= 15000",E3:E23,"4")</f>
        <v>7</v>
      </c>
      <c r="M9" s="1">
        <f>IFERROR( -((I9/H9) * IMLOG2(I9/H9) + (J9/H9) * IMLOG2(J9/H9) + (K9/H9) * IMLOG2(K9/H9) +  (L9/H9) * IMLOG2(L9/H9)),0)</f>
        <v>0</v>
      </c>
    </row>
    <row r="10" spans="1:18" x14ac:dyDescent="0.25">
      <c r="A10" s="1">
        <v>527</v>
      </c>
      <c r="B10" s="1" t="s">
        <v>7</v>
      </c>
      <c r="C10" s="1">
        <v>2312</v>
      </c>
      <c r="D10" s="1">
        <v>127</v>
      </c>
      <c r="E10" s="1">
        <v>6</v>
      </c>
      <c r="G10" s="3" t="s">
        <v>26</v>
      </c>
      <c r="H10" s="2"/>
      <c r="I10" s="2"/>
      <c r="J10" s="2"/>
      <c r="K10" s="2"/>
      <c r="L10" s="2"/>
      <c r="M10" s="2"/>
      <c r="N10" s="1">
        <f>M3 - ((H11/H3) *M11) - ((H12/H3) *M12) - ((H13/H3) *M13) - ((H14/H3) *M14) - ((H15/H3) *M15) - ((H16/H3) *M16)</f>
        <v>1.4373770511116044</v>
      </c>
    </row>
    <row r="11" spans="1:18" x14ac:dyDescent="0.25">
      <c r="A11" s="1">
        <v>30</v>
      </c>
      <c r="B11" s="1" t="s">
        <v>8</v>
      </c>
      <c r="C11" s="1">
        <v>2709</v>
      </c>
      <c r="D11" s="1">
        <v>176</v>
      </c>
      <c r="E11" s="1">
        <v>7</v>
      </c>
      <c r="G11" s="1" t="s">
        <v>6</v>
      </c>
      <c r="H11" s="1">
        <f>COUNTIFS(B3:B23,G11)</f>
        <v>14</v>
      </c>
      <c r="I11" s="1">
        <f>COUNTIFS(B3:B23,G11,E3:E23,"7")</f>
        <v>0</v>
      </c>
      <c r="J11" s="1">
        <f>COUNTIFS(B3:B23,G11,E3:E23,"6")</f>
        <v>0</v>
      </c>
      <c r="K11" s="1">
        <f>COUNTIFS(B3:B23,G11,E3:E23,"5")</f>
        <v>5</v>
      </c>
      <c r="L11" s="1">
        <f>COUNTIFS(B3:B23,G11,E3:E23,"4")</f>
        <v>9</v>
      </c>
      <c r="M11" s="1">
        <f t="shared" ref="M11:M16" si="0" xml:space="preserve">  IFERROR( -((I11/H11) * IMLOG2(I11/H11) + (J11/H11) * IMLOG2(J11/H11) + (K11/H11) * IMLOG2(K11/H11) +  (L11/H11) * IMLOG2(L11/H11)), 0)</f>
        <v>0</v>
      </c>
    </row>
    <row r="12" spans="1:18" x14ac:dyDescent="0.25">
      <c r="A12" s="1">
        <v>1280</v>
      </c>
      <c r="B12" s="1" t="s">
        <v>9</v>
      </c>
      <c r="C12" s="1">
        <v>2185</v>
      </c>
      <c r="D12" s="1">
        <v>900</v>
      </c>
      <c r="E12" s="1">
        <v>5</v>
      </c>
      <c r="G12" s="1" t="s">
        <v>7</v>
      </c>
      <c r="H12" s="1">
        <f>COUNTIFS(B3:B23,G12)</f>
        <v>1</v>
      </c>
      <c r="I12" s="1">
        <f>COUNTIFS(B3:B23,G12,E3:E23,"7")</f>
        <v>0</v>
      </c>
      <c r="J12" s="1">
        <f>COUNTIFS(B3:B23,G12,E3:E23,"6")</f>
        <v>1</v>
      </c>
      <c r="K12" s="1">
        <f>COUNTIFS(B3:B23,G12,E3:E23,"5")</f>
        <v>0</v>
      </c>
      <c r="L12" s="1">
        <f>COUNTIFS(B3:B23,G12,E3:E23,"4")</f>
        <v>0</v>
      </c>
      <c r="M12" s="1">
        <f t="shared" si="0"/>
        <v>0</v>
      </c>
    </row>
    <row r="13" spans="1:18" x14ac:dyDescent="0.25">
      <c r="A13" s="1">
        <v>8609</v>
      </c>
      <c r="B13" s="1" t="s">
        <v>6</v>
      </c>
      <c r="C13" s="1">
        <v>1894</v>
      </c>
      <c r="D13" s="1">
        <v>59</v>
      </c>
      <c r="E13" s="1">
        <v>4</v>
      </c>
      <c r="G13" s="1" t="s">
        <v>8</v>
      </c>
      <c r="H13" s="1">
        <f>COUNTIFS(B3:B23,G13)</f>
        <v>3</v>
      </c>
      <c r="I13" s="1">
        <f>COUNTIFS(B3:B23,G13,E3:E23,"7")</f>
        <v>1</v>
      </c>
      <c r="J13" s="1">
        <f>COUNTIFS(B3:B23,G13,E3:E23,"6")</f>
        <v>0</v>
      </c>
      <c r="K13" s="1">
        <f>COUNTIFS(B3:B23,G13,E3:E23,"5")</f>
        <v>0</v>
      </c>
      <c r="L13" s="1">
        <f>COUNTIFS(B3:B23,G13,E3:E23,"4")</f>
        <v>2</v>
      </c>
      <c r="M13" s="1">
        <f t="shared" si="0"/>
        <v>0</v>
      </c>
      <c r="R13" s="6"/>
    </row>
    <row r="14" spans="1:18" x14ac:dyDescent="0.25">
      <c r="A14" s="1">
        <v>2984</v>
      </c>
      <c r="B14" s="1" t="s">
        <v>10</v>
      </c>
      <c r="C14" s="1">
        <v>2054</v>
      </c>
      <c r="D14" s="1">
        <v>258</v>
      </c>
      <c r="E14" s="1">
        <v>5</v>
      </c>
      <c r="G14" s="1" t="s">
        <v>9</v>
      </c>
      <c r="H14" s="1">
        <f>COUNTIFS(B3:B23,G14)</f>
        <v>1</v>
      </c>
      <c r="I14" s="1">
        <f>COUNTIFS(B3:B23,G14,E3:E23,"7")</f>
        <v>0</v>
      </c>
      <c r="J14" s="1">
        <f>COUNTIFS(B3:B23,G14,E3:E23,"6")</f>
        <v>0</v>
      </c>
      <c r="K14" s="1">
        <f>COUNTIFS(B3:B23,G14,E3:E23,"5")</f>
        <v>1</v>
      </c>
      <c r="L14" s="1">
        <f>COUNTIFS(B3:B23,G14,E3:E23,"4")</f>
        <v>0</v>
      </c>
      <c r="M14" s="1">
        <f t="shared" si="0"/>
        <v>0</v>
      </c>
    </row>
    <row r="15" spans="1:18" x14ac:dyDescent="0.25">
      <c r="A15" s="1">
        <v>5410</v>
      </c>
      <c r="B15" s="1" t="s">
        <v>6</v>
      </c>
      <c r="C15" s="1">
        <v>1967</v>
      </c>
      <c r="D15" s="1">
        <v>297</v>
      </c>
      <c r="E15" s="1">
        <v>4</v>
      </c>
      <c r="G15" s="1" t="s">
        <v>10</v>
      </c>
      <c r="H15" s="1">
        <f>COUNTIFS(B3:B23,G15)</f>
        <v>1</v>
      </c>
      <c r="I15" s="1">
        <f>COUNTIFS(B3:B23,G15,E3:E23,"7")</f>
        <v>0</v>
      </c>
      <c r="J15" s="1">
        <f>COUNTIFS(B3:B23,G15,E3:E23,"6")</f>
        <v>0</v>
      </c>
      <c r="K15" s="1">
        <f>COUNTIFS(B3:B23,G15,E3:E23,"5")</f>
        <v>1</v>
      </c>
      <c r="L15" s="1">
        <f>COUNTIFS(B3:B23,G15,E3:E23,"4")</f>
        <v>0</v>
      </c>
      <c r="M15" s="1">
        <f t="shared" si="0"/>
        <v>0</v>
      </c>
    </row>
    <row r="16" spans="1:18" x14ac:dyDescent="0.25">
      <c r="A16" s="1">
        <v>3521</v>
      </c>
      <c r="B16" s="1" t="s">
        <v>6</v>
      </c>
      <c r="C16" s="1">
        <v>2033</v>
      </c>
      <c r="D16" s="1">
        <v>133</v>
      </c>
      <c r="E16" s="1">
        <v>5</v>
      </c>
      <c r="G16" s="1" t="s">
        <v>11</v>
      </c>
      <c r="H16" s="1">
        <f>COUNTIFS(B3:B23,G16)</f>
        <v>1</v>
      </c>
      <c r="I16" s="1">
        <f>COUNTIFS(B3:B23,G16,E3:E23,"7")</f>
        <v>0</v>
      </c>
      <c r="J16" s="1">
        <f>COUNTIFS(B3:B23,G16,E3:E23,"6")</f>
        <v>0</v>
      </c>
      <c r="K16" s="1">
        <f>COUNTIFS(B3:B23,G16,E3:E23,"5")</f>
        <v>1</v>
      </c>
      <c r="L16" s="1">
        <f>COUNTIFS(B3:B23,G16,E3:E23,"4")</f>
        <v>0</v>
      </c>
      <c r="M16" s="1">
        <f t="shared" si="0"/>
        <v>0</v>
      </c>
    </row>
    <row r="17" spans="1:26" x14ac:dyDescent="0.25">
      <c r="A17" s="1">
        <v>7116</v>
      </c>
      <c r="B17" s="1" t="s">
        <v>6</v>
      </c>
      <c r="C17" s="1">
        <v>1923</v>
      </c>
      <c r="D17" s="1">
        <v>68</v>
      </c>
      <c r="E17" s="1">
        <v>4</v>
      </c>
      <c r="G17" s="3" t="s">
        <v>27</v>
      </c>
      <c r="H17" s="2"/>
      <c r="I17" s="2"/>
      <c r="J17" s="2"/>
      <c r="K17" s="2"/>
      <c r="L17" s="2"/>
      <c r="M17" s="2"/>
      <c r="N17" s="1">
        <f>M3 - ((H18/H3) *M18) - ((H19/H3) *M19) - ((H20/H3) *M20) - ((H21/H3) *M21)</f>
        <v>1.0703893278913981</v>
      </c>
    </row>
    <row r="18" spans="1:26" x14ac:dyDescent="0.25">
      <c r="A18" s="1">
        <v>5303</v>
      </c>
      <c r="B18" s="1" t="s">
        <v>6</v>
      </c>
      <c r="C18" s="1">
        <v>1970</v>
      </c>
      <c r="D18" s="1">
        <v>44</v>
      </c>
      <c r="E18" s="1">
        <v>4</v>
      </c>
      <c r="F18" s="1" t="s">
        <v>35</v>
      </c>
      <c r="G18" s="1" t="s">
        <v>28</v>
      </c>
      <c r="H18" s="1">
        <f>COUNTIFS(C3:C23,"&gt;= 1",C3:C23,"&lt;1400")</f>
        <v>0</v>
      </c>
      <c r="I18" s="1">
        <f>COUNTIFS(C3:C23,"&gt;= 1",C3:C23,"&lt;1400",E3:E23,"7")</f>
        <v>0</v>
      </c>
      <c r="J18" s="1">
        <f>COUNTIFS(C3:C23,"&gt;= 1",C3:C23,"&lt;1400",E3:E23,"6")</f>
        <v>0</v>
      </c>
      <c r="K18" s="1">
        <f>COUNTIFS(C3:C23,"&gt;= 1",C3:C23,"&lt;1400",E3:E23,"5")</f>
        <v>0</v>
      </c>
      <c r="L18" s="1">
        <f>COUNTIFS(C3:C23,"&gt;= 1",C3:C23,"&lt;1400",E3:E23,"4")</f>
        <v>0</v>
      </c>
      <c r="M18" s="1">
        <f xml:space="preserve">  IFERROR( -((I18/H18) * IMLOG2(I18/H18) + (J18/H18) * IMLOG2(J18/H18) + (K18/H18) * IMLOG2(K18/H18) +  (L18/H18) * IMLOG2(L18/H18)), 0)</f>
        <v>0</v>
      </c>
    </row>
    <row r="19" spans="1:26" x14ac:dyDescent="0.25">
      <c r="A19" s="1">
        <v>9542</v>
      </c>
      <c r="B19" s="1" t="s">
        <v>8</v>
      </c>
      <c r="C19" s="1">
        <v>1878</v>
      </c>
      <c r="D19" s="1">
        <v>19</v>
      </c>
      <c r="E19" s="1">
        <v>4</v>
      </c>
      <c r="F19" s="1" t="s">
        <v>34</v>
      </c>
      <c r="G19" s="1" t="s">
        <v>29</v>
      </c>
      <c r="H19" s="1">
        <f>COUNTIFS(C3:C23,"&gt;= 1400",C3:C23,"&lt;1600")</f>
        <v>0</v>
      </c>
      <c r="I19" s="1">
        <f>COUNTIFS(C3:C23,"&gt;= 1400",C3:C23,"&lt;1600",E3:E23,"7")</f>
        <v>0</v>
      </c>
      <c r="J19" s="1">
        <f>COUNTIFS(C3:C23,"&gt;= 1400",C3:C23,"&lt;1600",E3:E23,"6")</f>
        <v>0</v>
      </c>
      <c r="K19" s="1">
        <f>COUNTIFS(C3:C23,"&gt;= 1400",C3:C23,"&lt;1600",E3:E23,"5")</f>
        <v>0</v>
      </c>
      <c r="L19" s="1">
        <f>COUNTIFS(C3:C23,"&gt;= 1400",C3:C23,"&lt;1600",E3:E23,"4")</f>
        <v>0</v>
      </c>
      <c r="M19" s="1">
        <f t="shared" ref="M19:M21" si="1" xml:space="preserve">  IFERROR( -((I19/H19) * IMLOG2(I19/H19) + (J19/H19) * IMLOG2(J19/H19) + (K19/H19) * IMLOG2(K19/H19) +  (L19/H19) * IMLOG2(L19/H19)), 0)</f>
        <v>0</v>
      </c>
    </row>
    <row r="20" spans="1:26" x14ac:dyDescent="0.25">
      <c r="A20" s="1">
        <v>4346</v>
      </c>
      <c r="B20" s="1" t="s">
        <v>11</v>
      </c>
      <c r="C20" s="1">
        <v>2004</v>
      </c>
      <c r="D20" s="1">
        <v>34</v>
      </c>
      <c r="E20" s="1">
        <v>5</v>
      </c>
      <c r="F20" s="1" t="s">
        <v>33</v>
      </c>
      <c r="G20" s="1" t="s">
        <v>30</v>
      </c>
      <c r="H20" s="1">
        <f>COUNTIFS(C3:C23,"&gt;= 1600",C3:C23,"&lt;2000")</f>
        <v>11</v>
      </c>
      <c r="I20" s="1">
        <f>COUNTIFS(C3:C23,"&gt;= 1600",C3:C23,"&lt;1800",E3:E23,"7")</f>
        <v>0</v>
      </c>
      <c r="J20" s="1">
        <f>COUNTIFS(C3:C23,"&gt;= 1600",C3:C23,"&lt;1800",E3:E23,"6")</f>
        <v>0</v>
      </c>
      <c r="K20" s="1">
        <f>COUNTIFS(C3:C23,"&gt;= 1600",C3:C23,"&lt;1800",E3:E23,"5")</f>
        <v>0</v>
      </c>
      <c r="L20" s="1">
        <f>COUNTIFS(C3:C23,"&gt;= 1600",C3:C23,"&lt;1800",E3:E23,"4")</f>
        <v>0</v>
      </c>
      <c r="M20" s="1">
        <f t="shared" si="1"/>
        <v>0</v>
      </c>
    </row>
    <row r="21" spans="1:26" x14ac:dyDescent="0.25">
      <c r="A21" s="1">
        <v>8717</v>
      </c>
      <c r="B21" s="1" t="s">
        <v>6</v>
      </c>
      <c r="C21" s="1">
        <v>1892</v>
      </c>
      <c r="D21" s="1">
        <v>37</v>
      </c>
      <c r="E21" s="1">
        <v>4</v>
      </c>
      <c r="F21" s="1" t="s">
        <v>32</v>
      </c>
      <c r="G21" s="1" t="s">
        <v>31</v>
      </c>
      <c r="H21" s="1">
        <f>COUNTIFS(C3:C23,"&gt;= 2000",C3:C23,"&lt;5000")</f>
        <v>10</v>
      </c>
      <c r="I21" s="1">
        <f>COUNTIFS(C3:C23,"&gt;= 1800",C3:C23,"&lt;5000",E3:E23,"7")</f>
        <v>1</v>
      </c>
      <c r="J21" s="1">
        <f>COUNTIFS(C3:C23,"&gt;= 1800",C3:C23,"&lt;5000",E3:E23,"6")</f>
        <v>1</v>
      </c>
      <c r="K21" s="1">
        <f>COUNTIFS(C3:C23,"&gt;= 1800",C3:C23,"&lt;5000",E3:E23,"5")</f>
        <v>8</v>
      </c>
      <c r="L21" s="1">
        <f>COUNTIFS(C3:C23,"&gt;= 1800",C3:C23,"&lt;5000",E3:E23,"4")</f>
        <v>11</v>
      </c>
      <c r="M21" s="1">
        <f t="shared" si="1"/>
        <v>0.77067421876243314</v>
      </c>
    </row>
    <row r="22" spans="1:26" ht="15.75" thickBot="1" x14ac:dyDescent="0.3">
      <c r="A22" s="1">
        <v>9812</v>
      </c>
      <c r="B22" s="1" t="s">
        <v>8</v>
      </c>
      <c r="C22" s="1">
        <v>1874</v>
      </c>
      <c r="D22" s="1">
        <v>105</v>
      </c>
      <c r="E22" s="1">
        <v>4</v>
      </c>
      <c r="G22" s="3" t="s">
        <v>36</v>
      </c>
      <c r="H22" s="2"/>
      <c r="I22" s="2"/>
      <c r="J22" s="2"/>
      <c r="K22" s="2"/>
      <c r="L22" s="2"/>
      <c r="M22" s="2"/>
      <c r="N22" s="4">
        <f>M3 - ((H23/H3) *M23) - ((H24/H3) *M24) - ((H25/H3) *M25) - ((H26/H3) *M26) - ((H27/H3) *M27)</f>
        <v>0.35258090581987189</v>
      </c>
      <c r="U22" s="1" t="s">
        <v>48</v>
      </c>
    </row>
    <row r="23" spans="1:26" ht="15.75" thickBot="1" x14ac:dyDescent="0.3">
      <c r="A23" s="1">
        <v>9035</v>
      </c>
      <c r="B23" s="1" t="s">
        <v>6</v>
      </c>
      <c r="C23" s="1">
        <v>1886</v>
      </c>
      <c r="D23" s="1">
        <v>16</v>
      </c>
      <c r="E23" s="1">
        <v>4</v>
      </c>
      <c r="G23" s="5" t="s">
        <v>37</v>
      </c>
      <c r="H23" s="1">
        <f>COUNTIFS(D3:D23,"&gt;= 1",D3:D23,"&lt;200")</f>
        <v>16</v>
      </c>
      <c r="I23" s="1">
        <f>COUNTIFS(D3:D23,"&gt;= 1",D3:D23,"&lt;200",E3:E23,"7")</f>
        <v>1</v>
      </c>
      <c r="J23" s="1">
        <f>COUNTIFS(D3:D23,"&gt;= 1",D3:D23,"&lt;200",E3:E23,"6")</f>
        <v>1</v>
      </c>
      <c r="K23" s="1">
        <f>COUNTIFS(D3:D23,"&gt;= 1",D3:D23,"&lt;200",E3:E23,"5")</f>
        <v>4</v>
      </c>
      <c r="L23" s="1">
        <f>COUNTIFS(D3:D23,"&gt;= 1",D3:D23,"&lt;200",E3:E23,"4")</f>
        <v>10</v>
      </c>
      <c r="M23" s="4">
        <f xml:space="preserve">  IFERROR( -((I23/H23) * IMLOG2(I23/H23) + (J23/H23) * IMLOG2(J23/H23) + (K23/H23) * IMLOG2(K23/H23) +  (L23/H23) * IMLOG2(L23/H23)), 0)</f>
        <v>1.4237949406953989</v>
      </c>
      <c r="U23" s="10" t="s">
        <v>21</v>
      </c>
      <c r="V23" s="9">
        <v>30</v>
      </c>
      <c r="W23" s="9" t="s">
        <v>8</v>
      </c>
      <c r="X23" s="9">
        <v>2709</v>
      </c>
      <c r="Y23" s="9">
        <v>176</v>
      </c>
      <c r="Z23" s="9">
        <v>7</v>
      </c>
    </row>
    <row r="24" spans="1:26" x14ac:dyDescent="0.25">
      <c r="G24" s="1" t="s">
        <v>38</v>
      </c>
      <c r="H24" s="1">
        <f>COUNTIFS(D3:D23,"&gt;= 200",D3:D23,"&lt;400")</f>
        <v>4</v>
      </c>
      <c r="I24" s="1">
        <f>COUNTIFS(D3:D23,"&gt;= 200",D3:D23,"&lt;400",E3:E23,"7")</f>
        <v>0</v>
      </c>
      <c r="J24" s="1">
        <f>COUNTIFS(D3:D23,"&gt;= 200",D3:D23,"&lt;400",E3:E23,"6")</f>
        <v>0</v>
      </c>
      <c r="K24" s="1">
        <f>COUNTIFS(D3:D23,"&gt;= 200",D3:D23,"&lt;400",E3:E23,"5")</f>
        <v>3</v>
      </c>
      <c r="L24" s="1">
        <f>COUNTIFS(D3:D23,"&gt;= 200",D3:D23,"&lt;400",E3:E23,"4")</f>
        <v>1</v>
      </c>
      <c r="M24" s="1">
        <f t="shared" ref="M24:M27" si="2" xml:space="preserve">  IFERROR( -((I24/H24) * IMLOG2(I24/H24) + (J24/H24) * IMLOG2(J24/H24) + (K24/H24) * IMLOG2(K24/H24) +  (L24/H24) * IMLOG2(L24/H24)), 0)</f>
        <v>0</v>
      </c>
      <c r="V24" s="9">
        <v>527</v>
      </c>
      <c r="W24" s="9" t="s">
        <v>7</v>
      </c>
      <c r="X24" s="9">
        <v>2312</v>
      </c>
      <c r="Y24" s="9">
        <v>127</v>
      </c>
      <c r="Z24" s="9">
        <v>6</v>
      </c>
    </row>
    <row r="25" spans="1:26" x14ac:dyDescent="0.25">
      <c r="G25" s="1" t="s">
        <v>39</v>
      </c>
      <c r="H25" s="1">
        <f>COUNTIFS(D3:D23,"&gt;= 400",D3:D23,"&lt;600")</f>
        <v>0</v>
      </c>
      <c r="I25" s="1">
        <f>COUNTIFS(D3:D23,"&gt;= 400",D3:D23,"&lt;600",E3:E23,"7")</f>
        <v>0</v>
      </c>
      <c r="J25" s="1">
        <f>COUNTIFS(D3:D23,"&gt;= 400",D3:D23,"&lt;600",E3:E23,"6")</f>
        <v>0</v>
      </c>
      <c r="K25" s="1">
        <f>COUNTIFS(D3:D23,"&gt;= 400",D3:D23,"&lt;600",E3:E23,"5")</f>
        <v>0</v>
      </c>
      <c r="L25" s="1">
        <f>COUNTIFS(D3:D23,"&gt;= 400",D3:D23,"&lt;600",E3:E23,"4")</f>
        <v>0</v>
      </c>
      <c r="M25" s="1">
        <f t="shared" si="2"/>
        <v>0</v>
      </c>
      <c r="V25" s="9">
        <v>1280</v>
      </c>
      <c r="W25" s="9" t="s">
        <v>9</v>
      </c>
      <c r="X25" s="9">
        <v>2185</v>
      </c>
      <c r="Y25" s="9">
        <v>900</v>
      </c>
      <c r="Z25" s="9">
        <v>5</v>
      </c>
    </row>
    <row r="26" spans="1:26" x14ac:dyDescent="0.25">
      <c r="G26" s="1" t="s">
        <v>40</v>
      </c>
      <c r="H26" s="1">
        <f>COUNTIFS(D3:D23,"&gt;= 600",D3:D23,"&lt;800")</f>
        <v>0</v>
      </c>
      <c r="I26" s="1">
        <f>COUNTIFS(D3:D23,"&gt;= 600",D3:D23,"&lt;800",E3:E23,"7")</f>
        <v>0</v>
      </c>
      <c r="J26" s="1">
        <f>COUNTIFS(D3:D23,"&gt;= 600",D3:D23,"&lt;800",E3:E23,"6")</f>
        <v>0</v>
      </c>
      <c r="K26" s="1">
        <f>COUNTIFS(D3:D23,"&gt;= 600",D3:D23,"&lt;800",E3:E23,"5")</f>
        <v>0</v>
      </c>
      <c r="L26" s="1">
        <f>COUNTIFS(D3:D23,"&gt;= 600",D3:D23,"&lt;800",E3:E23,"4")</f>
        <v>0</v>
      </c>
      <c r="M26" s="1">
        <f t="shared" si="2"/>
        <v>0</v>
      </c>
      <c r="V26" s="9">
        <v>1642</v>
      </c>
      <c r="W26" s="9" t="s">
        <v>6</v>
      </c>
      <c r="X26" s="9">
        <v>2143</v>
      </c>
      <c r="Y26" s="9">
        <v>50</v>
      </c>
      <c r="Z26" s="9">
        <v>5</v>
      </c>
    </row>
    <row r="27" spans="1:26" x14ac:dyDescent="0.25">
      <c r="G27" s="1" t="s">
        <v>41</v>
      </c>
      <c r="H27" s="1">
        <f>COUNTIFS(D3:D23,"&gt;= 800",D3:D23,"&lt;1000")</f>
        <v>1</v>
      </c>
      <c r="I27" s="1">
        <f>COUNTIFS(D3:D23,"&gt;= 800",D3:D23,"&lt;1000",E3:E23,"7")</f>
        <v>0</v>
      </c>
      <c r="J27" s="1">
        <f>COUNTIFS(D3:D23,"&gt;= 800",D3:D23,"&lt;1000",E3:E23,"6")</f>
        <v>0</v>
      </c>
      <c r="K27" s="1">
        <f>COUNTIFS(D3:D23,"&gt;= 800",D3:D23,"&lt;1000",E3:E23,"5")</f>
        <v>1</v>
      </c>
      <c r="L27" s="1">
        <f>COUNTIFS(D3:D23,"&gt;= 800",D3:D23,"&lt;1000",E3:E23,"4")</f>
        <v>0</v>
      </c>
      <c r="M27" s="1">
        <f t="shared" si="2"/>
        <v>0</v>
      </c>
    </row>
    <row r="32" spans="1:26" x14ac:dyDescent="0.25">
      <c r="A32" s="11" t="s">
        <v>42</v>
      </c>
      <c r="B32" s="11"/>
      <c r="C32" s="11"/>
      <c r="D32" s="11"/>
      <c r="E32" s="11"/>
    </row>
    <row r="34" spans="1:26" x14ac:dyDescent="0.25">
      <c r="A34" s="3" t="s">
        <v>0</v>
      </c>
      <c r="B34" s="3" t="s">
        <v>2</v>
      </c>
      <c r="C34" s="3" t="s">
        <v>3</v>
      </c>
      <c r="D34" s="3" t="s">
        <v>4</v>
      </c>
      <c r="E34" s="3" t="s">
        <v>1</v>
      </c>
      <c r="H34" s="3" t="s">
        <v>13</v>
      </c>
      <c r="I34" s="3" t="s">
        <v>14</v>
      </c>
      <c r="J34" s="3" t="s">
        <v>15</v>
      </c>
      <c r="K34" s="3" t="s">
        <v>16</v>
      </c>
      <c r="L34" s="3" t="s">
        <v>17</v>
      </c>
      <c r="M34" s="3" t="s">
        <v>18</v>
      </c>
      <c r="N34" s="3" t="s">
        <v>19</v>
      </c>
    </row>
    <row r="35" spans="1:26" x14ac:dyDescent="0.25">
      <c r="A35" s="1">
        <v>1642</v>
      </c>
      <c r="B35" s="1" t="s">
        <v>6</v>
      </c>
      <c r="C35" s="1">
        <v>2143</v>
      </c>
      <c r="D35" s="1">
        <v>50</v>
      </c>
      <c r="E35" s="1">
        <v>5</v>
      </c>
      <c r="G35" s="3" t="s">
        <v>13</v>
      </c>
      <c r="H35" s="1">
        <f>COUNTA(E35:E50)</f>
        <v>16</v>
      </c>
      <c r="I35" s="1">
        <f>COUNTIF(E35:E50,7)</f>
        <v>1</v>
      </c>
      <c r="J35" s="1">
        <f>COUNTIF(E35:E50,6)</f>
        <v>1</v>
      </c>
      <c r="K35" s="1">
        <f>COUNTIF(E35:E50,5)</f>
        <v>4</v>
      </c>
      <c r="L35" s="1">
        <f>COUNTIF(E35:E50,4)</f>
        <v>10</v>
      </c>
      <c r="M35" s="1">
        <f xml:space="preserve"> -((I35/H35) * IMLOG2(I35/H35) + (J35/H35) * IMLOG2(J35/H35) + (K35/H35) * IMLOG2(K35/H35)  +  (L35/H35) * IMLOG2(L35/H35))</f>
        <v>1.4237949406953989</v>
      </c>
    </row>
    <row r="36" spans="1:26" ht="15.75" thickBot="1" x14ac:dyDescent="0.3">
      <c r="A36" s="1">
        <v>8323</v>
      </c>
      <c r="B36" s="1" t="s">
        <v>6</v>
      </c>
      <c r="C36" s="1">
        <v>1899</v>
      </c>
      <c r="D36" s="1">
        <v>20</v>
      </c>
      <c r="E36" s="1">
        <v>4</v>
      </c>
      <c r="G36" s="3" t="s">
        <v>20</v>
      </c>
      <c r="H36" s="2"/>
      <c r="I36" s="2"/>
      <c r="J36" s="2"/>
      <c r="K36" s="2"/>
      <c r="L36" s="2"/>
      <c r="M36" s="2"/>
      <c r="N36" s="1">
        <f>M35 - ((H37/H35) *M37) - ((H38/H35) *M38) - ((H39/H35) *M39) - ((H40/H35) *M40) - ((H41/H35) *M41)</f>
        <v>1.4237949406953989</v>
      </c>
      <c r="U36" s="6" t="s">
        <v>49</v>
      </c>
    </row>
    <row r="37" spans="1:26" ht="15.75" thickBot="1" x14ac:dyDescent="0.3">
      <c r="A37" s="1">
        <v>8225</v>
      </c>
      <c r="B37" s="1" t="s">
        <v>6</v>
      </c>
      <c r="C37" s="1">
        <v>1901</v>
      </c>
      <c r="D37" s="1">
        <v>75</v>
      </c>
      <c r="E37" s="1">
        <v>4</v>
      </c>
      <c r="G37" s="1" t="s">
        <v>21</v>
      </c>
      <c r="H37" s="1">
        <f>COUNTIFS(A35:A50,"&lt;=2000",A35:A50,"&gt;=1")</f>
        <v>3</v>
      </c>
      <c r="I37" s="1">
        <f>COUNTIFS(A35:A50,"&gt;=1",A35:A50,"&lt;= 2000",E35:E50,"7")</f>
        <v>1</v>
      </c>
      <c r="J37" s="1">
        <f>COUNTIFS(A35:A50,"&gt;=1",A35:A50,"&lt;= 2000",E35:E50,"6")</f>
        <v>1</v>
      </c>
      <c r="K37" s="1">
        <f>COUNTIFS(A35:A50,"&gt;=1",A35:A50,"&lt;= 2000",E35:E50,"5")</f>
        <v>1</v>
      </c>
      <c r="L37" s="1">
        <f>COUNTIFS(A35:A50,"&gt;=1",A35:A50,"&lt;= 2000",E35:E50,"4")</f>
        <v>0</v>
      </c>
      <c r="M37" s="1">
        <f xml:space="preserve">  IFERROR( -((I37/H37) * IMLOG2(I37/H37) + (J37/H37) * IMLOG2(J37/H37) + (K37/H37) * IMLOG2(K37/H37) +  (L37/H37) * IMLOG2(L37/H37)), 0)</f>
        <v>0</v>
      </c>
      <c r="U37" s="10" t="s">
        <v>22</v>
      </c>
      <c r="V37" s="9">
        <v>2378</v>
      </c>
      <c r="W37" s="9" t="s">
        <v>6</v>
      </c>
      <c r="X37" s="9">
        <v>2086</v>
      </c>
      <c r="Y37" s="9">
        <v>188</v>
      </c>
      <c r="Z37" s="9">
        <v>5</v>
      </c>
    </row>
    <row r="38" spans="1:26" x14ac:dyDescent="0.25">
      <c r="A38" s="1">
        <v>2378</v>
      </c>
      <c r="B38" s="1" t="s">
        <v>6</v>
      </c>
      <c r="C38" s="1">
        <v>2086</v>
      </c>
      <c r="D38" s="1">
        <v>188</v>
      </c>
      <c r="E38" s="1">
        <v>5</v>
      </c>
      <c r="G38" s="1" t="s">
        <v>22</v>
      </c>
      <c r="H38" s="1">
        <f>COUNTIFS(A35:A50,"&lt;=4000",A35:A50,"&gt;=2001")</f>
        <v>2</v>
      </c>
      <c r="I38" s="1">
        <f>COUNTIFS(A35:A50,"&gt;=2001",A35:A50,"&lt;= 4000",E35:E50,"7")</f>
        <v>0</v>
      </c>
      <c r="J38" s="1">
        <f>COUNTIFS(A35:A50,"&gt;=2001",A35:A50,"&lt;= 4000",E35:E50,"6")</f>
        <v>0</v>
      </c>
      <c r="K38" s="1">
        <f>COUNTIFS(A35:A50,"&gt;=2001",A35:A50,"&lt;= 4000",E35:E50,"5")</f>
        <v>2</v>
      </c>
      <c r="L38" s="1">
        <f>COUNTIFS(A35:A50,"&gt;=2001",A35:A50,"&lt;= 4000",E35:E50,"4")</f>
        <v>0</v>
      </c>
      <c r="M38" s="1">
        <f t="shared" ref="M38:M41" si="3" xml:space="preserve">  IFERROR( -((I38/H38) * IMLOG2(I38/H38) + (J38/H38) * IMLOG2(J38/H38) + (K38/H38) * IMLOG2(K38/H38) +  (L38/H38) * IMLOG2(L38/H38)), 0)</f>
        <v>0</v>
      </c>
      <c r="V38" s="9">
        <v>2532</v>
      </c>
      <c r="W38" s="9" t="s">
        <v>6</v>
      </c>
      <c r="X38" s="9">
        <v>2077</v>
      </c>
      <c r="Y38" s="9">
        <v>352</v>
      </c>
      <c r="Z38" s="9">
        <v>5</v>
      </c>
    </row>
    <row r="39" spans="1:26" x14ac:dyDescent="0.25">
      <c r="A39" s="1">
        <v>5345</v>
      </c>
      <c r="B39" s="1" t="s">
        <v>6</v>
      </c>
      <c r="C39" s="1">
        <v>1969</v>
      </c>
      <c r="D39" s="1">
        <v>63</v>
      </c>
      <c r="E39" s="1">
        <v>4</v>
      </c>
      <c r="G39" s="1" t="s">
        <v>25</v>
      </c>
      <c r="H39" s="1">
        <f>COUNTIFS(A35:A50,"&lt;=6000",A35:A50,"&gt;=4001")</f>
        <v>3</v>
      </c>
      <c r="I39" s="1">
        <f>COUNTIFS(A35:A50,"&gt;=4001",A35:A50,"&lt;= 6000",E35:E50,"7")</f>
        <v>0</v>
      </c>
      <c r="J39" s="1">
        <f>COUNTIFS(A35:A50,"&gt;=4001",A35:A50,"&lt;= 6000",E35:E50,"6")</f>
        <v>0</v>
      </c>
      <c r="K39" s="1">
        <f>COUNTIFS(A35:A50,"&gt;=4001",A35:A50,"&lt;= 6000",E35:E50,"5")</f>
        <v>1</v>
      </c>
      <c r="L39" s="1">
        <f>COUNTIFS(A35:A50,"&gt;=4001",A35:A50,"&lt;= 6000",E35:E50,"4")</f>
        <v>2</v>
      </c>
      <c r="M39" s="1">
        <f t="shared" si="3"/>
        <v>0</v>
      </c>
      <c r="V39" s="9">
        <v>2984</v>
      </c>
      <c r="W39" s="9" t="s">
        <v>6</v>
      </c>
      <c r="X39" s="9">
        <v>2054</v>
      </c>
      <c r="Y39" s="9">
        <v>207</v>
      </c>
      <c r="Z39" s="9">
        <v>5</v>
      </c>
    </row>
    <row r="40" spans="1:26" x14ac:dyDescent="0.25">
      <c r="A40" s="1">
        <v>527</v>
      </c>
      <c r="B40" s="1" t="s">
        <v>7</v>
      </c>
      <c r="C40" s="1">
        <v>2312</v>
      </c>
      <c r="D40" s="1">
        <v>127</v>
      </c>
      <c r="E40" s="1">
        <v>6</v>
      </c>
      <c r="G40" s="1" t="s">
        <v>24</v>
      </c>
      <c r="H40" s="1">
        <f>COUNTIFS(A35:A50,"&lt;=8000",A35:A50,"&gt;=6001")</f>
        <v>1</v>
      </c>
      <c r="I40" s="1">
        <f>COUNTIFS(A35:A50,"&gt;=6001",A35:A50,"&lt;= 8000",E35:E50,"7")</f>
        <v>0</v>
      </c>
      <c r="J40" s="1">
        <f>COUNTIFS(A35:A50,"&gt;=6001",A35:A50,"&lt;= 8000",E35:E50,"6")</f>
        <v>0</v>
      </c>
      <c r="K40" s="1">
        <f>COUNTIFS(A35:A50,"&gt;=6001",A35:A50,"&lt;= 8000",E35:E50,"5")</f>
        <v>0</v>
      </c>
      <c r="L40" s="1">
        <f>COUNTIFS(A35:A50,"&gt;=6001",A35:A50,"&lt;= 8000",E35:E50,"4")</f>
        <v>1</v>
      </c>
      <c r="M40" s="1">
        <f t="shared" si="3"/>
        <v>0</v>
      </c>
      <c r="V40" s="9">
        <v>2984</v>
      </c>
      <c r="W40" s="9" t="s">
        <v>10</v>
      </c>
      <c r="X40" s="9">
        <v>2054</v>
      </c>
      <c r="Y40" s="9">
        <v>258</v>
      </c>
      <c r="Z40" s="9">
        <v>5</v>
      </c>
    </row>
    <row r="41" spans="1:26" x14ac:dyDescent="0.25">
      <c r="A41" s="1">
        <v>30</v>
      </c>
      <c r="B41" s="1" t="s">
        <v>8</v>
      </c>
      <c r="C41" s="1">
        <v>2709</v>
      </c>
      <c r="D41" s="1">
        <v>176</v>
      </c>
      <c r="E41" s="1">
        <v>7</v>
      </c>
      <c r="G41" s="1" t="s">
        <v>23</v>
      </c>
      <c r="H41" s="1">
        <f>COUNTIFS(A35:A50,"&lt;=15000",A35:A50,"&gt;=8001")</f>
        <v>7</v>
      </c>
      <c r="I41" s="1">
        <f>COUNTIFS(A35:A50,"&gt;=8001",A35:A50,"&lt;= 15000",E35:E50,"7")</f>
        <v>0</v>
      </c>
      <c r="J41" s="1">
        <f>COUNTIFS(A35:A50,"&gt;=8001",A35:A50,"&lt;= 15000",E35:E50,"6")</f>
        <v>0</v>
      </c>
      <c r="K41" s="1">
        <f>COUNTIFS(A35:A50,"&gt;=8001",A35:A50,"&lt;= 15000",E35:E50,"5")</f>
        <v>0</v>
      </c>
      <c r="L41" s="1">
        <f>COUNTIFS(A35:A50,"&gt;=8001",A35:A50,"&lt;= 15000",E35:E50,"4")</f>
        <v>7</v>
      </c>
      <c r="M41" s="1">
        <f t="shared" si="3"/>
        <v>0</v>
      </c>
      <c r="V41" s="9">
        <v>3521</v>
      </c>
      <c r="W41" s="9" t="s">
        <v>6</v>
      </c>
      <c r="X41" s="9">
        <v>2033</v>
      </c>
      <c r="Y41" s="9">
        <v>133</v>
      </c>
      <c r="Z41" s="9">
        <v>5</v>
      </c>
    </row>
    <row r="42" spans="1:26" x14ac:dyDescent="0.25">
      <c r="A42" s="1">
        <v>8609</v>
      </c>
      <c r="B42" s="1" t="s">
        <v>6</v>
      </c>
      <c r="C42" s="1">
        <v>1894</v>
      </c>
      <c r="D42" s="1">
        <v>59</v>
      </c>
      <c r="E42" s="1">
        <v>4</v>
      </c>
      <c r="G42" s="3" t="s">
        <v>26</v>
      </c>
      <c r="H42" s="2"/>
      <c r="I42" s="2"/>
      <c r="J42" s="2"/>
      <c r="K42" s="2"/>
      <c r="L42" s="2"/>
      <c r="M42" s="2"/>
      <c r="N42" s="1">
        <f>M35 - ((H43/H35) *M43) - ((H44/H35) *M44) - ((H45/H35) *M45) - ((H46/H35) *M46) - ((H47/H35) *M47) - ((H48/H35) *M48)</f>
        <v>1.4237949406953989</v>
      </c>
    </row>
    <row r="43" spans="1:26" x14ac:dyDescent="0.25">
      <c r="A43" s="1">
        <v>3521</v>
      </c>
      <c r="B43" s="1" t="s">
        <v>6</v>
      </c>
      <c r="C43" s="1">
        <v>2033</v>
      </c>
      <c r="D43" s="1">
        <v>133</v>
      </c>
      <c r="E43" s="1">
        <v>5</v>
      </c>
      <c r="G43" s="1" t="s">
        <v>6</v>
      </c>
      <c r="H43" s="1">
        <f>COUNTIFS(B35:B50,G43)</f>
        <v>11</v>
      </c>
      <c r="I43" s="1">
        <f>COUNTIFS(B35:B50,G43,E35:E50,"7")</f>
        <v>0</v>
      </c>
      <c r="J43" s="1">
        <f>COUNTIFS(B35:B50,G43,E35:E50,"6")</f>
        <v>0</v>
      </c>
      <c r="K43" s="1">
        <f>COUNTIFS(B35:B50,G43,E35:E50,"5")</f>
        <v>3</v>
      </c>
      <c r="L43" s="1">
        <f>COUNTIFS(B35:B50,G43,E35:E50,"4")</f>
        <v>8</v>
      </c>
      <c r="M43" s="1">
        <f xml:space="preserve">  IFERROR( -((I43/H43) * IMLOG2(I43/H43) + (J43/H43) * IMLOG2(J43/H43) + (K43/H43) * IMLOG2(K43/H43) +  (L43/H43) * IMLOG2(L43/H43)), 0)</f>
        <v>0</v>
      </c>
    </row>
    <row r="44" spans="1:26" x14ac:dyDescent="0.25">
      <c r="A44" s="1">
        <v>7116</v>
      </c>
      <c r="B44" s="1" t="s">
        <v>6</v>
      </c>
      <c r="C44" s="1">
        <v>1923</v>
      </c>
      <c r="D44" s="1">
        <v>68</v>
      </c>
      <c r="E44" s="1">
        <v>4</v>
      </c>
      <c r="G44" s="1" t="s">
        <v>7</v>
      </c>
      <c r="H44" s="1">
        <f>COUNTIFS(B35:B50,G44)</f>
        <v>1</v>
      </c>
      <c r="I44" s="1">
        <f>COUNTIFS(B35:B50,G44,E35:E50,"7")</f>
        <v>0</v>
      </c>
      <c r="J44" s="1">
        <f>COUNTIFS(B35:B50,G44,E35:E50,"6")</f>
        <v>1</v>
      </c>
      <c r="K44" s="1">
        <f>COUNTIFS(B35:B50,G44,E35:E50,"5")</f>
        <v>0</v>
      </c>
      <c r="L44" s="1">
        <f>COUNTIFS(B35:B50,G44,E35:E50,"4")</f>
        <v>0</v>
      </c>
      <c r="M44" s="1">
        <f t="shared" ref="M44:M48" si="4" xml:space="preserve">  IFERROR( -((I44/H44) * IMLOG2(I44/H44) + (J44/H44) * IMLOG2(J44/H44) + (K44/H44) * IMLOG2(K44/H44) +  (L44/H44) * IMLOG2(L44/H44)), 0)</f>
        <v>0</v>
      </c>
    </row>
    <row r="45" spans="1:26" x14ac:dyDescent="0.25">
      <c r="A45" s="1">
        <v>5303</v>
      </c>
      <c r="B45" s="1" t="s">
        <v>6</v>
      </c>
      <c r="C45" s="1">
        <v>1970</v>
      </c>
      <c r="D45" s="1">
        <v>44</v>
      </c>
      <c r="E45" s="1">
        <v>4</v>
      </c>
      <c r="G45" s="1" t="s">
        <v>8</v>
      </c>
      <c r="H45" s="1">
        <f>COUNTIFS(B35:B50,G45)</f>
        <v>3</v>
      </c>
      <c r="I45" s="1">
        <f>COUNTIFS(B35:B50,G45,E35:E50,"7")</f>
        <v>1</v>
      </c>
      <c r="J45" s="1">
        <f>COUNTIFS(B35:B50,G45,E35:E50,"6")</f>
        <v>0</v>
      </c>
      <c r="K45" s="1">
        <f>COUNTIFS(B35:B50,G45,E35:E50,"5")</f>
        <v>0</v>
      </c>
      <c r="L45" s="1">
        <f>COUNTIFS(B35:B50,G45,E35:E50,"4")</f>
        <v>2</v>
      </c>
      <c r="M45" s="1">
        <f t="shared" si="4"/>
        <v>0</v>
      </c>
    </row>
    <row r="46" spans="1:26" x14ac:dyDescent="0.25">
      <c r="A46" s="1">
        <v>9542</v>
      </c>
      <c r="B46" s="1" t="s">
        <v>8</v>
      </c>
      <c r="C46" s="1">
        <v>1878</v>
      </c>
      <c r="D46" s="1">
        <v>19</v>
      </c>
      <c r="E46" s="1">
        <v>4</v>
      </c>
      <c r="G46" s="1" t="s">
        <v>9</v>
      </c>
      <c r="H46" s="1">
        <f>COUNTIFS(B35:B50,G46)</f>
        <v>0</v>
      </c>
      <c r="I46" s="1">
        <f>COUNTIFS(B35:B50,G46,E35:E50,"7")</f>
        <v>0</v>
      </c>
      <c r="J46" s="1">
        <f>COUNTIFS(B35:B50,G46,E35:E50,"6")</f>
        <v>0</v>
      </c>
      <c r="K46" s="1">
        <f>COUNTIFS(B35:B50,G46,E35:E50,"5")</f>
        <v>0</v>
      </c>
      <c r="L46" s="1">
        <f>COUNTIFS(B35:B50,G46,E35:E50,"4")</f>
        <v>0</v>
      </c>
      <c r="M46" s="1">
        <f t="shared" si="4"/>
        <v>0</v>
      </c>
    </row>
    <row r="47" spans="1:26" x14ac:dyDescent="0.25">
      <c r="A47" s="1">
        <v>4346</v>
      </c>
      <c r="B47" s="1" t="s">
        <v>11</v>
      </c>
      <c r="C47" s="1">
        <v>2004</v>
      </c>
      <c r="D47" s="1">
        <v>34</v>
      </c>
      <c r="E47" s="1">
        <v>5</v>
      </c>
      <c r="G47" s="1" t="s">
        <v>10</v>
      </c>
      <c r="H47" s="1">
        <f>COUNTIFS(B35:B50,G47)</f>
        <v>0</v>
      </c>
      <c r="I47" s="1">
        <f>COUNTIFS(B35:B50,G47,E35:E50,"7")</f>
        <v>0</v>
      </c>
      <c r="J47" s="1">
        <f>COUNTIFS(B35:B50,G47,E35:E50,"6")</f>
        <v>0</v>
      </c>
      <c r="K47" s="1">
        <f>COUNTIFS(B35:B50,G47,E35:E50,"5")</f>
        <v>0</v>
      </c>
      <c r="L47" s="1">
        <f>COUNTIFS(B35:B50,G47,E35:E50,"4")</f>
        <v>0</v>
      </c>
      <c r="M47" s="1">
        <f t="shared" si="4"/>
        <v>0</v>
      </c>
    </row>
    <row r="48" spans="1:26" x14ac:dyDescent="0.25">
      <c r="A48" s="1">
        <v>8717</v>
      </c>
      <c r="B48" s="1" t="s">
        <v>6</v>
      </c>
      <c r="C48" s="1">
        <v>1892</v>
      </c>
      <c r="D48" s="1">
        <v>37</v>
      </c>
      <c r="E48" s="1">
        <v>4</v>
      </c>
      <c r="G48" s="1" t="s">
        <v>11</v>
      </c>
      <c r="H48" s="1">
        <f>COUNTIFS(B35:B50,G48)</f>
        <v>1</v>
      </c>
      <c r="I48" s="1">
        <f>COUNTIFS(B35:B50,G48,E35:E50,"7")</f>
        <v>0</v>
      </c>
      <c r="J48" s="1">
        <f>COUNTIFS(B35:B50,G48,E35:E50,"6")</f>
        <v>0</v>
      </c>
      <c r="K48" s="1">
        <f>COUNTIFS(B35:B50,G48,E35:E50,"5")</f>
        <v>1</v>
      </c>
      <c r="L48" s="1">
        <f>COUNTIFS(B35:B50,G48,E35:E50,"4")</f>
        <v>0</v>
      </c>
      <c r="M48" s="1">
        <f t="shared" si="4"/>
        <v>0</v>
      </c>
    </row>
    <row r="49" spans="1:26" x14ac:dyDescent="0.25">
      <c r="A49" s="1">
        <v>9812</v>
      </c>
      <c r="B49" s="1" t="s">
        <v>8</v>
      </c>
      <c r="C49" s="1">
        <v>1874</v>
      </c>
      <c r="D49" s="1">
        <v>105</v>
      </c>
      <c r="E49" s="1">
        <v>4</v>
      </c>
      <c r="G49" s="3" t="s">
        <v>27</v>
      </c>
      <c r="H49" s="2"/>
      <c r="I49" s="2"/>
      <c r="J49" s="2"/>
      <c r="K49" s="2"/>
      <c r="L49" s="2"/>
      <c r="M49" s="2"/>
      <c r="N49" s="4">
        <f>M35 - ((H50/H35) *M50) - ((H51/H35) *M51) - ((H52/H35) *M52) - ((H53/H35) *M53)</f>
        <v>1.4150374992788437</v>
      </c>
    </row>
    <row r="50" spans="1:26" x14ac:dyDescent="0.25">
      <c r="A50" s="1">
        <v>9035</v>
      </c>
      <c r="B50" s="1" t="s">
        <v>6</v>
      </c>
      <c r="C50" s="1">
        <v>1886</v>
      </c>
      <c r="D50" s="1">
        <v>16</v>
      </c>
      <c r="E50" s="1">
        <v>4</v>
      </c>
      <c r="G50" s="1" t="s">
        <v>28</v>
      </c>
      <c r="H50" s="1">
        <f>COUNTIFS(C35:C50,"&gt;= 1",C35:C50,"&lt;1400")</f>
        <v>0</v>
      </c>
      <c r="I50" s="1">
        <f>COUNTIFS(C35:C50,"&gt;= 1",C35:C50,"&lt;1400",E35:E50,"7")</f>
        <v>0</v>
      </c>
      <c r="J50" s="1">
        <f>COUNTIFS(C35:C50,"&gt;= 1",C35:C50,"&lt;1400",E35:E50,"6")</f>
        <v>0</v>
      </c>
      <c r="K50" s="1">
        <f>COUNTIFS(C35:C50,"&gt;= 1",C35:C50,"&lt;1400",E35:E50,"5")</f>
        <v>0</v>
      </c>
      <c r="L50" s="1">
        <f>COUNTIFS(C35:C50,"&gt;= 1",C35:C50,"&lt;1400",E35:E50,"4")</f>
        <v>0</v>
      </c>
      <c r="M50" s="1">
        <f xml:space="preserve">  IFERROR( -((I50/H50) * IMLOG2(I50/H50) + (J50/H50) * IMLOG2(J50/H50) + (K50/H50) * IMLOG2(K50/H50) +  (L50/H50) * IMLOG2(L50/H50)), 0)</f>
        <v>0</v>
      </c>
    </row>
    <row r="51" spans="1:26" x14ac:dyDescent="0.25">
      <c r="G51" s="1" t="s">
        <v>29</v>
      </c>
      <c r="H51" s="1">
        <f>COUNTIFS(C35:C50,"&gt;= 1400",C35:C50,"&lt;1600")</f>
        <v>0</v>
      </c>
      <c r="I51" s="1">
        <f>COUNTIFS(C35:C50,"&gt;= 1400",C35:C50,"&lt;1600",E35:E50,"7")</f>
        <v>0</v>
      </c>
      <c r="J51" s="1">
        <f>COUNTIFS(C35:C50,"&gt;= 1400",C35:C50,"&lt;1600",E35:E50,"6")</f>
        <v>0</v>
      </c>
      <c r="K51" s="1">
        <f>COUNTIFS(C35:C50,"&gt;= 1400",C35:C50,"&lt;1600",E35:E50,"5")</f>
        <v>0</v>
      </c>
      <c r="L51" s="1">
        <f>COUNTIFS(C35:C50,"&gt;= 1400",C35:C50,"&lt;1600",E35:E50,"4")</f>
        <v>0</v>
      </c>
      <c r="M51" s="1">
        <f t="shared" ref="M51:M53" si="5" xml:space="preserve">  IFERROR( -((I51/H51) * IMLOG2(I51/H51) + (J51/H51) * IMLOG2(J51/H51) + (K51/H51) * IMLOG2(K51/H51) +  (L51/H51) * IMLOG2(L51/H51)), 0)</f>
        <v>0</v>
      </c>
    </row>
    <row r="52" spans="1:26" x14ac:dyDescent="0.25">
      <c r="G52" s="1" t="s">
        <v>30</v>
      </c>
      <c r="H52" s="1">
        <f>COUNTIFS(C35:C50,"&gt;= 1600",C35:C50,"&lt;2000")</f>
        <v>10</v>
      </c>
      <c r="I52" s="1">
        <f>COUNTIFS(C35:C50,"&gt;= 1600",C35:C50,"&lt;1800",E35:E50,"7")</f>
        <v>0</v>
      </c>
      <c r="J52" s="1">
        <f>COUNTIFS(C35:C50,"&gt;= 1600",C35:C50,"&lt;1800",E35:E50,"6")</f>
        <v>0</v>
      </c>
      <c r="K52" s="1">
        <f>COUNTIFS(C35:C50,"&gt;= 1600",C35:C50,"&lt;1800",E35:E50,"5")</f>
        <v>0</v>
      </c>
      <c r="L52" s="1">
        <f>COUNTIFS(C35:C50,"&gt;= 1600",C35:C50,"&lt;1800",E35:E50,"4")</f>
        <v>0</v>
      </c>
      <c r="M52" s="1">
        <f t="shared" si="5"/>
        <v>0</v>
      </c>
    </row>
    <row r="53" spans="1:26" ht="15.75" thickBot="1" x14ac:dyDescent="0.3">
      <c r="G53" s="5" t="s">
        <v>31</v>
      </c>
      <c r="H53" s="1">
        <f>COUNTIFS(C35:C50,"&gt;= 2000",C35:C50,"&lt;5000")</f>
        <v>6</v>
      </c>
      <c r="I53" s="1">
        <f>COUNTIFS(C35:C50,"&gt;= 1800",C35:C50,"&lt;5000",E35:E50,"7")</f>
        <v>1</v>
      </c>
      <c r="J53" s="1">
        <f>COUNTIFS(C35:C50,"&gt;= 1800",C35:C50,"&lt;5000",E35:E50,"6")</f>
        <v>1</v>
      </c>
      <c r="K53" s="1">
        <f>COUNTIFS(C35:C50,"&gt;= 1800",C35:C50,"&lt;5000",E35:E50,"5")</f>
        <v>4</v>
      </c>
      <c r="L53" s="1">
        <f>COUNTIFS(C35:C50,"&gt;= 1800",C35:C50,"&lt;5000",E35:E50,"4")</f>
        <v>10</v>
      </c>
      <c r="M53" s="4">
        <f t="shared" si="5"/>
        <v>2.3353177110813972E-2</v>
      </c>
      <c r="U53" s="6" t="s">
        <v>50</v>
      </c>
    </row>
    <row r="54" spans="1:26" ht="15.75" thickBot="1" x14ac:dyDescent="0.3">
      <c r="G54" s="8"/>
      <c r="H54" s="7"/>
      <c r="I54" s="7"/>
      <c r="J54" s="7"/>
      <c r="K54" s="7"/>
      <c r="L54" s="7"/>
      <c r="M54" s="7"/>
      <c r="N54" s="7"/>
      <c r="S54" s="10" t="s">
        <v>20</v>
      </c>
      <c r="U54" s="10" t="s">
        <v>25</v>
      </c>
      <c r="V54" s="9">
        <v>5345</v>
      </c>
      <c r="W54" s="9" t="s">
        <v>6</v>
      </c>
      <c r="X54" s="9">
        <v>1969</v>
      </c>
      <c r="Y54" s="9">
        <v>63</v>
      </c>
      <c r="Z54" s="9">
        <v>4</v>
      </c>
    </row>
    <row r="55" spans="1:26" x14ac:dyDescent="0.25">
      <c r="G55" s="7"/>
      <c r="H55" s="7"/>
      <c r="I55" s="7"/>
      <c r="J55" s="7"/>
      <c r="K55" s="7"/>
      <c r="L55" s="7"/>
      <c r="M55" s="7"/>
      <c r="N55" s="7"/>
      <c r="S55" s="12" t="s">
        <v>44</v>
      </c>
      <c r="V55" s="9">
        <v>5410</v>
      </c>
      <c r="W55" s="9" t="s">
        <v>6</v>
      </c>
      <c r="X55" s="9">
        <v>1967</v>
      </c>
      <c r="Y55" s="9">
        <v>297</v>
      </c>
      <c r="Z55" s="9">
        <v>4</v>
      </c>
    </row>
    <row r="56" spans="1:26" x14ac:dyDescent="0.25">
      <c r="G56" s="7"/>
      <c r="H56" s="7"/>
      <c r="I56" s="7"/>
      <c r="J56" s="7"/>
      <c r="K56" s="7"/>
      <c r="L56" s="7"/>
      <c r="M56" s="7"/>
      <c r="N56" s="7"/>
      <c r="S56" s="1" t="s">
        <v>45</v>
      </c>
      <c r="V56" s="9">
        <v>5303</v>
      </c>
      <c r="W56" s="9" t="s">
        <v>6</v>
      </c>
      <c r="X56" s="9">
        <v>1970</v>
      </c>
      <c r="Y56" s="9">
        <v>44</v>
      </c>
      <c r="Z56" s="9">
        <v>4</v>
      </c>
    </row>
    <row r="57" spans="1:26" x14ac:dyDescent="0.25">
      <c r="A57" s="11" t="s">
        <v>43</v>
      </c>
      <c r="B57" s="11"/>
      <c r="C57" s="11"/>
      <c r="D57" s="11"/>
      <c r="E57" s="11"/>
      <c r="G57" s="7"/>
      <c r="H57" s="7"/>
      <c r="I57" s="7"/>
      <c r="J57" s="7"/>
      <c r="K57" s="7"/>
      <c r="L57" s="7"/>
      <c r="M57" s="7"/>
      <c r="N57" s="7"/>
      <c r="S57" s="1" t="s">
        <v>46</v>
      </c>
      <c r="V57" s="9">
        <v>4346</v>
      </c>
      <c r="W57" s="9" t="s">
        <v>11</v>
      </c>
      <c r="X57" s="9">
        <v>2004</v>
      </c>
      <c r="Y57" s="9">
        <v>34</v>
      </c>
      <c r="Z57" s="9">
        <v>5</v>
      </c>
    </row>
    <row r="58" spans="1:26" x14ac:dyDescent="0.25">
      <c r="G58" s="7"/>
      <c r="H58" s="7"/>
      <c r="I58" s="7"/>
      <c r="J58" s="7"/>
      <c r="K58" s="7"/>
      <c r="L58" s="7"/>
      <c r="M58" s="7"/>
      <c r="N58" s="7"/>
      <c r="S58" s="1" t="s">
        <v>47</v>
      </c>
    </row>
    <row r="59" spans="1:26" x14ac:dyDescent="0.25">
      <c r="A59" s="3" t="s">
        <v>0</v>
      </c>
      <c r="B59" s="3" t="s">
        <v>2</v>
      </c>
      <c r="C59" s="3" t="s">
        <v>3</v>
      </c>
      <c r="D59" s="3" t="s">
        <v>4</v>
      </c>
      <c r="E59" s="3" t="s">
        <v>1</v>
      </c>
      <c r="H59" s="3" t="s">
        <v>13</v>
      </c>
      <c r="I59" s="3" t="s">
        <v>14</v>
      </c>
      <c r="J59" s="3" t="s">
        <v>15</v>
      </c>
      <c r="K59" s="3" t="s">
        <v>16</v>
      </c>
      <c r="L59" s="3" t="s">
        <v>17</v>
      </c>
      <c r="M59" s="3" t="s">
        <v>18</v>
      </c>
      <c r="N59" s="3" t="s">
        <v>19</v>
      </c>
    </row>
    <row r="60" spans="1:26" x14ac:dyDescent="0.25">
      <c r="A60" s="1">
        <v>1642</v>
      </c>
      <c r="B60" s="1" t="s">
        <v>6</v>
      </c>
      <c r="C60" s="1">
        <v>2143</v>
      </c>
      <c r="D60" s="1">
        <v>50</v>
      </c>
      <c r="E60" s="1">
        <v>5</v>
      </c>
      <c r="G60" s="3" t="s">
        <v>13</v>
      </c>
      <c r="H60" s="1">
        <f>COUNTA(E60:E65)</f>
        <v>6</v>
      </c>
      <c r="I60" s="1">
        <f>COUNTIF(E60:E75,7)</f>
        <v>1</v>
      </c>
      <c r="J60" s="1">
        <f>COUNTIF(E60:E75,6)</f>
        <v>1</v>
      </c>
      <c r="K60" s="1">
        <f>COUNTIF(E60:E75,5)</f>
        <v>4</v>
      </c>
      <c r="L60" s="1">
        <f>COUNTIF(E60:E75,4)</f>
        <v>0</v>
      </c>
      <c r="M60" s="1">
        <f xml:space="preserve"> IFERROR(-((I60/H60) * IMLOG2(I60/H60) + (J60/H60) * IMLOG2(J60/H60) + (K60/H60) * IMLOG2(K60/H60)  +  (L60/H60) * IMLOG2(L60/H60)),0)</f>
        <v>0</v>
      </c>
    </row>
    <row r="61" spans="1:26" x14ac:dyDescent="0.25">
      <c r="A61" s="1">
        <v>2378</v>
      </c>
      <c r="B61" s="1" t="s">
        <v>6</v>
      </c>
      <c r="C61" s="1">
        <v>2086</v>
      </c>
      <c r="D61" s="1">
        <v>188</v>
      </c>
      <c r="E61" s="1">
        <v>5</v>
      </c>
      <c r="G61" s="3" t="s">
        <v>20</v>
      </c>
      <c r="H61" s="2"/>
      <c r="I61" s="2"/>
      <c r="J61" s="2"/>
      <c r="K61" s="2"/>
      <c r="L61" s="2"/>
      <c r="M61" s="2"/>
      <c r="N61" s="1">
        <f>M60 - ((H62/H60) *M62) - ((H63/H60) *M63) - ((H64/H60) *M64) - ((H65/H60) *M65) - ((H66/H60) *M66)</f>
        <v>0</v>
      </c>
    </row>
    <row r="62" spans="1:26" x14ac:dyDescent="0.25">
      <c r="A62" s="1">
        <v>527</v>
      </c>
      <c r="B62" s="1" t="s">
        <v>7</v>
      </c>
      <c r="C62" s="1">
        <v>2312</v>
      </c>
      <c r="D62" s="1">
        <v>127</v>
      </c>
      <c r="E62" s="1">
        <v>6</v>
      </c>
      <c r="G62" s="1" t="s">
        <v>21</v>
      </c>
      <c r="H62" s="1">
        <f>COUNTIFS(A60:A65,"&lt;=2000",A60:A65,"&gt;=1")</f>
        <v>3</v>
      </c>
      <c r="I62" s="1">
        <f>COUNTIFS(A60:A75,"&gt;=1",A60:A75,"&lt;= 2000",E60:E75,"7")</f>
        <v>1</v>
      </c>
      <c r="J62" s="1">
        <f>COUNTIFS(A60:A75,"&gt;=1",A60:A75,"&lt;= 2000",E60:E75,"6")</f>
        <v>1</v>
      </c>
      <c r="K62" s="1">
        <f>COUNTIFS(A60:A75,"&gt;=1",A60:A75,"&lt;= 2000",E60:E75,"5")</f>
        <v>1</v>
      </c>
      <c r="L62" s="1">
        <f>COUNTIFS(A60:A75,"&gt;=1",A60:A75,"&lt;= 2000",E60:E75,"4")</f>
        <v>0</v>
      </c>
      <c r="M62" s="1">
        <f xml:space="preserve">  IFERROR( -((I62/H62) * IMLOG2(I62/H62) + (J62/H62) * IMLOG2(J62/H62) + (K62/H62) * IMLOG2(K62/H62) +  (L62/H62) * IMLOG2(L62/H62)), 0)</f>
        <v>0</v>
      </c>
    </row>
    <row r="63" spans="1:26" x14ac:dyDescent="0.25">
      <c r="A63" s="1">
        <v>30</v>
      </c>
      <c r="B63" s="1" t="s">
        <v>8</v>
      </c>
      <c r="C63" s="1">
        <v>2709</v>
      </c>
      <c r="D63" s="1">
        <v>176</v>
      </c>
      <c r="E63" s="1">
        <v>7</v>
      </c>
      <c r="G63" s="1" t="s">
        <v>22</v>
      </c>
      <c r="H63" s="1">
        <f>COUNTIFS(A60:A65,"&lt;=4000",A60:A65,"&gt;=2001")</f>
        <v>2</v>
      </c>
      <c r="I63" s="1">
        <f>COUNTIFS(A60:A75,"&gt;=2001",A60:A75,"&lt;= 4000",E60:E75,"7")</f>
        <v>0</v>
      </c>
      <c r="J63" s="1">
        <f>COUNTIFS(A60:A75,"&gt;=2001",A60:A75,"&lt;= 4000",E60:E75,"6")</f>
        <v>0</v>
      </c>
      <c r="K63" s="1">
        <f>COUNTIFS(A60:A75,"&gt;=2001",A60:A75,"&lt;= 4000",E60:E75,"5")</f>
        <v>2</v>
      </c>
      <c r="L63" s="1">
        <f>COUNTIFS(A60:A75,"&gt;=2001",A60:A75,"&lt;= 4000",E60:E75,"4")</f>
        <v>0</v>
      </c>
      <c r="M63" s="1">
        <f t="shared" ref="M63:M66" si="6" xml:space="preserve">  IFERROR( -((I63/H63) * IMLOG2(I63/H63) + (J63/H63) * IMLOG2(J63/H63) + (K63/H63) * IMLOG2(K63/H63) +  (L63/H63) * IMLOG2(L63/H63)), 0)</f>
        <v>0</v>
      </c>
    </row>
    <row r="64" spans="1:26" x14ac:dyDescent="0.25">
      <c r="A64" s="1">
        <v>3521</v>
      </c>
      <c r="B64" s="1" t="s">
        <v>6</v>
      </c>
      <c r="C64" s="1">
        <v>2033</v>
      </c>
      <c r="D64" s="1">
        <v>133</v>
      </c>
      <c r="E64" s="1">
        <v>5</v>
      </c>
      <c r="G64" s="1" t="s">
        <v>25</v>
      </c>
      <c r="H64" s="1">
        <f>COUNTIFS(A60:A75,"&lt;=6000",A60:A75,"&gt;=4001")</f>
        <v>1</v>
      </c>
      <c r="I64" s="1">
        <f>COUNTIFS(A60:A75,"&gt;=4001",A60:A75,"&lt;= 6000",E60:E75,"7")</f>
        <v>0</v>
      </c>
      <c r="J64" s="1">
        <f>COUNTIFS(A60:A75,"&gt;=4001",A60:A75,"&lt;= 6000",E60:E75,"6")</f>
        <v>0</v>
      </c>
      <c r="K64" s="1">
        <f>COUNTIFS(A60:A75,"&gt;=4001",A60:A75,"&lt;= 6000",E60:E75,"5")</f>
        <v>1</v>
      </c>
      <c r="L64" s="1">
        <f>COUNTIFS(A60:A75,"&gt;=4001",A60:A75,"&lt;= 6000",E60:E75,"4")</f>
        <v>0</v>
      </c>
      <c r="M64" s="1">
        <f t="shared" si="6"/>
        <v>0</v>
      </c>
    </row>
    <row r="65" spans="1:26" x14ac:dyDescent="0.25">
      <c r="A65" s="1">
        <v>4346</v>
      </c>
      <c r="B65" s="1" t="s">
        <v>11</v>
      </c>
      <c r="C65" s="1">
        <v>2004</v>
      </c>
      <c r="D65" s="1">
        <v>34</v>
      </c>
      <c r="E65" s="1">
        <v>5</v>
      </c>
      <c r="G65" s="1" t="s">
        <v>24</v>
      </c>
      <c r="H65" s="1">
        <f>COUNTIFS(A60:A75,"&lt;=8000",A60:A75,"&gt;=6001")</f>
        <v>0</v>
      </c>
      <c r="I65" s="1">
        <f>COUNTIFS(A60:A75,"&gt;=6001",A60:A75,"&lt;= 8000",E60:E75,"7")</f>
        <v>0</v>
      </c>
      <c r="J65" s="1">
        <f>COUNTIFS(A60:A75,"&gt;=6001",A60:A75,"&lt;= 8000",E60:E75,"6")</f>
        <v>0</v>
      </c>
      <c r="K65" s="1">
        <f>COUNTIFS(A60:A75,"&gt;=6001",A60:A75,"&lt;= 8000",E60:E75,"5")</f>
        <v>0</v>
      </c>
      <c r="L65" s="1">
        <f>COUNTIFS(A60:A75,"&gt;=6001",A60:A75,"&lt;= 8000",E60:E75,"4")</f>
        <v>0</v>
      </c>
      <c r="M65" s="1">
        <f t="shared" si="6"/>
        <v>0</v>
      </c>
    </row>
    <row r="66" spans="1:26" x14ac:dyDescent="0.25">
      <c r="G66" s="1" t="s">
        <v>23</v>
      </c>
      <c r="H66" s="1">
        <f>COUNTIFS(A60:A75,"&lt;=15000",A60:A75,"&gt;=8001")</f>
        <v>0</v>
      </c>
      <c r="I66" s="1">
        <f>COUNTIFS(A60:A75,"&gt;=8001",A60:A75,"&lt;= 15000",E60:E75,"7")</f>
        <v>0</v>
      </c>
      <c r="J66" s="1">
        <f>COUNTIFS(A60:A75,"&gt;=8001",A60:A75,"&lt;= 15000",E60:E75,"6")</f>
        <v>0</v>
      </c>
      <c r="K66" s="1">
        <f>COUNTIFS(A60:A75,"&gt;=8001",A60:A75,"&lt;= 15000",E60:E75,"5")</f>
        <v>0</v>
      </c>
      <c r="L66" s="1">
        <f>COUNTIFS(A60:A75,"&gt;=8001",A60:A75,"&lt;= 15000",E60:E75,"4")</f>
        <v>0</v>
      </c>
      <c r="M66" s="1">
        <f t="shared" si="6"/>
        <v>0</v>
      </c>
    </row>
    <row r="67" spans="1:26" ht="15.75" thickBot="1" x14ac:dyDescent="0.3">
      <c r="G67" s="3" t="s">
        <v>26</v>
      </c>
      <c r="H67" s="2"/>
      <c r="I67" s="2"/>
      <c r="J67" s="2"/>
      <c r="K67" s="2"/>
      <c r="L67" s="2"/>
      <c r="M67" s="2"/>
      <c r="N67" s="4">
        <f>M60 - ((H68/H60) *M68) - ((H69/H60) *M69) - ((H70/H60) *M70) - ((H71/H60) *M71) - ((H72/H60) *M72) - ((H73/H60) *M73)</f>
        <v>0</v>
      </c>
      <c r="U67" s="6" t="s">
        <v>52</v>
      </c>
    </row>
    <row r="68" spans="1:26" ht="15.75" thickBot="1" x14ac:dyDescent="0.3">
      <c r="G68" s="4" t="s">
        <v>6</v>
      </c>
      <c r="H68" s="1">
        <f>COUNTIFS(B60:B75,G68)</f>
        <v>3</v>
      </c>
      <c r="I68" s="1">
        <f>COUNTIFS(B60:B75,G68,E60:E75,"7")</f>
        <v>0</v>
      </c>
      <c r="J68" s="1">
        <f>COUNTIFS(B60:B75,G68,E60:E75,"6")</f>
        <v>0</v>
      </c>
      <c r="K68" s="1">
        <f>COUNTIFS(B60:B75,G68,E60:E75,"5")</f>
        <v>3</v>
      </c>
      <c r="L68" s="1">
        <f>COUNTIFS(B60:B75,G68,E60:E75,"4")</f>
        <v>0</v>
      </c>
      <c r="M68" s="4">
        <f xml:space="preserve">  IFERROR( -((I68/H68) * IMLOG2(I68/H68) + (J68/H68) * IMLOG2(J68/H68) + (K68/H68) * IMLOG2(K68/H68) +  (L68/H68) * IMLOG2(L68/H68)), 0)</f>
        <v>0</v>
      </c>
      <c r="U68" s="10" t="s">
        <v>24</v>
      </c>
      <c r="V68" s="9">
        <v>7116</v>
      </c>
      <c r="W68" s="9" t="s">
        <v>6</v>
      </c>
      <c r="X68" s="9">
        <v>1923</v>
      </c>
      <c r="Y68" s="9">
        <v>68</v>
      </c>
      <c r="Z68" s="9">
        <v>4</v>
      </c>
    </row>
    <row r="69" spans="1:26" x14ac:dyDescent="0.25">
      <c r="G69" s="1" t="s">
        <v>7</v>
      </c>
      <c r="H69" s="1">
        <f>COUNTIFS(B60:B75,G69)</f>
        <v>1</v>
      </c>
      <c r="I69" s="1">
        <f>COUNTIFS(B60:B75,G69,E60:E75,"7")</f>
        <v>0</v>
      </c>
      <c r="J69" s="1">
        <f>COUNTIFS(B60:B75,G69,E60:E75,"6")</f>
        <v>1</v>
      </c>
      <c r="K69" s="1">
        <f>COUNTIFS(B60:B75,G69,E60:E75,"5")</f>
        <v>0</v>
      </c>
      <c r="L69" s="1">
        <f>COUNTIFS(B60:B75,G69,E60:E75,"4")</f>
        <v>0</v>
      </c>
      <c r="M69" s="1">
        <f t="shared" ref="M69:M73" si="7" xml:space="preserve">  IFERROR( -((I69/H69) * IMLOG2(I69/H69) + (J69/H69) * IMLOG2(J69/H69) + (K69/H69) * IMLOG2(K69/H69) +  (L69/H69) * IMLOG2(L69/H69)), 0)</f>
        <v>0</v>
      </c>
    </row>
    <row r="70" spans="1:26" x14ac:dyDescent="0.25">
      <c r="G70" s="1" t="s">
        <v>8</v>
      </c>
      <c r="H70" s="1">
        <f>COUNTIFS(B60:B75,G70)</f>
        <v>1</v>
      </c>
      <c r="I70" s="1">
        <f>COUNTIFS(B60:B75,G70,E60:E75,"7")</f>
        <v>1</v>
      </c>
      <c r="J70" s="1">
        <f>COUNTIFS(B60:B75,G70,E60:E75,"6")</f>
        <v>0</v>
      </c>
      <c r="K70" s="1">
        <f>COUNTIFS(B60:B75,G70,E60:E75,"5")</f>
        <v>0</v>
      </c>
      <c r="L70" s="1">
        <f>COUNTIFS(B60:B75,G70,E60:E75,"4")</f>
        <v>0</v>
      </c>
      <c r="M70" s="1">
        <f t="shared" si="7"/>
        <v>0</v>
      </c>
    </row>
    <row r="71" spans="1:26" x14ac:dyDescent="0.25">
      <c r="G71" s="1" t="s">
        <v>9</v>
      </c>
      <c r="H71" s="1">
        <f>COUNTIFS(B60:B75,G71)</f>
        <v>0</v>
      </c>
      <c r="I71" s="1">
        <f>COUNTIFS(B60:B75,G71,E60:E75,"7")</f>
        <v>0</v>
      </c>
      <c r="J71" s="1">
        <f>COUNTIFS(B60:B75,G71,E60:E75,"6")</f>
        <v>0</v>
      </c>
      <c r="K71" s="1">
        <f>COUNTIFS(B60:B75,G71,E60:E75,"5")</f>
        <v>0</v>
      </c>
      <c r="L71" s="1">
        <f>COUNTIFS(B60:B75,G71,E60:E75,"4")</f>
        <v>0</v>
      </c>
      <c r="M71" s="1">
        <f t="shared" si="7"/>
        <v>0</v>
      </c>
    </row>
    <row r="72" spans="1:26" x14ac:dyDescent="0.25">
      <c r="G72" s="1" t="s">
        <v>10</v>
      </c>
      <c r="H72" s="1">
        <f>COUNTIFS(B60:B75,G72)</f>
        <v>0</v>
      </c>
      <c r="I72" s="1">
        <f>COUNTIFS(B60:B75,G72,E60:E75,"7")</f>
        <v>0</v>
      </c>
      <c r="J72" s="1">
        <f>COUNTIFS(B60:B75,G72,E60:E75,"6")</f>
        <v>0</v>
      </c>
      <c r="K72" s="1">
        <f>COUNTIFS(B60:B75,G72,E60:E75,"5")</f>
        <v>0</v>
      </c>
      <c r="L72" s="1">
        <f>COUNTIFS(B60:B65,G72,E60:E65,"4")</f>
        <v>0</v>
      </c>
      <c r="M72" s="1">
        <f t="shared" si="7"/>
        <v>0</v>
      </c>
    </row>
    <row r="73" spans="1:26" x14ac:dyDescent="0.25">
      <c r="G73" s="1" t="s">
        <v>11</v>
      </c>
      <c r="H73" s="1">
        <f>COUNTIFS(B60:B75,G73)</f>
        <v>1</v>
      </c>
      <c r="I73" s="1">
        <f>COUNTIFS(B60:B75,G73,E60:E75,"7")</f>
        <v>0</v>
      </c>
      <c r="J73" s="1">
        <f>COUNTIFS(B60:B75,G73,E60:E75,"6")</f>
        <v>0</v>
      </c>
      <c r="K73" s="1">
        <f>COUNTIFS(B60:B75,G73,E60:E75,"5")</f>
        <v>1</v>
      </c>
      <c r="L73" s="1">
        <f>COUNTIFS(B60:B75,G73,E60:E75,"4")</f>
        <v>0</v>
      </c>
      <c r="M73" s="4">
        <f t="shared" si="7"/>
        <v>0</v>
      </c>
    </row>
    <row r="74" spans="1:26" x14ac:dyDescent="0.25">
      <c r="G74" s="8"/>
      <c r="H74" s="7"/>
      <c r="I74" s="7"/>
      <c r="J74" s="7"/>
      <c r="K74" s="7"/>
      <c r="L74" s="7"/>
      <c r="M74" s="7"/>
      <c r="N74" s="7"/>
    </row>
    <row r="75" spans="1:26" x14ac:dyDescent="0.25">
      <c r="G75" s="7"/>
      <c r="H75" s="7"/>
      <c r="I75" s="7"/>
      <c r="J75" s="7"/>
      <c r="K75" s="7"/>
      <c r="L75" s="7"/>
      <c r="M75" s="7"/>
      <c r="N75" s="7"/>
    </row>
    <row r="76" spans="1:26" x14ac:dyDescent="0.25">
      <c r="A76" s="11" t="s">
        <v>53</v>
      </c>
      <c r="B76" s="11"/>
      <c r="C76" s="11"/>
      <c r="D76" s="11"/>
      <c r="E76" s="11"/>
      <c r="F76" s="6"/>
      <c r="G76" s="7"/>
      <c r="H76" s="7"/>
      <c r="I76" s="7"/>
      <c r="J76" s="7"/>
      <c r="K76" s="7"/>
      <c r="L76" s="7"/>
      <c r="M76" s="7"/>
      <c r="N76" s="7"/>
    </row>
    <row r="77" spans="1:26" x14ac:dyDescent="0.25">
      <c r="A77" s="6"/>
      <c r="B77" s="6"/>
      <c r="C77" s="6"/>
      <c r="D77" s="6"/>
      <c r="E77" s="6"/>
      <c r="F77" s="6"/>
      <c r="G77" s="7"/>
      <c r="H77" s="7"/>
      <c r="I77" s="7"/>
      <c r="J77" s="7"/>
      <c r="K77" s="7"/>
      <c r="L77" s="7"/>
      <c r="M77" s="7"/>
      <c r="N77" s="7"/>
    </row>
    <row r="78" spans="1:26" x14ac:dyDescent="0.25">
      <c r="A78" s="3" t="s">
        <v>0</v>
      </c>
      <c r="B78" s="3" t="s">
        <v>2</v>
      </c>
      <c r="C78" s="3" t="s">
        <v>3</v>
      </c>
      <c r="D78" s="3" t="s">
        <v>4</v>
      </c>
      <c r="E78" s="3" t="s">
        <v>1</v>
      </c>
      <c r="F78" s="6"/>
      <c r="G78" s="6"/>
      <c r="H78" s="3" t="s">
        <v>13</v>
      </c>
      <c r="I78" s="3" t="s">
        <v>14</v>
      </c>
      <c r="J78" s="3" t="s">
        <v>15</v>
      </c>
      <c r="K78" s="3" t="s">
        <v>16</v>
      </c>
      <c r="L78" s="3" t="s">
        <v>17</v>
      </c>
      <c r="M78" s="3" t="s">
        <v>18</v>
      </c>
      <c r="N78" s="3" t="s">
        <v>19</v>
      </c>
    </row>
    <row r="79" spans="1:26" x14ac:dyDescent="0.25">
      <c r="A79" s="6">
        <v>1642</v>
      </c>
      <c r="B79" s="6" t="s">
        <v>6</v>
      </c>
      <c r="C79" s="6">
        <v>2143</v>
      </c>
      <c r="D79" s="6">
        <v>50</v>
      </c>
      <c r="E79" s="6">
        <v>5</v>
      </c>
      <c r="F79" s="6"/>
      <c r="G79" s="3" t="s">
        <v>13</v>
      </c>
      <c r="H79" s="6">
        <f>COUNTA(E79:E84)</f>
        <v>3</v>
      </c>
      <c r="I79" s="6">
        <f>COUNTIF(E79:E94,7)</f>
        <v>0</v>
      </c>
      <c r="J79" s="6">
        <f>COUNTIF(E79:E94,6)</f>
        <v>0</v>
      </c>
      <c r="K79" s="6">
        <f>COUNTIF(E79:E94,5)</f>
        <v>3</v>
      </c>
      <c r="L79" s="6">
        <f>COUNTIF(E79:E94,4)</f>
        <v>0</v>
      </c>
      <c r="M79" s="6">
        <f xml:space="preserve"> IFERROR(-((I79/H79) * IMLOG2(I79/H79) + (J79/H79) * IMLOG2(J79/H79) + (K79/H79) * IMLOG2(K79/H79)  +  (L79/H79) * IMLOG2(L79/H79)),0)</f>
        <v>0</v>
      </c>
      <c r="N79" s="6"/>
    </row>
    <row r="80" spans="1:26" ht="15.75" thickBot="1" x14ac:dyDescent="0.3">
      <c r="A80" s="6">
        <v>2378</v>
      </c>
      <c r="B80" s="6" t="s">
        <v>6</v>
      </c>
      <c r="C80" s="6">
        <v>2086</v>
      </c>
      <c r="D80" s="6">
        <v>188</v>
      </c>
      <c r="E80" s="6">
        <v>5</v>
      </c>
      <c r="F80" s="6"/>
      <c r="G80" s="3" t="s">
        <v>20</v>
      </c>
      <c r="H80" s="2"/>
      <c r="I80" s="2"/>
      <c r="J80" s="2"/>
      <c r="K80" s="2"/>
      <c r="L80" s="2"/>
      <c r="M80" s="2"/>
      <c r="N80" s="4">
        <f>M79 - ((H81/H79) *M81) - ((H82/H79) *M82) - ((H83/H79) *M83) - ((H84/H79) *M84) - ((H85/H79) *M85)</f>
        <v>0</v>
      </c>
      <c r="U80" s="6" t="s">
        <v>51</v>
      </c>
    </row>
    <row r="81" spans="1:26" ht="15.75" thickBot="1" x14ac:dyDescent="0.3">
      <c r="A81" s="6">
        <v>3521</v>
      </c>
      <c r="B81" s="6" t="s">
        <v>6</v>
      </c>
      <c r="C81" s="6">
        <v>2033</v>
      </c>
      <c r="D81" s="6">
        <v>133</v>
      </c>
      <c r="E81" s="6">
        <v>5</v>
      </c>
      <c r="F81" s="6"/>
      <c r="G81" s="4" t="s">
        <v>21</v>
      </c>
      <c r="H81" s="6">
        <f>COUNTIFS(A79:A84,"&lt;=2000",A79:A84,"&gt;=1")</f>
        <v>1</v>
      </c>
      <c r="I81" s="6">
        <f>COUNTIFS(A79:A94,"&gt;=1",A79:A94,"&lt;= 2000",E79:E94,"7")</f>
        <v>0</v>
      </c>
      <c r="J81" s="6">
        <f>COUNTIFS(A79:A94,"&gt;=1",A79:A94,"&lt;= 2000",E79:E94,"6")</f>
        <v>0</v>
      </c>
      <c r="K81" s="6">
        <f>COUNTIFS(A79:A94,"&gt;=1",A79:A94,"&lt;= 2000",E79:E94,"5")</f>
        <v>1</v>
      </c>
      <c r="L81" s="6">
        <f>COUNTIFS(A79:A94,"&gt;=1",A79:A94,"&lt;= 2000",E79:E94,"4")</f>
        <v>0</v>
      </c>
      <c r="M81" s="6">
        <f xml:space="preserve">  IFERROR( -((I81/H81) * IMLOG2(I81/H81) + (J81/H81) * IMLOG2(J81/H81) + (K81/H81) * IMLOG2(K81/H81) +  (L81/H81) * IMLOG2(L81/H81)), 0)</f>
        <v>0</v>
      </c>
      <c r="N81" s="6"/>
      <c r="U81" s="10" t="s">
        <v>23</v>
      </c>
      <c r="V81" s="9">
        <v>8323</v>
      </c>
      <c r="W81" s="9" t="s">
        <v>6</v>
      </c>
      <c r="X81" s="9">
        <v>1899</v>
      </c>
      <c r="Y81" s="9">
        <v>20</v>
      </c>
      <c r="Z81" s="9">
        <v>4</v>
      </c>
    </row>
    <row r="82" spans="1:26" x14ac:dyDescent="0.25">
      <c r="A82" s="6"/>
      <c r="B82" s="6"/>
      <c r="C82" s="6"/>
      <c r="D82" s="6"/>
      <c r="E82" s="6"/>
      <c r="F82" s="6"/>
      <c r="G82" s="6" t="s">
        <v>22</v>
      </c>
      <c r="H82" s="6">
        <f>COUNTIFS(A79:A84,"&lt;=4000",A79:A84,"&gt;=2001")</f>
        <v>2</v>
      </c>
      <c r="I82" s="6">
        <f>COUNTIFS(A79:A94,"&gt;=2001",A79:A94,"&lt;= 4000",E79:E94,"7")</f>
        <v>0</v>
      </c>
      <c r="J82" s="6">
        <f>COUNTIFS(A79:A94,"&gt;=2001",A79:A94,"&lt;= 4000",E79:E94,"6")</f>
        <v>0</v>
      </c>
      <c r="K82" s="6">
        <f>COUNTIFS(A79:A94,"&gt;=2001",A79:A94,"&lt;= 4000",E79:E94,"5")</f>
        <v>2</v>
      </c>
      <c r="L82" s="6">
        <f>COUNTIFS(A79:A94,"&gt;=2001",A79:A94,"&lt;= 4000",E79:E94,"4")</f>
        <v>0</v>
      </c>
      <c r="M82" s="6">
        <f t="shared" ref="M82:M85" si="8" xml:space="preserve">  IFERROR( -((I82/H82) * IMLOG2(I82/H82) + (J82/H82) * IMLOG2(J82/H82) + (K82/H82) * IMLOG2(K82/H82) +  (L82/H82) * IMLOG2(L82/H82)), 0)</f>
        <v>0</v>
      </c>
      <c r="N82" s="6"/>
      <c r="V82" s="9">
        <v>8225</v>
      </c>
      <c r="W82" s="9" t="s">
        <v>6</v>
      </c>
      <c r="X82" s="9">
        <v>1901</v>
      </c>
      <c r="Y82" s="9">
        <v>75</v>
      </c>
      <c r="Z82" s="9">
        <v>4</v>
      </c>
    </row>
    <row r="83" spans="1:26" x14ac:dyDescent="0.25">
      <c r="F83" s="6"/>
      <c r="G83" s="6" t="s">
        <v>25</v>
      </c>
      <c r="H83" s="6">
        <f>COUNTIFS(A79:A94,"&lt;=6000",A79:A94,"&gt;=4001")</f>
        <v>0</v>
      </c>
      <c r="I83" s="6">
        <f>COUNTIFS(A79:A94,"&gt;=4001",A79:A94,"&lt;= 6000",E79:E94,"7")</f>
        <v>0</v>
      </c>
      <c r="J83" s="6">
        <f>COUNTIFS(A79:A94,"&gt;=4001",A79:A94,"&lt;= 6000",E79:E94,"6")</f>
        <v>0</v>
      </c>
      <c r="K83" s="6">
        <f>COUNTIFS(A79:A94,"&gt;=4001",A79:A94,"&lt;= 6000",E79:E94,"5")</f>
        <v>0</v>
      </c>
      <c r="L83" s="6">
        <f>COUNTIFS(A79:A94,"&gt;=4001",A79:A94,"&lt;= 6000",E79:E94,"4")</f>
        <v>0</v>
      </c>
      <c r="M83" s="6">
        <f t="shared" si="8"/>
        <v>0</v>
      </c>
      <c r="N83" s="6"/>
      <c r="V83" s="9">
        <v>8609</v>
      </c>
      <c r="W83" s="9" t="s">
        <v>6</v>
      </c>
      <c r="X83" s="9">
        <v>1894</v>
      </c>
      <c r="Y83" s="9">
        <v>59</v>
      </c>
      <c r="Z83" s="9">
        <v>4</v>
      </c>
    </row>
    <row r="84" spans="1:26" x14ac:dyDescent="0.25">
      <c r="A84" s="6"/>
      <c r="B84" s="6"/>
      <c r="C84" s="6"/>
      <c r="D84" s="6"/>
      <c r="E84" s="6"/>
      <c r="F84" s="6"/>
      <c r="G84" s="6" t="s">
        <v>24</v>
      </c>
      <c r="H84" s="6">
        <f>COUNTIFS(A79:A94,"&lt;=8000",A79:A94,"&gt;=6001")</f>
        <v>0</v>
      </c>
      <c r="I84" s="6">
        <f>COUNTIFS(A79:A94,"&gt;=6001",A79:A94,"&lt;= 8000",E79:E94,"7")</f>
        <v>0</v>
      </c>
      <c r="J84" s="6">
        <f>COUNTIFS(A79:A94,"&gt;=6001",A79:A94,"&lt;= 8000",E79:E94,"6")</f>
        <v>0</v>
      </c>
      <c r="K84" s="6">
        <f>COUNTIFS(A79:A94,"&gt;=6001",A79:A94,"&lt;= 8000",E79:E94,"5")</f>
        <v>0</v>
      </c>
      <c r="L84" s="6">
        <f>COUNTIFS(A79:A94,"&gt;=6001",A79:A94,"&lt;= 8000",E79:E94,"4")</f>
        <v>0</v>
      </c>
      <c r="M84" s="6">
        <f t="shared" si="8"/>
        <v>0</v>
      </c>
      <c r="N84" s="6"/>
      <c r="V84" s="9">
        <v>9542</v>
      </c>
      <c r="W84" s="9" t="s">
        <v>8</v>
      </c>
      <c r="X84" s="9">
        <v>1878</v>
      </c>
      <c r="Y84" s="9">
        <v>19</v>
      </c>
      <c r="Z84" s="9">
        <v>4</v>
      </c>
    </row>
    <row r="85" spans="1:26" x14ac:dyDescent="0.25">
      <c r="A85" s="6"/>
      <c r="B85" s="6"/>
      <c r="C85" s="6"/>
      <c r="D85" s="6"/>
      <c r="E85" s="6"/>
      <c r="F85" s="6"/>
      <c r="G85" s="6" t="s">
        <v>23</v>
      </c>
      <c r="H85" s="6">
        <f>COUNTIFS(A79:A94,"&lt;=15000",A79:A94,"&gt;=8001")</f>
        <v>0</v>
      </c>
      <c r="I85" s="6">
        <f>COUNTIFS(A79:A94,"&gt;=8001",A79:A94,"&lt;= 15000",E79:E94,"7")</f>
        <v>0</v>
      </c>
      <c r="J85" s="6">
        <f>COUNTIFS(A79:A94,"&gt;=8001",A79:A94,"&lt;= 15000",E79:E94,"6")</f>
        <v>0</v>
      </c>
      <c r="K85" s="6">
        <f>COUNTIFS(A79:A94,"&gt;=8001",A79:A94,"&lt;= 15000",E79:E94,"5")</f>
        <v>0</v>
      </c>
      <c r="L85" s="6">
        <f>COUNTIFS(A79:A94,"&gt;=8001",A79:A94,"&lt;= 15000",E79:E94,"4")</f>
        <v>0</v>
      </c>
      <c r="M85" s="4">
        <f t="shared" si="8"/>
        <v>0</v>
      </c>
      <c r="N85" s="6"/>
      <c r="V85" s="9">
        <v>8717</v>
      </c>
      <c r="W85" s="9" t="s">
        <v>6</v>
      </c>
      <c r="X85" s="9">
        <v>1892</v>
      </c>
      <c r="Y85" s="9">
        <v>37</v>
      </c>
      <c r="Z85" s="9">
        <v>4</v>
      </c>
    </row>
    <row r="86" spans="1:26" x14ac:dyDescent="0.25">
      <c r="A86" s="6"/>
      <c r="B86" s="6"/>
      <c r="C86" s="6"/>
      <c r="D86" s="6"/>
      <c r="E86" s="6"/>
      <c r="F86" s="6"/>
      <c r="G86" s="8"/>
      <c r="H86" s="7"/>
      <c r="I86" s="7"/>
      <c r="J86" s="7"/>
      <c r="K86" s="7"/>
      <c r="L86" s="7"/>
      <c r="M86" s="7"/>
      <c r="N86" s="6"/>
      <c r="V86" s="9">
        <v>9812</v>
      </c>
      <c r="W86" s="9" t="s">
        <v>8</v>
      </c>
      <c r="X86" s="9">
        <v>1874</v>
      </c>
      <c r="Y86" s="9">
        <v>105</v>
      </c>
      <c r="Z86" s="9">
        <v>4</v>
      </c>
    </row>
    <row r="87" spans="1:26" x14ac:dyDescent="0.25">
      <c r="A87" s="6"/>
      <c r="B87" s="6"/>
      <c r="C87" s="6"/>
      <c r="D87" s="6"/>
      <c r="E87" s="6"/>
      <c r="F87" s="6"/>
      <c r="G87" s="7"/>
      <c r="H87" s="7"/>
      <c r="I87" s="7"/>
      <c r="J87" s="7"/>
      <c r="K87" s="7"/>
      <c r="L87" s="7"/>
      <c r="M87" s="7"/>
      <c r="N87" s="6"/>
      <c r="V87" s="9">
        <v>9035</v>
      </c>
      <c r="W87" s="9" t="s">
        <v>6</v>
      </c>
      <c r="X87" s="9">
        <v>1886</v>
      </c>
      <c r="Y87" s="9">
        <v>16</v>
      </c>
      <c r="Z87" s="9">
        <v>4</v>
      </c>
    </row>
    <row r="88" spans="1:26" x14ac:dyDescent="0.25">
      <c r="A88" s="6"/>
      <c r="B88" s="6"/>
      <c r="C88" s="6"/>
      <c r="D88" s="6"/>
      <c r="E88" s="6"/>
      <c r="F88" s="6"/>
      <c r="G88" s="7"/>
      <c r="H88" s="7"/>
      <c r="I88" s="7"/>
      <c r="J88" s="7"/>
      <c r="K88" s="7"/>
      <c r="L88" s="7"/>
      <c r="M88" s="7"/>
      <c r="N88" s="6"/>
    </row>
    <row r="89" spans="1:26" x14ac:dyDescent="0.25">
      <c r="A89" s="6"/>
      <c r="B89" s="6"/>
      <c r="C89" s="6"/>
      <c r="D89" s="6"/>
      <c r="E89" s="6"/>
      <c r="F89" s="6"/>
      <c r="G89" s="7"/>
      <c r="H89" s="7"/>
      <c r="I89" s="7"/>
      <c r="J89" s="7"/>
      <c r="K89" s="7"/>
      <c r="L89" s="7"/>
      <c r="M89" s="7"/>
      <c r="N89" s="6"/>
    </row>
    <row r="90" spans="1:26" x14ac:dyDescent="0.25">
      <c r="A90" s="6"/>
      <c r="B90" s="6"/>
      <c r="C90" s="6"/>
      <c r="D90" s="6"/>
      <c r="E90" s="6"/>
      <c r="F90" s="6"/>
      <c r="G90" s="7"/>
      <c r="H90" s="7"/>
      <c r="I90" s="7"/>
      <c r="J90" s="7"/>
      <c r="K90" s="7"/>
      <c r="L90" s="7"/>
      <c r="M90" s="7"/>
      <c r="N90" s="6"/>
    </row>
    <row r="91" spans="1:26" x14ac:dyDescent="0.25">
      <c r="A91" s="6"/>
      <c r="B91" s="6"/>
      <c r="C91" s="6"/>
      <c r="D91" s="6"/>
      <c r="E91" s="6"/>
      <c r="F91" s="6"/>
      <c r="G91" s="7"/>
      <c r="H91" s="7"/>
      <c r="I91" s="7"/>
      <c r="J91" s="7"/>
      <c r="K91" s="7"/>
      <c r="L91" s="7"/>
      <c r="M91" s="7"/>
      <c r="N91" s="6"/>
    </row>
    <row r="92" spans="1:26" x14ac:dyDescent="0.25">
      <c r="A92" s="6"/>
      <c r="B92" s="6"/>
      <c r="C92" s="6"/>
      <c r="D92" s="6"/>
      <c r="E92" s="6"/>
      <c r="F92" s="6"/>
      <c r="G92" s="7"/>
      <c r="H92" s="7"/>
      <c r="I92" s="7"/>
      <c r="J92" s="7"/>
      <c r="K92" s="7"/>
      <c r="L92" s="7"/>
      <c r="M92" s="7"/>
      <c r="N92" s="6"/>
    </row>
    <row r="174" spans="1:6" x14ac:dyDescent="0.25">
      <c r="A174" s="1" t="s">
        <v>12</v>
      </c>
    </row>
    <row r="175" spans="1:6" x14ac:dyDescent="0.25">
      <c r="A175" s="1">
        <v>0</v>
      </c>
      <c r="B175" s="1">
        <v>3</v>
      </c>
      <c r="C175" s="1">
        <v>5</v>
      </c>
      <c r="D175" s="1">
        <v>7</v>
      </c>
      <c r="E175" s="1">
        <v>8</v>
      </c>
      <c r="F175" s="1">
        <v>1</v>
      </c>
    </row>
    <row r="176" spans="1:6" x14ac:dyDescent="0.25">
      <c r="A176" s="1" t="s">
        <v>0</v>
      </c>
      <c r="B176" s="1" t="s">
        <v>2</v>
      </c>
      <c r="C176" s="1" t="s">
        <v>3</v>
      </c>
      <c r="D176" s="1" t="s">
        <v>4</v>
      </c>
      <c r="E176" s="1" t="s">
        <v>5</v>
      </c>
      <c r="F176" s="1" t="s">
        <v>1</v>
      </c>
    </row>
    <row r="177" spans="1:6" x14ac:dyDescent="0.25">
      <c r="A177" s="1">
        <v>1642</v>
      </c>
      <c r="B177" s="1" t="s">
        <v>6</v>
      </c>
      <c r="C177" s="1">
        <v>2143</v>
      </c>
      <c r="D177" s="1">
        <v>50</v>
      </c>
      <c r="E177" s="1">
        <v>9</v>
      </c>
      <c r="F177" s="1">
        <v>5</v>
      </c>
    </row>
    <row r="178" spans="1:6" x14ac:dyDescent="0.25">
      <c r="A178" s="1">
        <v>8323</v>
      </c>
      <c r="B178" s="1" t="s">
        <v>6</v>
      </c>
      <c r="C178" s="1">
        <v>1899</v>
      </c>
      <c r="D178" s="1">
        <v>20</v>
      </c>
      <c r="E178" s="1">
        <v>3</v>
      </c>
      <c r="F178" s="1">
        <v>4</v>
      </c>
    </row>
    <row r="179" spans="1:6" x14ac:dyDescent="0.25">
      <c r="A179" s="1">
        <v>8225</v>
      </c>
      <c r="B179" s="1" t="s">
        <v>6</v>
      </c>
      <c r="C179" s="1">
        <v>1901</v>
      </c>
      <c r="D179" s="1">
        <v>75</v>
      </c>
      <c r="E179" s="1">
        <v>7</v>
      </c>
      <c r="F179" s="1">
        <v>4</v>
      </c>
    </row>
    <row r="180" spans="1:6" x14ac:dyDescent="0.25">
      <c r="A180" s="1">
        <v>2378</v>
      </c>
      <c r="B180" s="1" t="s">
        <v>6</v>
      </c>
      <c r="C180" s="1">
        <v>2086</v>
      </c>
      <c r="D180" s="1">
        <v>188</v>
      </c>
      <c r="E180" s="1">
        <v>26</v>
      </c>
      <c r="F180" s="1">
        <v>5</v>
      </c>
    </row>
    <row r="181" spans="1:6" x14ac:dyDescent="0.25">
      <c r="A181" s="1">
        <v>5345</v>
      </c>
      <c r="B181" s="1" t="s">
        <v>6</v>
      </c>
      <c r="C181" s="1">
        <v>1969</v>
      </c>
      <c r="D181" s="1">
        <v>63</v>
      </c>
      <c r="E181" s="1">
        <v>8</v>
      </c>
      <c r="F181" s="1">
        <v>4</v>
      </c>
    </row>
    <row r="182" spans="1:6" x14ac:dyDescent="0.25">
      <c r="A182" s="1">
        <v>2532</v>
      </c>
      <c r="B182" s="1" t="s">
        <v>6</v>
      </c>
      <c r="C182" s="1">
        <v>2077</v>
      </c>
      <c r="D182" s="1">
        <v>352</v>
      </c>
      <c r="E182" s="1">
        <v>11</v>
      </c>
      <c r="F182" s="1">
        <v>5</v>
      </c>
    </row>
    <row r="183" spans="1:6" x14ac:dyDescent="0.25">
      <c r="A183" s="1">
        <v>2984</v>
      </c>
      <c r="B183" s="1" t="s">
        <v>6</v>
      </c>
      <c r="C183" s="1">
        <v>2054</v>
      </c>
      <c r="D183" s="1">
        <v>207</v>
      </c>
      <c r="E183" s="1">
        <v>41</v>
      </c>
      <c r="F183" s="1">
        <v>5</v>
      </c>
    </row>
    <row r="184" spans="1:6" x14ac:dyDescent="0.25">
      <c r="A184" s="1">
        <v>527</v>
      </c>
      <c r="B184" s="1" t="s">
        <v>7</v>
      </c>
      <c r="C184" s="1">
        <v>2312</v>
      </c>
      <c r="D184" s="1">
        <v>127</v>
      </c>
      <c r="E184" s="1">
        <v>7</v>
      </c>
      <c r="F184" s="1">
        <v>6</v>
      </c>
    </row>
    <row r="185" spans="1:6" x14ac:dyDescent="0.25">
      <c r="A185" s="1">
        <v>30</v>
      </c>
      <c r="B185" s="1" t="s">
        <v>8</v>
      </c>
      <c r="C185" s="1">
        <v>2709</v>
      </c>
      <c r="D185" s="1">
        <v>176</v>
      </c>
      <c r="E185" s="1">
        <v>3</v>
      </c>
      <c r="F185" s="1">
        <v>7</v>
      </c>
    </row>
    <row r="186" spans="1:6" x14ac:dyDescent="0.25">
      <c r="A186" s="1">
        <v>1280</v>
      </c>
      <c r="B186" s="1" t="s">
        <v>9</v>
      </c>
      <c r="C186" s="1">
        <v>2185</v>
      </c>
      <c r="D186" s="1">
        <v>900</v>
      </c>
      <c r="E186" s="1">
        <v>10</v>
      </c>
      <c r="F186" s="1">
        <v>5</v>
      </c>
    </row>
    <row r="187" spans="1:6" x14ac:dyDescent="0.25">
      <c r="A187" s="1">
        <v>8609</v>
      </c>
      <c r="B187" s="1" t="s">
        <v>6</v>
      </c>
      <c r="C187" s="1">
        <v>1894</v>
      </c>
      <c r="D187" s="1">
        <v>59</v>
      </c>
      <c r="E187" s="1">
        <v>14</v>
      </c>
      <c r="F187" s="1">
        <v>4</v>
      </c>
    </row>
    <row r="188" spans="1:6" x14ac:dyDescent="0.25">
      <c r="A188" s="1">
        <v>2984</v>
      </c>
      <c r="B188" s="1" t="s">
        <v>10</v>
      </c>
      <c r="C188" s="1">
        <v>2054</v>
      </c>
      <c r="D188" s="1">
        <v>258</v>
      </c>
      <c r="E188" s="1">
        <v>15</v>
      </c>
      <c r="F188" s="1">
        <v>5</v>
      </c>
    </row>
    <row r="189" spans="1:6" x14ac:dyDescent="0.25">
      <c r="A189" s="1">
        <v>5410</v>
      </c>
      <c r="B189" s="1" t="s">
        <v>6</v>
      </c>
      <c r="C189" s="1">
        <v>1967</v>
      </c>
      <c r="D189" s="1">
        <v>297</v>
      </c>
      <c r="E189" s="1">
        <v>40</v>
      </c>
      <c r="F189" s="1">
        <v>4</v>
      </c>
    </row>
    <row r="190" spans="1:6" x14ac:dyDescent="0.25">
      <c r="A190" s="1">
        <v>3521</v>
      </c>
      <c r="B190" s="1" t="s">
        <v>6</v>
      </c>
      <c r="C190" s="1">
        <v>2033</v>
      </c>
      <c r="D190" s="1">
        <v>133</v>
      </c>
      <c r="E190" s="1">
        <v>24</v>
      </c>
      <c r="F190" s="1">
        <v>5</v>
      </c>
    </row>
    <row r="191" spans="1:6" x14ac:dyDescent="0.25">
      <c r="A191" s="1">
        <v>7116</v>
      </c>
      <c r="B191" s="1" t="s">
        <v>6</v>
      </c>
      <c r="C191" s="1">
        <v>1923</v>
      </c>
      <c r="D191" s="1">
        <v>68</v>
      </c>
      <c r="E191" s="1">
        <v>7</v>
      </c>
      <c r="F191" s="1">
        <v>4</v>
      </c>
    </row>
    <row r="192" spans="1:6" x14ac:dyDescent="0.25">
      <c r="A192" s="1">
        <v>5303</v>
      </c>
      <c r="B192" s="1" t="s">
        <v>6</v>
      </c>
      <c r="C192" s="1">
        <v>1970</v>
      </c>
      <c r="D192" s="1">
        <v>44</v>
      </c>
      <c r="E192" s="1">
        <v>2</v>
      </c>
      <c r="F192" s="1">
        <v>4</v>
      </c>
    </row>
    <row r="193" spans="1:6" x14ac:dyDescent="0.25">
      <c r="A193" s="1">
        <v>9542</v>
      </c>
      <c r="B193" s="1" t="s">
        <v>8</v>
      </c>
      <c r="C193" s="1">
        <v>1878</v>
      </c>
      <c r="D193" s="1">
        <v>19</v>
      </c>
      <c r="E193" s="1">
        <v>0</v>
      </c>
      <c r="F193" s="1">
        <v>4</v>
      </c>
    </row>
    <row r="194" spans="1:6" x14ac:dyDescent="0.25">
      <c r="A194" s="1">
        <v>4346</v>
      </c>
      <c r="B194" s="1" t="s">
        <v>11</v>
      </c>
      <c r="C194" s="1">
        <v>2004</v>
      </c>
      <c r="D194" s="1">
        <v>34</v>
      </c>
      <c r="E194" s="1">
        <v>2</v>
      </c>
      <c r="F194" s="1">
        <v>5</v>
      </c>
    </row>
    <row r="195" spans="1:6" x14ac:dyDescent="0.25">
      <c r="A195" s="1">
        <v>8717</v>
      </c>
      <c r="B195" s="1" t="s">
        <v>6</v>
      </c>
      <c r="C195" s="1">
        <v>1892</v>
      </c>
      <c r="D195" s="1">
        <v>37</v>
      </c>
      <c r="E195" s="1">
        <v>7</v>
      </c>
      <c r="F195" s="1">
        <v>4</v>
      </c>
    </row>
    <row r="196" spans="1:6" x14ac:dyDescent="0.25">
      <c r="A196" s="1">
        <v>9812</v>
      </c>
      <c r="B196" s="1" t="s">
        <v>8</v>
      </c>
      <c r="C196" s="1">
        <v>1874</v>
      </c>
      <c r="D196" s="1">
        <v>105</v>
      </c>
      <c r="E196" s="1">
        <v>1</v>
      </c>
      <c r="F196" s="1">
        <v>4</v>
      </c>
    </row>
    <row r="197" spans="1:6" x14ac:dyDescent="0.25">
      <c r="A197" s="1">
        <v>9035</v>
      </c>
      <c r="B197" s="1" t="s">
        <v>6</v>
      </c>
      <c r="C197" s="1">
        <v>1886</v>
      </c>
      <c r="D197" s="1">
        <v>16</v>
      </c>
      <c r="E197" s="1">
        <v>2</v>
      </c>
      <c r="F197" s="1">
        <v>4</v>
      </c>
    </row>
  </sheetData>
  <sortState xmlns:xlrd2="http://schemas.microsoft.com/office/spreadsheetml/2017/richdata2" ref="V37:Z41">
    <sortCondition ref="V37:V41"/>
  </sortState>
  <mergeCells count="3">
    <mergeCell ref="A32:E32"/>
    <mergeCell ref="A57:E57"/>
    <mergeCell ref="A76:E76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0B78F64-B312-4C98-A299-58431088A6EA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'HALLANDO DATOS'!U23:U23</xm:f>
              <xm:sqref>S24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A36A-742B-42EB-95D7-CD260C7906FC}">
  <sheetPr filterMode="1"/>
  <dimension ref="A1:E29"/>
  <sheetViews>
    <sheetView tabSelected="1" zoomScale="77" workbookViewId="0">
      <selection activeCell="U26" sqref="U26"/>
    </sheetView>
  </sheetViews>
  <sheetFormatPr baseColWidth="10" defaultRowHeight="15" x14ac:dyDescent="0.25"/>
  <sheetData>
    <row r="1" spans="1:5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hidden="1" x14ac:dyDescent="0.25">
      <c r="A2" s="1">
        <v>1642</v>
      </c>
      <c r="B2" s="1" t="s">
        <v>6</v>
      </c>
      <c r="C2" s="1">
        <v>2143</v>
      </c>
      <c r="D2" s="1">
        <v>50</v>
      </c>
      <c r="E2" s="1">
        <v>5</v>
      </c>
    </row>
    <row r="3" spans="1:5" x14ac:dyDescent="0.25">
      <c r="A3" s="1">
        <v>8323</v>
      </c>
      <c r="B3" s="1" t="s">
        <v>6</v>
      </c>
      <c r="C3" s="1">
        <v>1899</v>
      </c>
      <c r="D3" s="1">
        <v>20</v>
      </c>
      <c r="E3" s="1">
        <v>4</v>
      </c>
    </row>
    <row r="4" spans="1:5" x14ac:dyDescent="0.25">
      <c r="A4" s="1">
        <v>8225</v>
      </c>
      <c r="B4" s="1" t="s">
        <v>6</v>
      </c>
      <c r="C4" s="1">
        <v>1901</v>
      </c>
      <c r="D4" s="1">
        <v>75</v>
      </c>
      <c r="E4" s="1">
        <v>4</v>
      </c>
    </row>
    <row r="5" spans="1:5" hidden="1" x14ac:dyDescent="0.25">
      <c r="A5" s="1">
        <v>2378</v>
      </c>
      <c r="B5" s="1" t="s">
        <v>6</v>
      </c>
      <c r="C5" s="1">
        <v>2086</v>
      </c>
      <c r="D5" s="1">
        <v>188</v>
      </c>
      <c r="E5" s="1">
        <v>5</v>
      </c>
    </row>
    <row r="6" spans="1:5" hidden="1" x14ac:dyDescent="0.25">
      <c r="A6" s="1">
        <v>5345</v>
      </c>
      <c r="B6" s="1" t="s">
        <v>6</v>
      </c>
      <c r="C6" s="1">
        <v>1969</v>
      </c>
      <c r="D6" s="1">
        <v>63</v>
      </c>
      <c r="E6" s="1">
        <v>4</v>
      </c>
    </row>
    <row r="7" spans="1:5" hidden="1" x14ac:dyDescent="0.25">
      <c r="A7" s="1">
        <v>2532</v>
      </c>
      <c r="B7" s="1" t="s">
        <v>6</v>
      </c>
      <c r="C7" s="1">
        <v>2077</v>
      </c>
      <c r="D7" s="1">
        <v>352</v>
      </c>
      <c r="E7" s="1">
        <v>5</v>
      </c>
    </row>
    <row r="8" spans="1:5" hidden="1" x14ac:dyDescent="0.25">
      <c r="A8" s="1">
        <v>2984</v>
      </c>
      <c r="B8" s="1" t="s">
        <v>6</v>
      </c>
      <c r="C8" s="1">
        <v>2054</v>
      </c>
      <c r="D8" s="1">
        <v>207</v>
      </c>
      <c r="E8" s="1">
        <v>5</v>
      </c>
    </row>
    <row r="9" spans="1:5" hidden="1" x14ac:dyDescent="0.25">
      <c r="A9" s="1">
        <v>527</v>
      </c>
      <c r="B9" s="1" t="s">
        <v>7</v>
      </c>
      <c r="C9" s="1">
        <v>2312</v>
      </c>
      <c r="D9" s="1">
        <v>127</v>
      </c>
      <c r="E9" s="1">
        <v>6</v>
      </c>
    </row>
    <row r="10" spans="1:5" hidden="1" x14ac:dyDescent="0.25">
      <c r="A10" s="1">
        <v>30</v>
      </c>
      <c r="B10" s="1" t="s">
        <v>8</v>
      </c>
      <c r="C10" s="1">
        <v>2709</v>
      </c>
      <c r="D10" s="1">
        <v>176</v>
      </c>
      <c r="E10" s="1">
        <v>7</v>
      </c>
    </row>
    <row r="11" spans="1:5" hidden="1" x14ac:dyDescent="0.25">
      <c r="A11" s="1">
        <v>1280</v>
      </c>
      <c r="B11" s="1" t="s">
        <v>9</v>
      </c>
      <c r="C11" s="1">
        <v>2185</v>
      </c>
      <c r="D11" s="1">
        <v>900</v>
      </c>
      <c r="E11" s="1">
        <v>5</v>
      </c>
    </row>
    <row r="12" spans="1:5" x14ac:dyDescent="0.25">
      <c r="A12" s="1">
        <v>8609</v>
      </c>
      <c r="B12" s="1" t="s">
        <v>6</v>
      </c>
      <c r="C12" s="1">
        <v>1894</v>
      </c>
      <c r="D12" s="1">
        <v>59</v>
      </c>
      <c r="E12" s="1">
        <v>4</v>
      </c>
    </row>
    <row r="13" spans="1:5" hidden="1" x14ac:dyDescent="0.25">
      <c r="A13" s="1">
        <v>2984</v>
      </c>
      <c r="B13" s="1" t="s">
        <v>10</v>
      </c>
      <c r="C13" s="1">
        <v>2054</v>
      </c>
      <c r="D13" s="1">
        <v>258</v>
      </c>
      <c r="E13" s="1">
        <v>5</v>
      </c>
    </row>
    <row r="14" spans="1:5" hidden="1" x14ac:dyDescent="0.25">
      <c r="A14" s="1">
        <v>5410</v>
      </c>
      <c r="B14" s="1" t="s">
        <v>6</v>
      </c>
      <c r="C14" s="1">
        <v>1967</v>
      </c>
      <c r="D14" s="1">
        <v>297</v>
      </c>
      <c r="E14" s="1">
        <v>4</v>
      </c>
    </row>
    <row r="15" spans="1:5" hidden="1" x14ac:dyDescent="0.25">
      <c r="A15" s="1">
        <v>3521</v>
      </c>
      <c r="B15" s="1" t="s">
        <v>6</v>
      </c>
      <c r="C15" s="1">
        <v>2033</v>
      </c>
      <c r="D15" s="1">
        <v>133</v>
      </c>
      <c r="E15" s="1">
        <v>5</v>
      </c>
    </row>
    <row r="16" spans="1:5" hidden="1" x14ac:dyDescent="0.25">
      <c r="A16" s="1">
        <v>7116</v>
      </c>
      <c r="B16" s="1" t="s">
        <v>6</v>
      </c>
      <c r="C16" s="1">
        <v>1923</v>
      </c>
      <c r="D16" s="1">
        <v>68</v>
      </c>
      <c r="E16" s="1">
        <v>4</v>
      </c>
    </row>
    <row r="17" spans="1:5" hidden="1" x14ac:dyDescent="0.25">
      <c r="A17" s="1">
        <v>5303</v>
      </c>
      <c r="B17" s="1" t="s">
        <v>6</v>
      </c>
      <c r="C17" s="1">
        <v>1970</v>
      </c>
      <c r="D17" s="1">
        <v>44</v>
      </c>
      <c r="E17" s="1">
        <v>4</v>
      </c>
    </row>
    <row r="18" spans="1:5" x14ac:dyDescent="0.25">
      <c r="A18" s="1">
        <v>9542</v>
      </c>
      <c r="B18" s="1" t="s">
        <v>8</v>
      </c>
      <c r="C18" s="1">
        <v>1878</v>
      </c>
      <c r="D18" s="1">
        <v>19</v>
      </c>
      <c r="E18" s="1">
        <v>4</v>
      </c>
    </row>
    <row r="19" spans="1:5" hidden="1" x14ac:dyDescent="0.25">
      <c r="A19" s="1">
        <v>4346</v>
      </c>
      <c r="B19" s="1" t="s">
        <v>11</v>
      </c>
      <c r="C19" s="1">
        <v>2004</v>
      </c>
      <c r="D19" s="1">
        <v>34</v>
      </c>
      <c r="E19" s="1">
        <v>5</v>
      </c>
    </row>
    <row r="20" spans="1:5" x14ac:dyDescent="0.25">
      <c r="A20" s="1">
        <v>8717</v>
      </c>
      <c r="B20" s="1" t="s">
        <v>6</v>
      </c>
      <c r="C20" s="1">
        <v>1892</v>
      </c>
      <c r="D20" s="1">
        <v>37</v>
      </c>
      <c r="E20" s="1">
        <v>4</v>
      </c>
    </row>
    <row r="21" spans="1:5" x14ac:dyDescent="0.25">
      <c r="A21" s="1">
        <v>9812</v>
      </c>
      <c r="B21" s="1" t="s">
        <v>8</v>
      </c>
      <c r="C21" s="1">
        <v>1874</v>
      </c>
      <c r="D21" s="1">
        <v>105</v>
      </c>
      <c r="E21" s="1">
        <v>4</v>
      </c>
    </row>
    <row r="22" spans="1:5" x14ac:dyDescent="0.25">
      <c r="A22" s="1">
        <v>9035</v>
      </c>
      <c r="B22" s="1" t="s">
        <v>6</v>
      </c>
      <c r="C22" s="1">
        <v>1886</v>
      </c>
      <c r="D22" s="1">
        <v>16</v>
      </c>
      <c r="E22" s="1">
        <v>4</v>
      </c>
    </row>
    <row r="25" spans="1:5" ht="15.75" thickBot="1" x14ac:dyDescent="0.3"/>
    <row r="26" spans="1:5" ht="15.75" thickBot="1" x14ac:dyDescent="0.3">
      <c r="A26" s="13">
        <v>5345</v>
      </c>
      <c r="B26" s="13" t="s">
        <v>6</v>
      </c>
      <c r="C26" s="13">
        <v>1969</v>
      </c>
      <c r="D26" s="13">
        <v>63</v>
      </c>
      <c r="E26" s="13">
        <v>4</v>
      </c>
    </row>
    <row r="27" spans="1:5" ht="15.75" thickBot="1" x14ac:dyDescent="0.3">
      <c r="A27" s="13">
        <v>5410</v>
      </c>
      <c r="B27" s="13" t="s">
        <v>6</v>
      </c>
      <c r="C27" s="13">
        <v>1967</v>
      </c>
      <c r="D27" s="13">
        <v>297</v>
      </c>
      <c r="E27" s="13">
        <v>4</v>
      </c>
    </row>
    <row r="28" spans="1:5" ht="15.75" thickBot="1" x14ac:dyDescent="0.3">
      <c r="A28" s="13">
        <v>5303</v>
      </c>
      <c r="B28" s="13" t="s">
        <v>6</v>
      </c>
      <c r="C28" s="13">
        <v>1970</v>
      </c>
      <c r="D28" s="13">
        <v>44</v>
      </c>
      <c r="E28" s="13">
        <v>4</v>
      </c>
    </row>
    <row r="29" spans="1:5" ht="15.75" thickBot="1" x14ac:dyDescent="0.3">
      <c r="A29" s="13">
        <v>4346</v>
      </c>
      <c r="B29" s="13" t="s">
        <v>11</v>
      </c>
      <c r="C29" s="13">
        <v>2004</v>
      </c>
      <c r="D29" s="13">
        <v>34</v>
      </c>
      <c r="E29" s="13">
        <v>5</v>
      </c>
    </row>
  </sheetData>
  <autoFilter ref="A1:E22" xr:uid="{3E57A36A-742B-42EB-95D7-CD260C7906FC}">
    <filterColumn colId="0">
      <customFilters and="1">
        <customFilter operator="greaterThanOrEqual" val="8001"/>
        <customFilter operator="lessThanOrEqual" val="10000"/>
      </customFilters>
    </filterColumn>
    <filterColumn colId="2">
      <customFilters and="1">
        <customFilter operator="greaterThanOrEqual" val="1800"/>
        <customFilter operator="lessThanOrEqual" val="5000"/>
      </customFilters>
    </filterColumn>
    <filterColumn colId="3">
      <customFilters and="1">
        <customFilter operator="greaterThanOrEqual" val="1"/>
        <customFilter operator="lessThanOrEqual" val="200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3E8B-4E3D-41E9-9668-10A10D048ACD}">
  <dimension ref="A1:N197"/>
  <sheetViews>
    <sheetView topLeftCell="M1" workbookViewId="0">
      <selection activeCell="H94" sqref="H94"/>
    </sheetView>
  </sheetViews>
  <sheetFormatPr baseColWidth="10" defaultColWidth="9.140625" defaultRowHeight="15" x14ac:dyDescent="0.25"/>
  <cols>
    <col min="1" max="1" width="11.85546875" style="1" customWidth="1"/>
    <col min="2" max="5" width="13.7109375" style="1" customWidth="1"/>
    <col min="6" max="6" width="11" style="1" customWidth="1"/>
    <col min="7" max="7" width="14.5703125" style="1" customWidth="1"/>
    <col min="8" max="12" width="7.7109375" style="1" customWidth="1"/>
    <col min="13" max="14" width="12.7109375" style="1" customWidth="1"/>
    <col min="15" max="16384" width="9.140625" style="1"/>
  </cols>
  <sheetData>
    <row r="1" spans="1:14" x14ac:dyDescent="0.25">
      <c r="A1" s="1">
        <v>0</v>
      </c>
      <c r="B1" s="1">
        <v>3</v>
      </c>
      <c r="C1" s="1">
        <v>5</v>
      </c>
      <c r="D1" s="1">
        <v>7</v>
      </c>
      <c r="E1" s="1">
        <v>1</v>
      </c>
    </row>
    <row r="2" spans="1:14" ht="28.5" customHeight="1" x14ac:dyDescent="0.25">
      <c r="A2" s="3" t="s">
        <v>0</v>
      </c>
      <c r="B2" s="3" t="s">
        <v>2</v>
      </c>
      <c r="C2" s="3" t="s">
        <v>3</v>
      </c>
      <c r="D2" s="3" t="s">
        <v>4</v>
      </c>
      <c r="E2" s="3" t="s">
        <v>1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</row>
    <row r="3" spans="1:14" x14ac:dyDescent="0.25">
      <c r="A3" s="1">
        <v>1642</v>
      </c>
      <c r="B3" s="1" t="s">
        <v>6</v>
      </c>
      <c r="C3" s="1">
        <v>2143</v>
      </c>
      <c r="D3" s="1">
        <v>50</v>
      </c>
      <c r="E3" s="1">
        <v>5</v>
      </c>
      <c r="G3" s="3" t="s">
        <v>13</v>
      </c>
      <c r="H3" s="1">
        <f>COUNTA(E3:E23)</f>
        <v>21</v>
      </c>
      <c r="I3" s="1">
        <f>COUNTIF(E3:E23,7)</f>
        <v>1</v>
      </c>
      <c r="J3" s="1">
        <f>COUNTIF(E3:E23,6)</f>
        <v>1</v>
      </c>
      <c r="K3" s="1">
        <f>COUNTIF(E3:E23,5)</f>
        <v>8</v>
      </c>
      <c r="L3" s="1">
        <f>COUNTIF(E3:E23,4)</f>
        <v>11</v>
      </c>
      <c r="M3" s="1">
        <f xml:space="preserve"> -((I3/H3) * IMLOG2(I3/H3) + (J3/H3) * IMLOG2(J3/H3) + (K3/H3) * IMLOG2(K3/H3)  +  (L3/H3) * IMLOG2(L3/H3))</f>
        <v>1.4373770511116044</v>
      </c>
    </row>
    <row r="4" spans="1:14" x14ac:dyDescent="0.25">
      <c r="A4" s="1">
        <v>8323</v>
      </c>
      <c r="B4" s="1" t="s">
        <v>6</v>
      </c>
      <c r="C4" s="1">
        <v>1899</v>
      </c>
      <c r="D4" s="1">
        <v>20</v>
      </c>
      <c r="E4" s="1">
        <v>4</v>
      </c>
      <c r="G4" s="3" t="s">
        <v>20</v>
      </c>
      <c r="H4" s="2"/>
      <c r="I4" s="2"/>
      <c r="J4" s="2"/>
      <c r="K4" s="2"/>
      <c r="L4" s="2"/>
      <c r="M4" s="2"/>
      <c r="N4" s="1">
        <f>M3 - ((H5/H3) *M5) - ((H6/H3) *M6) - ((H7/H3) *M7) - ((H8/H3) *M8) - ((H9/H3) *M9)</f>
        <v>1.4373770511116044</v>
      </c>
    </row>
    <row r="5" spans="1:14" x14ac:dyDescent="0.25">
      <c r="A5" s="1">
        <v>8225</v>
      </c>
      <c r="B5" s="1" t="s">
        <v>6</v>
      </c>
      <c r="C5" s="1">
        <v>1901</v>
      </c>
      <c r="D5" s="1">
        <v>75</v>
      </c>
      <c r="E5" s="1">
        <v>4</v>
      </c>
      <c r="G5" s="1" t="s">
        <v>21</v>
      </c>
      <c r="H5" s="1">
        <f>COUNTIFS(A3:A23,"&lt;=2000",A3:A23,"&gt;=1")</f>
        <v>4</v>
      </c>
      <c r="I5" s="1">
        <f>COUNTIFS(A3:A23,"&gt;=1",A3:A23,"&lt;= 2000",E3:E23,"7")</f>
        <v>1</v>
      </c>
      <c r="J5" s="1">
        <f>COUNTIFS(A3:A23,"&gt;=1",A3:A23,"&lt;= 2000",E3:E23,"6")</f>
        <v>1</v>
      </c>
      <c r="K5" s="1">
        <f>COUNTIFS(A3:A23,"&gt;=1",A3:A23,"&lt;= 2000",E3:E23,"5")</f>
        <v>2</v>
      </c>
      <c r="L5" s="1">
        <f>COUNTIFS(A3:A23,"&gt;=1",A3:A23,"&lt;= 2000",E3:E23,"4")</f>
        <v>0</v>
      </c>
      <c r="M5" s="1">
        <f xml:space="preserve">  IFERROR( -((I5/H5) * IMLOG2(I5/H5) + (J5/H5) * IMLOG2(J5/H5) + (K5/H5) * IMLOG2(K5/H5) +  (L5/H5) * IMLOG2(L5/H5)), 0)</f>
        <v>0</v>
      </c>
    </row>
    <row r="6" spans="1:14" x14ac:dyDescent="0.25">
      <c r="A6" s="1">
        <v>2378</v>
      </c>
      <c r="B6" s="1" t="s">
        <v>6</v>
      </c>
      <c r="C6" s="1">
        <v>2086</v>
      </c>
      <c r="D6" s="1">
        <v>188</v>
      </c>
      <c r="E6" s="1">
        <v>5</v>
      </c>
      <c r="G6" s="1" t="s">
        <v>22</v>
      </c>
      <c r="H6" s="1">
        <f>COUNTIFS(A3:A23,"&lt;=4000",A3:A23,"&gt;=2001")</f>
        <v>5</v>
      </c>
      <c r="I6" s="1">
        <f>COUNTIFS(A3:A23,"&gt;=2001",A3:A23,"&lt;= 4000",E3:E23,"7")</f>
        <v>0</v>
      </c>
      <c r="J6" s="1">
        <f>COUNTIFS(A3:A23,"&gt;=2001",A3:A23,"&lt;= 4000",E3:E23,"6")</f>
        <v>0</v>
      </c>
      <c r="K6" s="1">
        <f>COUNTIFS(A3:A23,"&gt;=2001",A3:A23,"&lt;= 4000",E3:E23,"5")</f>
        <v>5</v>
      </c>
      <c r="L6" s="1">
        <f>COUNTIFS(A3:A23,"&gt;=2001",A3:A23,"&lt;= 4000",E3:E23,"4")</f>
        <v>0</v>
      </c>
      <c r="M6" s="1">
        <f>IFERROR( -((I6/H6) * IMLOG2(I6/H6) + (J6/H6) * IMLOG2(J6/H6) + (K6/H6) * IMLOG2(K6/H6) +  (L6/H6) * IMLOG2(L6/H6)),0)</f>
        <v>0</v>
      </c>
    </row>
    <row r="7" spans="1:14" x14ac:dyDescent="0.25">
      <c r="A7" s="1">
        <v>5345</v>
      </c>
      <c r="B7" s="1" t="s">
        <v>6</v>
      </c>
      <c r="C7" s="1">
        <v>1969</v>
      </c>
      <c r="D7" s="1">
        <v>63</v>
      </c>
      <c r="E7" s="1">
        <v>4</v>
      </c>
      <c r="G7" s="1" t="s">
        <v>25</v>
      </c>
      <c r="H7" s="1">
        <f>COUNTIFS(A3:A23,"&lt;=6000",A3:A23,"&gt;=4001")</f>
        <v>4</v>
      </c>
      <c r="I7" s="1">
        <f>COUNTIFS(A3:A23,"&gt;=4001",A3:A23,"&lt;= 6000",E3:E23,"7")</f>
        <v>0</v>
      </c>
      <c r="J7" s="1">
        <f>COUNTIFS(A3:A23,"&gt;=4001",A3:A23,"&lt;= 6000",E3:E23,"6")</f>
        <v>0</v>
      </c>
      <c r="K7" s="1">
        <f>COUNTIFS(A3:A23,"&gt;=4001",A3:A23,"&lt;= 6000",E3:E23,"5")</f>
        <v>1</v>
      </c>
      <c r="L7" s="1">
        <f>COUNTIFS(A3:A23,"&gt;=4001",A3:A23,"&lt;= 6000",E3:E23,"4")</f>
        <v>3</v>
      </c>
      <c r="M7" s="1">
        <f xml:space="preserve"> IFERROR(-((I7/H7) * IMLOG2(I7/H7) + (J7/H7) * IMLOG2(J7/H7) + (K7/H7) * IMLOG2(K7/H7) +  (L7/H7) * IMLOG2(L7/H7)),0)</f>
        <v>0</v>
      </c>
    </row>
    <row r="8" spans="1:14" x14ac:dyDescent="0.25">
      <c r="A8" s="1">
        <v>2532</v>
      </c>
      <c r="B8" s="1" t="s">
        <v>6</v>
      </c>
      <c r="C8" s="1">
        <v>2077</v>
      </c>
      <c r="D8" s="1">
        <v>352</v>
      </c>
      <c r="E8" s="1">
        <v>5</v>
      </c>
      <c r="G8" s="1" t="s">
        <v>24</v>
      </c>
      <c r="H8" s="1">
        <f>COUNTIFS(A3:A23,"&lt;=8000",A3:A23,"&gt;=6001")</f>
        <v>1</v>
      </c>
      <c r="I8" s="1">
        <f>COUNTIFS(A3:A23,"&gt;=6001",A3:A23,"&lt;= 8000",E3:E23,"7")</f>
        <v>0</v>
      </c>
      <c r="J8" s="1">
        <f>COUNTIFS(A3:A23,"&gt;=6001",A3:A23,"&lt;= 8000",E3:E23,"6")</f>
        <v>0</v>
      </c>
      <c r="K8" s="1">
        <f>COUNTIFS(A3:A23,"&gt;=6001",A3:A23,"&lt;= 8000",E3:E23,"5")</f>
        <v>0</v>
      </c>
      <c r="L8" s="1">
        <f>COUNTIFS(A3:A23,"&gt;=6001",A3:A23,"&lt;= 8000",E3:E23,"4")</f>
        <v>1</v>
      </c>
      <c r="M8" s="1">
        <f>IFERROR( -((I8/H8) * IMLOG2(I8/H8) + (J8/H8) * IMLOG2(J8/H8) + (K8/H8) * IMLOG2(K8/H8) +  (L8/H8) * IMLOG2(L8/H8)),0)</f>
        <v>0</v>
      </c>
    </row>
    <row r="9" spans="1:14" x14ac:dyDescent="0.25">
      <c r="A9" s="1">
        <v>2984</v>
      </c>
      <c r="B9" s="1" t="s">
        <v>6</v>
      </c>
      <c r="C9" s="1">
        <v>2054</v>
      </c>
      <c r="D9" s="1">
        <v>207</v>
      </c>
      <c r="E9" s="1">
        <v>5</v>
      </c>
      <c r="G9" s="1" t="s">
        <v>23</v>
      </c>
      <c r="H9" s="1">
        <f>COUNTIFS(A3:A23,"&lt;=15000",A3:A23,"&gt;=8001")</f>
        <v>7</v>
      </c>
      <c r="I9" s="1">
        <f>COUNTIFS(A3:A23,"&gt;=8001",A3:A23,"&lt;= 15000",E3:E23,"7")</f>
        <v>0</v>
      </c>
      <c r="J9" s="1">
        <f>COUNTIFS(A3:A23,"&gt;=8001",A3:A23,"&lt;= 15000",E3:E23,"6")</f>
        <v>0</v>
      </c>
      <c r="K9" s="1">
        <f>COUNTIFS(A3:A23,"&gt;=8001",A3:A23,"&lt;= 15000",E3:E23,"5")</f>
        <v>0</v>
      </c>
      <c r="L9" s="1">
        <f>COUNTIFS(A3:A23,"&gt;=8001",A3:A23,"&lt;= 15000",E3:E23,"4")</f>
        <v>7</v>
      </c>
      <c r="M9" s="1">
        <f>IFERROR( -((I9/H9) * IMLOG2(I9/H9) + (J9/H9) * IMLOG2(J9/H9) + (K9/H9) * IMLOG2(K9/H9) +  (L9/H9) * IMLOG2(L9/H9)),0)</f>
        <v>0</v>
      </c>
    </row>
    <row r="10" spans="1:14" x14ac:dyDescent="0.25">
      <c r="A10" s="1">
        <v>527</v>
      </c>
      <c r="B10" s="1" t="s">
        <v>7</v>
      </c>
      <c r="C10" s="1">
        <v>2312</v>
      </c>
      <c r="D10" s="1">
        <v>127</v>
      </c>
      <c r="E10" s="1">
        <v>6</v>
      </c>
      <c r="G10" s="3" t="s">
        <v>26</v>
      </c>
      <c r="H10" s="2"/>
      <c r="I10" s="2"/>
      <c r="J10" s="2"/>
      <c r="K10" s="2"/>
      <c r="L10" s="2"/>
      <c r="M10" s="2"/>
      <c r="N10" s="1">
        <f>M3 - ((H11/H3) *M11) - ((H12/H3) *M12) - ((H13/H3) *M13) - ((H14/H3) *M14) - ((H15/H3) *M15) - ((H16/H3) *M16)</f>
        <v>1.4373770511116044</v>
      </c>
    </row>
    <row r="11" spans="1:14" x14ac:dyDescent="0.25">
      <c r="A11" s="1">
        <v>30</v>
      </c>
      <c r="B11" s="1" t="s">
        <v>8</v>
      </c>
      <c r="C11" s="1">
        <v>2709</v>
      </c>
      <c r="D11" s="1">
        <v>176</v>
      </c>
      <c r="E11" s="1">
        <v>7</v>
      </c>
      <c r="G11" s="1" t="s">
        <v>6</v>
      </c>
      <c r="H11" s="1">
        <f>COUNTIFS(B3:B23,G11)</f>
        <v>14</v>
      </c>
      <c r="I11" s="1">
        <f>COUNTIFS(B3:B23,G11,E3:E23,"7")</f>
        <v>0</v>
      </c>
      <c r="J11" s="1">
        <f>COUNTIFS(B3:B23,G11,E3:E23,"6")</f>
        <v>0</v>
      </c>
      <c r="K11" s="1">
        <f>COUNTIFS(B3:B23,G11,E3:E23,"5")</f>
        <v>5</v>
      </c>
      <c r="L11" s="1">
        <f>COUNTIFS(B3:B23,G11,E3:E23,"4")</f>
        <v>9</v>
      </c>
      <c r="M11" s="1">
        <f t="shared" ref="M11:M16" si="0" xml:space="preserve">  IFERROR( -((I11/H11) * IMLOG2(I11/H11) + (J11/H11) * IMLOG2(J11/H11) + (K11/H11) * IMLOG2(K11/H11) +  (L11/H11) * IMLOG2(L11/H11)), 0)</f>
        <v>0</v>
      </c>
    </row>
    <row r="12" spans="1:14" x14ac:dyDescent="0.25">
      <c r="A12" s="1">
        <v>1280</v>
      </c>
      <c r="B12" s="1" t="s">
        <v>9</v>
      </c>
      <c r="C12" s="1">
        <v>2185</v>
      </c>
      <c r="D12" s="1">
        <v>900</v>
      </c>
      <c r="E12" s="1">
        <v>5</v>
      </c>
      <c r="G12" s="1" t="s">
        <v>7</v>
      </c>
      <c r="H12" s="1">
        <f>COUNTIFS(B3:B23,G12)</f>
        <v>1</v>
      </c>
      <c r="I12" s="1">
        <f>COUNTIFS(B3:B23,G12,E3:E23,"7")</f>
        <v>0</v>
      </c>
      <c r="J12" s="1">
        <f>COUNTIFS(B3:B23,G12,E3:E23,"6")</f>
        <v>1</v>
      </c>
      <c r="K12" s="1">
        <f>COUNTIFS(B3:B23,G12,E3:E23,"5")</f>
        <v>0</v>
      </c>
      <c r="L12" s="1">
        <f>COUNTIFS(B3:B23,G12,E3:E23,"4")</f>
        <v>0</v>
      </c>
      <c r="M12" s="1">
        <f t="shared" si="0"/>
        <v>0</v>
      </c>
    </row>
    <row r="13" spans="1:14" x14ac:dyDescent="0.25">
      <c r="A13" s="1">
        <v>8609</v>
      </c>
      <c r="B13" s="1" t="s">
        <v>6</v>
      </c>
      <c r="C13" s="1">
        <v>1894</v>
      </c>
      <c r="D13" s="1">
        <v>59</v>
      </c>
      <c r="E13" s="1">
        <v>4</v>
      </c>
      <c r="G13" s="1" t="s">
        <v>8</v>
      </c>
      <c r="H13" s="1">
        <f>COUNTIFS(B3:B23,G13)</f>
        <v>3</v>
      </c>
      <c r="I13" s="1">
        <f>COUNTIFS(B3:B23,G13,E3:E23,"7")</f>
        <v>1</v>
      </c>
      <c r="J13" s="1">
        <f>COUNTIFS(B3:B23,G13,E3:E23,"6")</f>
        <v>0</v>
      </c>
      <c r="K13" s="1">
        <f>COUNTIFS(B3:B23,G13,E3:E23,"5")</f>
        <v>0</v>
      </c>
      <c r="L13" s="1">
        <f>COUNTIFS(B3:B23,G13,E3:E23,"4")</f>
        <v>2</v>
      </c>
      <c r="M13" s="1">
        <f t="shared" si="0"/>
        <v>0</v>
      </c>
    </row>
    <row r="14" spans="1:14" x14ac:dyDescent="0.25">
      <c r="A14" s="1">
        <v>2984</v>
      </c>
      <c r="B14" s="1" t="s">
        <v>10</v>
      </c>
      <c r="C14" s="1">
        <v>2054</v>
      </c>
      <c r="D14" s="1">
        <v>258</v>
      </c>
      <c r="E14" s="1">
        <v>5</v>
      </c>
      <c r="G14" s="1" t="s">
        <v>9</v>
      </c>
      <c r="H14" s="1">
        <f>COUNTIFS(B3:B23,G14)</f>
        <v>1</v>
      </c>
      <c r="I14" s="1">
        <f>COUNTIFS(B3:B23,G14,E3:E23,"7")</f>
        <v>0</v>
      </c>
      <c r="J14" s="1">
        <f>COUNTIFS(B3:B23,G14,E3:E23,"6")</f>
        <v>0</v>
      </c>
      <c r="K14" s="1">
        <f>COUNTIFS(B3:B23,G14,E3:E23,"5")</f>
        <v>1</v>
      </c>
      <c r="L14" s="1">
        <f>COUNTIFS(B3:B23,G14,E3:E23,"4")</f>
        <v>0</v>
      </c>
      <c r="M14" s="1">
        <f t="shared" si="0"/>
        <v>0</v>
      </c>
    </row>
    <row r="15" spans="1:14" x14ac:dyDescent="0.25">
      <c r="A15" s="1">
        <v>5410</v>
      </c>
      <c r="B15" s="1" t="s">
        <v>6</v>
      </c>
      <c r="C15" s="1">
        <v>1967</v>
      </c>
      <c r="D15" s="1">
        <v>297</v>
      </c>
      <c r="E15" s="1">
        <v>4</v>
      </c>
      <c r="G15" s="1" t="s">
        <v>10</v>
      </c>
      <c r="H15" s="1">
        <f>COUNTIFS(B3:B23,G15)</f>
        <v>1</v>
      </c>
      <c r="I15" s="1">
        <f>COUNTIFS(B3:B23,G15,E3:E23,"7")</f>
        <v>0</v>
      </c>
      <c r="J15" s="1">
        <f>COUNTIFS(B3:B23,G15,E3:E23,"6")</f>
        <v>0</v>
      </c>
      <c r="K15" s="1">
        <f>COUNTIFS(B3:B23,G15,E3:E23,"5")</f>
        <v>1</v>
      </c>
      <c r="L15" s="1">
        <f>COUNTIFS(B3:B23,G15,E3:E23,"4")</f>
        <v>0</v>
      </c>
      <c r="M15" s="1">
        <f t="shared" si="0"/>
        <v>0</v>
      </c>
    </row>
    <row r="16" spans="1:14" x14ac:dyDescent="0.25">
      <c r="A16" s="1">
        <v>3521</v>
      </c>
      <c r="B16" s="1" t="s">
        <v>6</v>
      </c>
      <c r="C16" s="1">
        <v>2033</v>
      </c>
      <c r="D16" s="1">
        <v>133</v>
      </c>
      <c r="E16" s="1">
        <v>5</v>
      </c>
      <c r="G16" s="1" t="s">
        <v>11</v>
      </c>
      <c r="H16" s="1">
        <f>COUNTIFS(B3:B23,G16)</f>
        <v>1</v>
      </c>
      <c r="I16" s="1">
        <f>COUNTIFS(B3:B23,G16,E3:E23,"7")</f>
        <v>0</v>
      </c>
      <c r="J16" s="1">
        <f>COUNTIFS(B3:B23,G16,E3:E23,"6")</f>
        <v>0</v>
      </c>
      <c r="K16" s="1">
        <f>COUNTIFS(B3:B23,G16,E3:E23,"5")</f>
        <v>1</v>
      </c>
      <c r="L16" s="1">
        <f>COUNTIFS(B3:B23,G16,E3:E23,"4")</f>
        <v>0</v>
      </c>
      <c r="M16" s="1">
        <f t="shared" si="0"/>
        <v>0</v>
      </c>
    </row>
    <row r="17" spans="1:14" x14ac:dyDescent="0.25">
      <c r="A17" s="1">
        <v>7116</v>
      </c>
      <c r="B17" s="1" t="s">
        <v>6</v>
      </c>
      <c r="C17" s="1">
        <v>1923</v>
      </c>
      <c r="D17" s="1">
        <v>68</v>
      </c>
      <c r="E17" s="1">
        <v>4</v>
      </c>
      <c r="G17" s="3" t="s">
        <v>27</v>
      </c>
      <c r="H17" s="2"/>
      <c r="I17" s="2"/>
      <c r="J17" s="2"/>
      <c r="K17" s="2"/>
      <c r="L17" s="2"/>
      <c r="M17" s="2"/>
      <c r="N17" s="1">
        <f>M3 - ((H18/H3) *M18) - ((H19/H3) *M19) - ((H20/H3) *M20) - ((H21/H3) *M21)</f>
        <v>1.0703893278913981</v>
      </c>
    </row>
    <row r="18" spans="1:14" x14ac:dyDescent="0.25">
      <c r="A18" s="1">
        <v>5303</v>
      </c>
      <c r="B18" s="1" t="s">
        <v>6</v>
      </c>
      <c r="C18" s="1">
        <v>1970</v>
      </c>
      <c r="D18" s="1">
        <v>44</v>
      </c>
      <c r="E18" s="1">
        <v>4</v>
      </c>
      <c r="F18" s="1" t="s">
        <v>35</v>
      </c>
      <c r="G18" s="1" t="s">
        <v>28</v>
      </c>
      <c r="H18" s="1">
        <f>COUNTIFS(C3:C23,"&gt;= 1",C3:C23,"&lt;1400")</f>
        <v>0</v>
      </c>
      <c r="I18" s="1">
        <f>COUNTIFS(C3:C23,"&gt;= 1",C3:C23,"&lt;1400",E3:E23,"7")</f>
        <v>0</v>
      </c>
      <c r="J18" s="1">
        <f>COUNTIFS(C3:C23,"&gt;= 1",C3:C23,"&lt;1400",E3:E23,"6")</f>
        <v>0</v>
      </c>
      <c r="K18" s="1">
        <f>COUNTIFS(C3:C23,"&gt;= 1",C3:C23,"&lt;1400",E3:E23,"5")</f>
        <v>0</v>
      </c>
      <c r="L18" s="1">
        <f>COUNTIFS(C3:C23,"&gt;= 1",C3:C23,"&lt;1400",E3:E23,"4")</f>
        <v>0</v>
      </c>
      <c r="M18" s="1">
        <f xml:space="preserve">  IFERROR( -((I18/H18) * IMLOG2(I18/H18) + (J18/H18) * IMLOG2(J18/H18) + (K18/H18) * IMLOG2(K18/H18) +  (L18/H18) * IMLOG2(L18/H18)), 0)</f>
        <v>0</v>
      </c>
    </row>
    <row r="19" spans="1:14" x14ac:dyDescent="0.25">
      <c r="A19" s="1">
        <v>9542</v>
      </c>
      <c r="B19" s="1" t="s">
        <v>8</v>
      </c>
      <c r="C19" s="1">
        <v>1878</v>
      </c>
      <c r="D19" s="1">
        <v>19</v>
      </c>
      <c r="E19" s="1">
        <v>4</v>
      </c>
      <c r="F19" s="1" t="s">
        <v>34</v>
      </c>
      <c r="G19" s="1" t="s">
        <v>29</v>
      </c>
      <c r="H19" s="1">
        <f>COUNTIFS(C3:C23,"&gt;= 1400",C3:C23,"&lt;1600")</f>
        <v>0</v>
      </c>
      <c r="I19" s="1">
        <f>COUNTIFS(C3:C23,"&gt;= 1400",C3:C23,"&lt;1600",E3:E23,"7")</f>
        <v>0</v>
      </c>
      <c r="J19" s="1">
        <f>COUNTIFS(C3:C23,"&gt;= 1400",C3:C23,"&lt;1600",E3:E23,"6")</f>
        <v>0</v>
      </c>
      <c r="K19" s="1">
        <f>COUNTIFS(C3:C23,"&gt;= 1400",C3:C23,"&lt;1600",E3:E23,"5")</f>
        <v>0</v>
      </c>
      <c r="L19" s="1">
        <f>COUNTIFS(C3:C23,"&gt;= 1400",C3:C23,"&lt;1600",E3:E23,"4")</f>
        <v>0</v>
      </c>
      <c r="M19" s="1">
        <f t="shared" ref="M19:M21" si="1" xml:space="preserve">  IFERROR( -((I19/H19) * IMLOG2(I19/H19) + (J19/H19) * IMLOG2(J19/H19) + (K19/H19) * IMLOG2(K19/H19) +  (L19/H19) * IMLOG2(L19/H19)), 0)</f>
        <v>0</v>
      </c>
    </row>
    <row r="20" spans="1:14" x14ac:dyDescent="0.25">
      <c r="A20" s="1">
        <v>4346</v>
      </c>
      <c r="B20" s="1" t="s">
        <v>11</v>
      </c>
      <c r="C20" s="1">
        <v>2004</v>
      </c>
      <c r="D20" s="1">
        <v>34</v>
      </c>
      <c r="E20" s="1">
        <v>5</v>
      </c>
      <c r="F20" s="1" t="s">
        <v>33</v>
      </c>
      <c r="G20" s="1" t="s">
        <v>30</v>
      </c>
      <c r="H20" s="1">
        <f>COUNTIFS(C3:C23,"&gt;= 1600",C3:C23,"&lt;2000")</f>
        <v>11</v>
      </c>
      <c r="I20" s="1">
        <f>COUNTIFS(C3:C23,"&gt;= 1600",C3:C23,"&lt;1800",E3:E23,"7")</f>
        <v>0</v>
      </c>
      <c r="J20" s="1">
        <f>COUNTIFS(C3:C23,"&gt;= 1600",C3:C23,"&lt;1800",E3:E23,"6")</f>
        <v>0</v>
      </c>
      <c r="K20" s="1">
        <f>COUNTIFS(C3:C23,"&gt;= 1600",C3:C23,"&lt;1800",E3:E23,"5")</f>
        <v>0</v>
      </c>
      <c r="L20" s="1">
        <f>COUNTIFS(C3:C23,"&gt;= 1600",C3:C23,"&lt;1800",E3:E23,"4")</f>
        <v>0</v>
      </c>
      <c r="M20" s="1">
        <f t="shared" si="1"/>
        <v>0</v>
      </c>
    </row>
    <row r="21" spans="1:14" x14ac:dyDescent="0.25">
      <c r="A21" s="1">
        <v>8717</v>
      </c>
      <c r="B21" s="1" t="s">
        <v>6</v>
      </c>
      <c r="C21" s="1">
        <v>1892</v>
      </c>
      <c r="D21" s="1">
        <v>37</v>
      </c>
      <c r="E21" s="1">
        <v>4</v>
      </c>
      <c r="F21" s="1" t="s">
        <v>32</v>
      </c>
      <c r="G21" s="1" t="s">
        <v>31</v>
      </c>
      <c r="H21" s="1">
        <f>COUNTIFS(C3:C23,"&gt;= 2000",C3:C23,"&lt;5000")</f>
        <v>10</v>
      </c>
      <c r="I21" s="1">
        <f>COUNTIFS(C3:C23,"&gt;= 1800",C3:C23,"&lt;5000",E3:E23,"7")</f>
        <v>1</v>
      </c>
      <c r="J21" s="1">
        <f>COUNTIFS(C3:C23,"&gt;= 1800",C3:C23,"&lt;5000",E3:E23,"6")</f>
        <v>1</v>
      </c>
      <c r="K21" s="1">
        <f>COUNTIFS(C3:C23,"&gt;= 1800",C3:C23,"&lt;5000",E3:E23,"5")</f>
        <v>8</v>
      </c>
      <c r="L21" s="1">
        <f>COUNTIFS(C3:C23,"&gt;= 1800",C3:C23,"&lt;5000",E3:E23,"4")</f>
        <v>11</v>
      </c>
      <c r="M21" s="1">
        <f t="shared" si="1"/>
        <v>0.77067421876243314</v>
      </c>
    </row>
    <row r="22" spans="1:14" x14ac:dyDescent="0.25">
      <c r="A22" s="1">
        <v>9812</v>
      </c>
      <c r="B22" s="1" t="s">
        <v>8</v>
      </c>
      <c r="C22" s="1">
        <v>1874</v>
      </c>
      <c r="D22" s="1">
        <v>105</v>
      </c>
      <c r="E22" s="1">
        <v>4</v>
      </c>
      <c r="G22" s="3" t="s">
        <v>36</v>
      </c>
      <c r="H22" s="2"/>
      <c r="I22" s="2"/>
      <c r="J22" s="2"/>
      <c r="K22" s="2"/>
      <c r="L22" s="2"/>
      <c r="M22" s="2"/>
      <c r="N22" s="4">
        <f>M3 - ((H23/H3) *M23) - ((H24/H3) *M24) - ((H25/H3) *M25) - ((H26/H3) *M26) - ((H27/H3) *M27)</f>
        <v>0.35258090581987189</v>
      </c>
    </row>
    <row r="23" spans="1:14" x14ac:dyDescent="0.25">
      <c r="A23" s="1">
        <v>9035</v>
      </c>
      <c r="B23" s="1" t="s">
        <v>6</v>
      </c>
      <c r="C23" s="1">
        <v>1886</v>
      </c>
      <c r="D23" s="1">
        <v>16</v>
      </c>
      <c r="E23" s="1">
        <v>4</v>
      </c>
      <c r="G23" s="5" t="s">
        <v>37</v>
      </c>
      <c r="H23" s="1">
        <f>COUNTIFS(D3:D23,"&gt;= 1",D3:D23,"&lt;200")</f>
        <v>16</v>
      </c>
      <c r="I23" s="1">
        <f>COUNTIFS(D3:D23,"&gt;= 1",D3:D23,"&lt;200",E3:E23,"7")</f>
        <v>1</v>
      </c>
      <c r="J23" s="1">
        <f>COUNTIFS(D3:D23,"&gt;= 1",D3:D23,"&lt;200",E3:E23,"6")</f>
        <v>1</v>
      </c>
      <c r="K23" s="1">
        <f>COUNTIFS(D3:D23,"&gt;= 1",D3:D23,"&lt;200",E3:E23,"5")</f>
        <v>4</v>
      </c>
      <c r="L23" s="1">
        <f>COUNTIFS(D3:D23,"&gt;= 1",D3:D23,"&lt;200",E3:E23,"4")</f>
        <v>10</v>
      </c>
      <c r="M23" s="4">
        <f xml:space="preserve">  IFERROR( -((I23/H23) * IMLOG2(I23/H23) + (J23/H23) * IMLOG2(J23/H23) + (K23/H23) * IMLOG2(K23/H23) +  (L23/H23) * IMLOG2(L23/H23)), 0)</f>
        <v>1.4237949406953989</v>
      </c>
    </row>
    <row r="24" spans="1:14" x14ac:dyDescent="0.25">
      <c r="G24" s="1" t="s">
        <v>38</v>
      </c>
      <c r="H24" s="1">
        <f>COUNTIFS(D3:D23,"&gt;= 200",D3:D23,"&lt;400")</f>
        <v>4</v>
      </c>
      <c r="I24" s="1">
        <f>COUNTIFS(D3:D23,"&gt;= 200",D3:D23,"&lt;400",E3:E23,"7")</f>
        <v>0</v>
      </c>
      <c r="J24" s="1">
        <f>COUNTIFS(D3:D23,"&gt;= 200",D3:D23,"&lt;400",E3:E23,"6")</f>
        <v>0</v>
      </c>
      <c r="K24" s="1">
        <f>COUNTIFS(D3:D23,"&gt;= 200",D3:D23,"&lt;400",E3:E23,"5")</f>
        <v>3</v>
      </c>
      <c r="L24" s="1">
        <f>COUNTIFS(D3:D23,"&gt;= 200",D3:D23,"&lt;400",E3:E23,"4")</f>
        <v>1</v>
      </c>
      <c r="M24" s="1">
        <f t="shared" ref="M24:M27" si="2" xml:space="preserve">  IFERROR( -((I24/H24) * IMLOG2(I24/H24) + (J24/H24) * IMLOG2(J24/H24) + (K24/H24) * IMLOG2(K24/H24) +  (L24/H24) * IMLOG2(L24/H24)), 0)</f>
        <v>0</v>
      </c>
    </row>
    <row r="25" spans="1:14" x14ac:dyDescent="0.25">
      <c r="G25" s="1" t="s">
        <v>39</v>
      </c>
      <c r="H25" s="1">
        <f>COUNTIFS(D3:D23,"&gt;= 400",D3:D23,"&lt;600")</f>
        <v>0</v>
      </c>
      <c r="I25" s="1">
        <f>COUNTIFS(D3:D23,"&gt;= 400",D3:D23,"&lt;600",E3:E23,"7")</f>
        <v>0</v>
      </c>
      <c r="J25" s="1">
        <f>COUNTIFS(D3:D23,"&gt;= 400",D3:D23,"&lt;600",E3:E23,"6")</f>
        <v>0</v>
      </c>
      <c r="K25" s="1">
        <f>COUNTIFS(D3:D23,"&gt;= 400",D3:D23,"&lt;600",E3:E23,"5")</f>
        <v>0</v>
      </c>
      <c r="L25" s="1">
        <f>COUNTIFS(D3:D23,"&gt;= 400",D3:D23,"&lt;600",E3:E23,"4")</f>
        <v>0</v>
      </c>
      <c r="M25" s="1">
        <f t="shared" si="2"/>
        <v>0</v>
      </c>
    </row>
    <row r="26" spans="1:14" x14ac:dyDescent="0.25">
      <c r="G26" s="1" t="s">
        <v>40</v>
      </c>
      <c r="H26" s="1">
        <f>COUNTIFS(D3:D23,"&gt;= 600",D3:D23,"&lt;800")</f>
        <v>0</v>
      </c>
      <c r="I26" s="1">
        <f>COUNTIFS(D3:D23,"&gt;= 600",D3:D23,"&lt;800",E3:E23,"7")</f>
        <v>0</v>
      </c>
      <c r="J26" s="1">
        <f>COUNTIFS(D3:D23,"&gt;= 600",D3:D23,"&lt;800",E3:E23,"6")</f>
        <v>0</v>
      </c>
      <c r="K26" s="1">
        <f>COUNTIFS(D3:D23,"&gt;= 600",D3:D23,"&lt;800",E3:E23,"5")</f>
        <v>0</v>
      </c>
      <c r="L26" s="1">
        <f>COUNTIFS(D3:D23,"&gt;= 600",D3:D23,"&lt;800",E3:E23,"4")</f>
        <v>0</v>
      </c>
      <c r="M26" s="1">
        <f t="shared" si="2"/>
        <v>0</v>
      </c>
    </row>
    <row r="27" spans="1:14" x14ac:dyDescent="0.25">
      <c r="G27" s="1" t="s">
        <v>41</v>
      </c>
      <c r="H27" s="1">
        <f>COUNTIFS(D3:D23,"&gt;= 800",D3:D23,"&lt;1000")</f>
        <v>1</v>
      </c>
      <c r="I27" s="1">
        <f>COUNTIFS(D3:D23,"&gt;= 800",D3:D23,"&lt;1000",E3:E23,"7")</f>
        <v>0</v>
      </c>
      <c r="J27" s="1">
        <f>COUNTIFS(D3:D23,"&gt;= 800",D3:D23,"&lt;1000",E3:E23,"6")</f>
        <v>0</v>
      </c>
      <c r="K27" s="1">
        <f>COUNTIFS(D3:D23,"&gt;= 800",D3:D23,"&lt;1000",E3:E23,"5")</f>
        <v>1</v>
      </c>
      <c r="L27" s="1">
        <f>COUNTIFS(D3:D23,"&gt;= 800",D3:D23,"&lt;1000",E3:E23,"4")</f>
        <v>0</v>
      </c>
      <c r="M27" s="1">
        <f t="shared" si="2"/>
        <v>0</v>
      </c>
    </row>
    <row r="89" spans="1:14" x14ac:dyDescent="0.25">
      <c r="A89" s="11" t="s">
        <v>42</v>
      </c>
      <c r="B89" s="11"/>
      <c r="C89" s="11"/>
      <c r="D89" s="11"/>
      <c r="E89" s="11"/>
    </row>
    <row r="91" spans="1:14" x14ac:dyDescent="0.25">
      <c r="A91" s="3" t="s">
        <v>0</v>
      </c>
      <c r="B91" s="3" t="s">
        <v>2</v>
      </c>
      <c r="C91" s="3" t="s">
        <v>3</v>
      </c>
      <c r="D91" s="3" t="s">
        <v>4</v>
      </c>
      <c r="E91" s="3" t="s">
        <v>1</v>
      </c>
      <c r="H91" s="3" t="s">
        <v>13</v>
      </c>
      <c r="I91" s="3" t="s">
        <v>14</v>
      </c>
      <c r="J91" s="3" t="s">
        <v>15</v>
      </c>
      <c r="K91" s="3" t="s">
        <v>16</v>
      </c>
      <c r="L91" s="3" t="s">
        <v>17</v>
      </c>
      <c r="M91" s="3" t="s">
        <v>18</v>
      </c>
      <c r="N91" s="3" t="s">
        <v>19</v>
      </c>
    </row>
    <row r="92" spans="1:14" x14ac:dyDescent="0.25">
      <c r="A92" s="1">
        <v>1642</v>
      </c>
      <c r="B92" s="1" t="s">
        <v>6</v>
      </c>
      <c r="C92" s="1">
        <v>2143</v>
      </c>
      <c r="D92" s="1">
        <v>50</v>
      </c>
      <c r="E92" s="1">
        <v>5</v>
      </c>
      <c r="G92" s="3" t="s">
        <v>13</v>
      </c>
      <c r="H92" s="1">
        <f>COUNTA(E92:E107)</f>
        <v>16</v>
      </c>
      <c r="I92" s="1">
        <f>COUNTIF(E92:E107,7)</f>
        <v>1</v>
      </c>
      <c r="J92" s="1">
        <f>COUNTIF(E92:E107,6)</f>
        <v>1</v>
      </c>
      <c r="K92" s="1">
        <f>COUNTIF(E92:E107,5)</f>
        <v>4</v>
      </c>
      <c r="L92" s="1">
        <f>COUNTIF(E92:E107,4)</f>
        <v>10</v>
      </c>
      <c r="M92" s="1">
        <f xml:space="preserve"> -((I92/H92) * IMLOG2(I92/H92) + (J92/H92) * IMLOG2(J92/H92) + (K92/H92) * IMLOG2(K92/H92)  +  (L92/H92) * IMLOG2(L92/H92))</f>
        <v>1.4237949406953989</v>
      </c>
    </row>
    <row r="93" spans="1:14" x14ac:dyDescent="0.25">
      <c r="A93" s="1">
        <v>8323</v>
      </c>
      <c r="B93" s="1" t="s">
        <v>6</v>
      </c>
      <c r="C93" s="1">
        <v>1899</v>
      </c>
      <c r="D93" s="1">
        <v>20</v>
      </c>
      <c r="E93" s="1">
        <v>4</v>
      </c>
      <c r="G93" s="3" t="s">
        <v>20</v>
      </c>
      <c r="H93" s="2"/>
      <c r="I93" s="2"/>
      <c r="J93" s="2"/>
      <c r="K93" s="2"/>
      <c r="L93" s="2"/>
      <c r="M93" s="2"/>
      <c r="N93" s="1">
        <f>M92 - ((H94/H92) *M94) - ((H95/H92) *M95) - ((H96/H92) *M96) - ((H97/H92) *M97) - ((H98/H92) *M98)</f>
        <v>1.4237949406953989</v>
      </c>
    </row>
    <row r="94" spans="1:14" x14ac:dyDescent="0.25">
      <c r="A94" s="1">
        <v>8225</v>
      </c>
      <c r="B94" s="1" t="s">
        <v>6</v>
      </c>
      <c r="C94" s="1">
        <v>1901</v>
      </c>
      <c r="D94" s="1">
        <v>75</v>
      </c>
      <c r="E94" s="1">
        <v>4</v>
      </c>
      <c r="G94" s="1" t="s">
        <v>21</v>
      </c>
      <c r="H94" s="1">
        <f>COUNTIFS(A92:A107,"&lt;=2000",A92:A107,"&gt;=1")</f>
        <v>3</v>
      </c>
      <c r="I94" s="1">
        <f>COUNTIFS(A92:A107,"&gt;=1",A92:A107,"&lt;= 2000",E92:E107,"7")</f>
        <v>1</v>
      </c>
      <c r="J94" s="1">
        <f>COUNTIFS(A92:A107,"&gt;=1",A92:A107,"&lt;= 2000",E92:E107,"6")</f>
        <v>1</v>
      </c>
      <c r="K94" s="1">
        <f>COUNTIFS(A92:A107,"&gt;=1",A92:A107,"&lt;= 2000",E92:E107,"5")</f>
        <v>1</v>
      </c>
      <c r="L94" s="1">
        <f>COUNTIFS(A92:A107,"&gt;=1",A92:A107,"&lt;= 2000",E92:E107,"4")</f>
        <v>0</v>
      </c>
      <c r="M94" s="1">
        <f xml:space="preserve">  IFERROR( -((I94/H94) * IMLOG2(I94/H94) + (J94/H94) * IMLOG2(J94/H94) + (K94/H94) * IMLOG2(K94/H94) +  (L94/H94) * IMLOG2(L94/H94)), 0)</f>
        <v>0</v>
      </c>
    </row>
    <row r="95" spans="1:14" x14ac:dyDescent="0.25">
      <c r="A95" s="1">
        <v>2378</v>
      </c>
      <c r="B95" s="1" t="s">
        <v>6</v>
      </c>
      <c r="C95" s="1">
        <v>2086</v>
      </c>
      <c r="D95" s="1">
        <v>188</v>
      </c>
      <c r="E95" s="1">
        <v>5</v>
      </c>
      <c r="G95" s="1" t="s">
        <v>22</v>
      </c>
      <c r="H95" s="1">
        <f>COUNTIFS(A92:A107,"&lt;=4000",A92:A107,"&gt;=2001")</f>
        <v>2</v>
      </c>
      <c r="I95" s="1">
        <f>COUNTIFS(A92:A107,"&gt;=2001",A92:A107,"&lt;= 4000",E92:E107,"7")</f>
        <v>0</v>
      </c>
      <c r="J95" s="1">
        <f>COUNTIFS(A92:A107,"&gt;=2001",A92:A107,"&lt;= 4000",E92:E107,"6")</f>
        <v>0</v>
      </c>
      <c r="K95" s="1">
        <f>COUNTIFS(A92:A107,"&gt;=2001",A92:A107,"&lt;= 4000",E92:E107,"5")</f>
        <v>2</v>
      </c>
      <c r="L95" s="1">
        <f>COUNTIFS(A92:A107,"&gt;=2001",A92:A107,"&lt;= 4000",E92:E107,"4")</f>
        <v>0</v>
      </c>
      <c r="M95" s="1">
        <f t="shared" ref="M95:M98" si="3" xml:space="preserve">  IFERROR( -((I95/H95) * IMLOG2(I95/H95) + (J95/H95) * IMLOG2(J95/H95) + (K95/H95) * IMLOG2(K95/H95) +  (L95/H95) * IMLOG2(L95/H95)), 0)</f>
        <v>0</v>
      </c>
    </row>
    <row r="96" spans="1:14" x14ac:dyDescent="0.25">
      <c r="A96" s="1">
        <v>5345</v>
      </c>
      <c r="B96" s="1" t="s">
        <v>6</v>
      </c>
      <c r="C96" s="1">
        <v>1969</v>
      </c>
      <c r="D96" s="1">
        <v>63</v>
      </c>
      <c r="E96" s="1">
        <v>4</v>
      </c>
      <c r="G96" s="1" t="s">
        <v>25</v>
      </c>
      <c r="H96" s="1">
        <f>COUNTIFS(A92:A107,"&lt;=6000",A92:A107,"&gt;=4001")</f>
        <v>3</v>
      </c>
      <c r="I96" s="1">
        <f>COUNTIFS(A92:A107,"&gt;=4001",A92:A107,"&lt;= 6000",E92:E107,"7")</f>
        <v>0</v>
      </c>
      <c r="J96" s="1">
        <f>COUNTIFS(A92:A107,"&gt;=4001",A92:A107,"&lt;= 6000",E92:E107,"6")</f>
        <v>0</v>
      </c>
      <c r="K96" s="1">
        <f>COUNTIFS(A92:A107,"&gt;=4001",A92:A107,"&lt;= 6000",E92:E107,"5")</f>
        <v>1</v>
      </c>
      <c r="L96" s="1">
        <f>COUNTIFS(A92:A107,"&gt;=4001",A92:A107,"&lt;= 6000",E92:E107,"4")</f>
        <v>2</v>
      </c>
      <c r="M96" s="1">
        <f t="shared" si="3"/>
        <v>0</v>
      </c>
    </row>
    <row r="97" spans="1:14" x14ac:dyDescent="0.25">
      <c r="A97" s="1">
        <v>527</v>
      </c>
      <c r="B97" s="1" t="s">
        <v>7</v>
      </c>
      <c r="C97" s="1">
        <v>2312</v>
      </c>
      <c r="D97" s="1">
        <v>127</v>
      </c>
      <c r="E97" s="1">
        <v>6</v>
      </c>
      <c r="G97" s="1" t="s">
        <v>24</v>
      </c>
      <c r="H97" s="1">
        <f>COUNTIFS(A92:A107,"&lt;=8000",A92:A107,"&gt;=6001")</f>
        <v>1</v>
      </c>
      <c r="I97" s="1">
        <f>COUNTIFS(A92:A107,"&gt;=6001",A92:A107,"&lt;= 8000",E92:E107,"7")</f>
        <v>0</v>
      </c>
      <c r="J97" s="1">
        <f>COUNTIFS(A92:A107,"&gt;=6001",A92:A107,"&lt;= 8000",E92:E107,"6")</f>
        <v>0</v>
      </c>
      <c r="K97" s="1">
        <f>COUNTIFS(A92:A107,"&gt;=6001",A92:A107,"&lt;= 8000",E92:E107,"5")</f>
        <v>0</v>
      </c>
      <c r="L97" s="1">
        <f>COUNTIFS(A92:A107,"&gt;=6001",A92:A107,"&lt;= 8000",E92:E107,"4")</f>
        <v>1</v>
      </c>
      <c r="M97" s="1">
        <f t="shared" si="3"/>
        <v>0</v>
      </c>
    </row>
    <row r="98" spans="1:14" x14ac:dyDescent="0.25">
      <c r="A98" s="1">
        <v>30</v>
      </c>
      <c r="B98" s="1" t="s">
        <v>8</v>
      </c>
      <c r="C98" s="1">
        <v>2709</v>
      </c>
      <c r="D98" s="1">
        <v>176</v>
      </c>
      <c r="E98" s="1">
        <v>7</v>
      </c>
      <c r="G98" s="1" t="s">
        <v>23</v>
      </c>
      <c r="H98" s="1">
        <f>COUNTIFS(A92:A107,"&lt;=15000",A92:A107,"&gt;=8001")</f>
        <v>7</v>
      </c>
      <c r="I98" s="1">
        <f>COUNTIFS(A92:A107,"&gt;=8001",A92:A107,"&lt;= 15000",E92:E107,"7")</f>
        <v>0</v>
      </c>
      <c r="J98" s="1">
        <f>COUNTIFS(A92:A107,"&gt;=8001",A92:A107,"&lt;= 15000",E92:E107,"6")</f>
        <v>0</v>
      </c>
      <c r="K98" s="1">
        <f>COUNTIFS(A92:A107,"&gt;=8001",A92:A107,"&lt;= 15000",E92:E107,"5")</f>
        <v>0</v>
      </c>
      <c r="L98" s="1">
        <f>COUNTIFS(A92:A107,"&gt;=8001",A92:A107,"&lt;= 15000",E92:E107,"4")</f>
        <v>7</v>
      </c>
      <c r="M98" s="1">
        <f t="shared" si="3"/>
        <v>0</v>
      </c>
    </row>
    <row r="99" spans="1:14" x14ac:dyDescent="0.25">
      <c r="A99" s="1">
        <v>8609</v>
      </c>
      <c r="B99" s="1" t="s">
        <v>6</v>
      </c>
      <c r="C99" s="1">
        <v>1894</v>
      </c>
      <c r="D99" s="1">
        <v>59</v>
      </c>
      <c r="E99" s="1">
        <v>4</v>
      </c>
      <c r="G99" s="3" t="s">
        <v>26</v>
      </c>
      <c r="H99" s="2"/>
      <c r="I99" s="2"/>
      <c r="J99" s="2"/>
      <c r="K99" s="2"/>
      <c r="L99" s="2"/>
      <c r="M99" s="2"/>
      <c r="N99" s="1">
        <f>M92 - ((H100/H92) *M100) - ((H101/H92) *M101) - ((H102/H92) *M102) - ((H103/H92) *M103) - ((H104/H92) *M104) - ((H105/H92) *M105)</f>
        <v>1.4237949406953989</v>
      </c>
    </row>
    <row r="100" spans="1:14" x14ac:dyDescent="0.25">
      <c r="A100" s="1">
        <v>3521</v>
      </c>
      <c r="B100" s="1" t="s">
        <v>6</v>
      </c>
      <c r="C100" s="1">
        <v>2033</v>
      </c>
      <c r="D100" s="1">
        <v>133</v>
      </c>
      <c r="E100" s="1">
        <v>5</v>
      </c>
      <c r="G100" s="1" t="s">
        <v>6</v>
      </c>
      <c r="H100" s="1">
        <f>COUNTIFS(B92:B107,G100)</f>
        <v>11</v>
      </c>
      <c r="I100" s="1">
        <f>COUNTIFS(B92:B107,G100,E92:E107,"7")</f>
        <v>0</v>
      </c>
      <c r="J100" s="1">
        <f>COUNTIFS(B92:B107,G100,E92:E107,"6")</f>
        <v>0</v>
      </c>
      <c r="K100" s="1">
        <f>COUNTIFS(B92:B107,G100,E92:E107,"5")</f>
        <v>3</v>
      </c>
      <c r="L100" s="1">
        <f>COUNTIFS(B92:B107,G100,E92:E107,"4")</f>
        <v>8</v>
      </c>
      <c r="M100" s="1">
        <f xml:space="preserve">  IFERROR( -((I100/H100) * IMLOG2(I100/H100) + (J100/H100) * IMLOG2(J100/H100) + (K100/H100) * IMLOG2(K100/H100) +  (L100/H100) * IMLOG2(L100/H100)), 0)</f>
        <v>0</v>
      </c>
    </row>
    <row r="101" spans="1:14" x14ac:dyDescent="0.25">
      <c r="A101" s="1">
        <v>7116</v>
      </c>
      <c r="B101" s="1" t="s">
        <v>6</v>
      </c>
      <c r="C101" s="1">
        <v>1923</v>
      </c>
      <c r="D101" s="1">
        <v>68</v>
      </c>
      <c r="E101" s="1">
        <v>4</v>
      </c>
      <c r="G101" s="1" t="s">
        <v>7</v>
      </c>
      <c r="H101" s="1">
        <f>COUNTIFS(B92:B107,G101)</f>
        <v>1</v>
      </c>
      <c r="I101" s="1">
        <f>COUNTIFS(B92:B107,G101,E92:E107,"7")</f>
        <v>0</v>
      </c>
      <c r="J101" s="1">
        <f>COUNTIFS(B92:B107,G101,E92:E107,"6")</f>
        <v>1</v>
      </c>
      <c r="K101" s="1">
        <f>COUNTIFS(B92:B107,G101,E92:E107,"5")</f>
        <v>0</v>
      </c>
      <c r="L101" s="1">
        <f>COUNTIFS(B92:B107,G101,E92:E107,"4")</f>
        <v>0</v>
      </c>
      <c r="M101" s="1">
        <f t="shared" ref="M101:M105" si="4" xml:space="preserve">  IFERROR( -((I101/H101) * IMLOG2(I101/H101) + (J101/H101) * IMLOG2(J101/H101) + (K101/H101) * IMLOG2(K101/H101) +  (L101/H101) * IMLOG2(L101/H101)), 0)</f>
        <v>0</v>
      </c>
    </row>
    <row r="102" spans="1:14" x14ac:dyDescent="0.25">
      <c r="A102" s="1">
        <v>5303</v>
      </c>
      <c r="B102" s="1" t="s">
        <v>6</v>
      </c>
      <c r="C102" s="1">
        <v>1970</v>
      </c>
      <c r="D102" s="1">
        <v>44</v>
      </c>
      <c r="E102" s="1">
        <v>4</v>
      </c>
      <c r="G102" s="1" t="s">
        <v>8</v>
      </c>
      <c r="H102" s="1">
        <f>COUNTIFS(B92:B107,G102)</f>
        <v>3</v>
      </c>
      <c r="I102" s="1">
        <f>COUNTIFS(B92:B107,G102,E92:E107,"7")</f>
        <v>1</v>
      </c>
      <c r="J102" s="1">
        <f>COUNTIFS(B92:B107,G102,E92:E107,"6")</f>
        <v>0</v>
      </c>
      <c r="K102" s="1">
        <f>COUNTIFS(B92:B107,G102,E92:E107,"5")</f>
        <v>0</v>
      </c>
      <c r="L102" s="1">
        <f>COUNTIFS(B92:B107,G102,E92:E107,"4")</f>
        <v>2</v>
      </c>
      <c r="M102" s="1">
        <f t="shared" si="4"/>
        <v>0</v>
      </c>
    </row>
    <row r="103" spans="1:14" x14ac:dyDescent="0.25">
      <c r="A103" s="1">
        <v>9542</v>
      </c>
      <c r="B103" s="1" t="s">
        <v>8</v>
      </c>
      <c r="C103" s="1">
        <v>1878</v>
      </c>
      <c r="D103" s="1">
        <v>19</v>
      </c>
      <c r="E103" s="1">
        <v>4</v>
      </c>
      <c r="G103" s="1" t="s">
        <v>9</v>
      </c>
      <c r="H103" s="1">
        <f>COUNTIFS(B92:B107,G103)</f>
        <v>0</v>
      </c>
      <c r="I103" s="1">
        <f>COUNTIFS(B92:B107,G103,E92:E107,"7")</f>
        <v>0</v>
      </c>
      <c r="J103" s="1">
        <f>COUNTIFS(B92:B107,G103,E92:E107,"6")</f>
        <v>0</v>
      </c>
      <c r="K103" s="1">
        <f>COUNTIFS(B92:B107,G103,E92:E107,"5")</f>
        <v>0</v>
      </c>
      <c r="L103" s="1">
        <f>COUNTIFS(B92:B107,G103,E92:E107,"4")</f>
        <v>0</v>
      </c>
      <c r="M103" s="1">
        <f t="shared" si="4"/>
        <v>0</v>
      </c>
    </row>
    <row r="104" spans="1:14" x14ac:dyDescent="0.25">
      <c r="A104" s="1">
        <v>4346</v>
      </c>
      <c r="B104" s="1" t="s">
        <v>11</v>
      </c>
      <c r="C104" s="1">
        <v>2004</v>
      </c>
      <c r="D104" s="1">
        <v>34</v>
      </c>
      <c r="E104" s="1">
        <v>5</v>
      </c>
      <c r="G104" s="1" t="s">
        <v>10</v>
      </c>
      <c r="H104" s="1">
        <f>COUNTIFS(B92:B107,G104)</f>
        <v>0</v>
      </c>
      <c r="I104" s="1">
        <f>COUNTIFS(B92:B107,G104,E92:E107,"7")</f>
        <v>0</v>
      </c>
      <c r="J104" s="1">
        <f>COUNTIFS(B92:B107,G104,E92:E107,"6")</f>
        <v>0</v>
      </c>
      <c r="K104" s="1">
        <f>COUNTIFS(B92:B107,G104,E92:E107,"5")</f>
        <v>0</v>
      </c>
      <c r="L104" s="1">
        <f>COUNTIFS(B92:B107,G104,E92:E107,"4")</f>
        <v>0</v>
      </c>
      <c r="M104" s="1">
        <f t="shared" si="4"/>
        <v>0</v>
      </c>
    </row>
    <row r="105" spans="1:14" x14ac:dyDescent="0.25">
      <c r="A105" s="1">
        <v>8717</v>
      </c>
      <c r="B105" s="1" t="s">
        <v>6</v>
      </c>
      <c r="C105" s="1">
        <v>1892</v>
      </c>
      <c r="D105" s="1">
        <v>37</v>
      </c>
      <c r="E105" s="1">
        <v>4</v>
      </c>
      <c r="G105" s="1" t="s">
        <v>11</v>
      </c>
      <c r="H105" s="1">
        <f>COUNTIFS(B92:B107,G105)</f>
        <v>1</v>
      </c>
      <c r="I105" s="1">
        <f>COUNTIFS(B92:B107,G105,E92:E107,"7")</f>
        <v>0</v>
      </c>
      <c r="J105" s="1">
        <f>COUNTIFS(B92:B107,G105,E92:E107,"6")</f>
        <v>0</v>
      </c>
      <c r="K105" s="1">
        <f>COUNTIFS(B92:B107,G105,E92:E107,"5")</f>
        <v>1</v>
      </c>
      <c r="L105" s="1">
        <f>COUNTIFS(B92:B107,G105,E92:E107,"4")</f>
        <v>0</v>
      </c>
      <c r="M105" s="1">
        <f t="shared" si="4"/>
        <v>0</v>
      </c>
    </row>
    <row r="106" spans="1:14" x14ac:dyDescent="0.25">
      <c r="A106" s="1">
        <v>9812</v>
      </c>
      <c r="B106" s="1" t="s">
        <v>8</v>
      </c>
      <c r="C106" s="1">
        <v>1874</v>
      </c>
      <c r="D106" s="1">
        <v>105</v>
      </c>
      <c r="E106" s="1">
        <v>4</v>
      </c>
      <c r="G106" s="3" t="s">
        <v>27</v>
      </c>
      <c r="H106" s="2"/>
      <c r="I106" s="2"/>
      <c r="J106" s="2"/>
      <c r="K106" s="2"/>
      <c r="L106" s="2"/>
      <c r="M106" s="2"/>
      <c r="N106" s="4">
        <f>M92 - ((H107/H92) *M107) - ((H108/H92) *M108) - ((H109/H92) *M109) - ((H110/H92) *M110)</f>
        <v>1.4150374992788437</v>
      </c>
    </row>
    <row r="107" spans="1:14" x14ac:dyDescent="0.25">
      <c r="A107" s="1">
        <v>9035</v>
      </c>
      <c r="B107" s="1" t="s">
        <v>6</v>
      </c>
      <c r="C107" s="1">
        <v>1886</v>
      </c>
      <c r="D107" s="1">
        <v>16</v>
      </c>
      <c r="E107" s="1">
        <v>4</v>
      </c>
      <c r="G107" s="1" t="s">
        <v>28</v>
      </c>
      <c r="H107" s="1">
        <f>COUNTIFS(C92:C107,"&gt;= 1",C92:C107,"&lt;1400")</f>
        <v>0</v>
      </c>
      <c r="I107" s="1">
        <f>COUNTIFS(C92:C107,"&gt;= 1",C92:C107,"&lt;1400",E92:E107,"7")</f>
        <v>0</v>
      </c>
      <c r="J107" s="1">
        <f>COUNTIFS(C92:C107,"&gt;= 1",C92:C107,"&lt;1400",E92:E107,"6")</f>
        <v>0</v>
      </c>
      <c r="K107" s="1">
        <f>COUNTIFS(C92:C107,"&gt;= 1",C92:C107,"&lt;1400",E92:E107,"5")</f>
        <v>0</v>
      </c>
      <c r="L107" s="1">
        <f>COUNTIFS(C92:C107,"&gt;= 1",C92:C107,"&lt;1400",E92:E107,"4")</f>
        <v>0</v>
      </c>
      <c r="M107" s="1">
        <f xml:space="preserve">  IFERROR( -((I107/H107) * IMLOG2(I107/H107) + (J107/H107) * IMLOG2(J107/H107) + (K107/H107) * IMLOG2(K107/H107) +  (L107/H107) * IMLOG2(L107/H107)), 0)</f>
        <v>0</v>
      </c>
    </row>
    <row r="108" spans="1:14" x14ac:dyDescent="0.25">
      <c r="G108" s="1" t="s">
        <v>29</v>
      </c>
      <c r="H108" s="1">
        <f>COUNTIFS(C92:C107,"&gt;= 1400",C92:C107,"&lt;1600")</f>
        <v>0</v>
      </c>
      <c r="I108" s="1">
        <f>COUNTIFS(C92:C107,"&gt;= 1400",C92:C107,"&lt;1600",E92:E107,"7")</f>
        <v>0</v>
      </c>
      <c r="J108" s="1">
        <f>COUNTIFS(C92:C107,"&gt;= 1400",C92:C107,"&lt;1600",E92:E107,"6")</f>
        <v>0</v>
      </c>
      <c r="K108" s="1">
        <f>COUNTIFS(C92:C107,"&gt;= 1400",C92:C107,"&lt;1600",E92:E107,"5")</f>
        <v>0</v>
      </c>
      <c r="L108" s="1">
        <f>COUNTIFS(C92:C107,"&gt;= 1400",C92:C107,"&lt;1600",E92:E107,"4")</f>
        <v>0</v>
      </c>
      <c r="M108" s="1">
        <f t="shared" ref="M108:M110" si="5" xml:space="preserve">  IFERROR( -((I108/H108) * IMLOG2(I108/H108) + (J108/H108) * IMLOG2(J108/H108) + (K108/H108) * IMLOG2(K108/H108) +  (L108/H108) * IMLOG2(L108/H108)), 0)</f>
        <v>0</v>
      </c>
    </row>
    <row r="109" spans="1:14" x14ac:dyDescent="0.25">
      <c r="G109" s="1" t="s">
        <v>30</v>
      </c>
      <c r="H109" s="1">
        <f>COUNTIFS(C92:C107,"&gt;= 1600",C92:C107,"&lt;2000")</f>
        <v>10</v>
      </c>
      <c r="I109" s="1">
        <f>COUNTIFS(C92:C107,"&gt;= 1600",C92:C107,"&lt;1800",E92:E107,"7")</f>
        <v>0</v>
      </c>
      <c r="J109" s="1">
        <f>COUNTIFS(C92:C107,"&gt;= 1600",C92:C107,"&lt;1800",E92:E107,"6")</f>
        <v>0</v>
      </c>
      <c r="K109" s="1">
        <f>COUNTIFS(C92:C107,"&gt;= 1600",C92:C107,"&lt;1800",E92:E107,"5")</f>
        <v>0</v>
      </c>
      <c r="L109" s="1">
        <f>COUNTIFS(C92:C107,"&gt;= 1600",C92:C107,"&lt;1800",E92:E107,"4")</f>
        <v>0</v>
      </c>
      <c r="M109" s="1">
        <f t="shared" si="5"/>
        <v>0</v>
      </c>
    </row>
    <row r="110" spans="1:14" x14ac:dyDescent="0.25">
      <c r="G110" s="5" t="s">
        <v>31</v>
      </c>
      <c r="H110" s="1">
        <f>COUNTIFS(C92:C107,"&gt;= 2000",C92:C107,"&lt;5000")</f>
        <v>6</v>
      </c>
      <c r="I110" s="1">
        <f>COUNTIFS(C92:C107,"&gt;= 1800",C92:C107,"&lt;5000",E92:E107,"7")</f>
        <v>1</v>
      </c>
      <c r="J110" s="1">
        <f>COUNTIFS(C92:C107,"&gt;= 1800",C92:C107,"&lt;5000",E92:E107,"6")</f>
        <v>1</v>
      </c>
      <c r="K110" s="1">
        <f>COUNTIFS(C92:C107,"&gt;= 1800",C92:C107,"&lt;5000",E92:E107,"5")</f>
        <v>4</v>
      </c>
      <c r="L110" s="1">
        <f>COUNTIFS(C92:C107,"&gt;= 1800",C92:C107,"&lt;5000",E92:E107,"4")</f>
        <v>10</v>
      </c>
      <c r="M110" s="4">
        <f t="shared" si="5"/>
        <v>2.3353177110813972E-2</v>
      </c>
    </row>
    <row r="111" spans="1:14" x14ac:dyDescent="0.25">
      <c r="G111" s="8"/>
      <c r="H111" s="7"/>
      <c r="I111" s="7"/>
      <c r="J111" s="7"/>
      <c r="K111" s="7"/>
      <c r="L111" s="7"/>
      <c r="M111" s="7"/>
      <c r="N111" s="7"/>
    </row>
    <row r="112" spans="1:14" x14ac:dyDescent="0.25">
      <c r="G112" s="7"/>
      <c r="H112" s="7"/>
      <c r="I112" s="7"/>
      <c r="J112" s="7"/>
      <c r="K112" s="7"/>
      <c r="L112" s="7"/>
      <c r="M112" s="7"/>
      <c r="N112" s="7"/>
    </row>
    <row r="113" spans="1:14" x14ac:dyDescent="0.25">
      <c r="G113" s="7"/>
      <c r="H113" s="7"/>
      <c r="I113" s="7"/>
      <c r="J113" s="7"/>
      <c r="K113" s="7"/>
      <c r="L113" s="7"/>
      <c r="M113" s="7"/>
      <c r="N113" s="7"/>
    </row>
    <row r="114" spans="1:14" x14ac:dyDescent="0.25">
      <c r="A114" s="11" t="s">
        <v>43</v>
      </c>
      <c r="B114" s="11"/>
      <c r="C114" s="11"/>
      <c r="D114" s="11"/>
      <c r="E114" s="11"/>
      <c r="G114" s="7"/>
      <c r="H114" s="7"/>
      <c r="I114" s="7"/>
      <c r="J114" s="7"/>
      <c r="K114" s="7"/>
      <c r="L114" s="7"/>
      <c r="M114" s="7"/>
      <c r="N114" s="7"/>
    </row>
    <row r="115" spans="1:14" x14ac:dyDescent="0.25">
      <c r="G115" s="7"/>
      <c r="H115" s="7"/>
      <c r="I115" s="7"/>
      <c r="J115" s="7"/>
      <c r="K115" s="7"/>
      <c r="L115" s="7"/>
      <c r="M115" s="7"/>
      <c r="N115" s="7"/>
    </row>
    <row r="116" spans="1:14" x14ac:dyDescent="0.25">
      <c r="A116" s="3" t="s">
        <v>0</v>
      </c>
      <c r="B116" s="3" t="s">
        <v>2</v>
      </c>
      <c r="C116" s="3" t="s">
        <v>3</v>
      </c>
      <c r="D116" s="3" t="s">
        <v>4</v>
      </c>
      <c r="E116" s="3" t="s">
        <v>1</v>
      </c>
      <c r="H116" s="3" t="s">
        <v>13</v>
      </c>
      <c r="I116" s="3" t="s">
        <v>14</v>
      </c>
      <c r="J116" s="3" t="s">
        <v>15</v>
      </c>
      <c r="K116" s="3" t="s">
        <v>16</v>
      </c>
      <c r="L116" s="3" t="s">
        <v>17</v>
      </c>
      <c r="M116" s="3" t="s">
        <v>18</v>
      </c>
      <c r="N116" s="3" t="s">
        <v>19</v>
      </c>
    </row>
    <row r="117" spans="1:14" x14ac:dyDescent="0.25">
      <c r="A117" s="1">
        <v>1642</v>
      </c>
      <c r="B117" s="1" t="s">
        <v>6</v>
      </c>
      <c r="C117" s="1">
        <v>2143</v>
      </c>
      <c r="D117" s="1">
        <v>50</v>
      </c>
      <c r="E117" s="1">
        <v>5</v>
      </c>
      <c r="G117" s="3" t="s">
        <v>13</v>
      </c>
      <c r="H117" s="1">
        <f>COUNTA(E117:E122)</f>
        <v>6</v>
      </c>
      <c r="I117" s="1">
        <f>COUNTIF(E117:E132,7)</f>
        <v>1</v>
      </c>
      <c r="J117" s="1">
        <f>COUNTIF(E117:E132,6)</f>
        <v>1</v>
      </c>
      <c r="K117" s="1">
        <f>COUNTIF(E117:E132,5)</f>
        <v>4</v>
      </c>
      <c r="L117" s="1">
        <f>COUNTIF(E117:E132,4)</f>
        <v>0</v>
      </c>
      <c r="M117" s="1" t="e">
        <f xml:space="preserve"> -((I117/H117) * IMLOG2(I117/H117) + (J117/H117) * IMLOG2(J117/H117) + (K117/H117) * IMLOG2(K117/H117)  +  (L117/H117) * IMLOG2(L117/H117))</f>
        <v>#NUM!</v>
      </c>
    </row>
    <row r="118" spans="1:14" x14ac:dyDescent="0.25">
      <c r="A118" s="1">
        <v>2378</v>
      </c>
      <c r="B118" s="1" t="s">
        <v>6</v>
      </c>
      <c r="C118" s="1">
        <v>2086</v>
      </c>
      <c r="D118" s="1">
        <v>188</v>
      </c>
      <c r="E118" s="1">
        <v>5</v>
      </c>
      <c r="G118" s="3" t="s">
        <v>20</v>
      </c>
      <c r="H118" s="2"/>
      <c r="I118" s="2"/>
      <c r="J118" s="2"/>
      <c r="K118" s="2"/>
      <c r="L118" s="2"/>
      <c r="M118" s="2"/>
      <c r="N118" s="1" t="e">
        <f>M117 - ((H119/H117) *M119) - ((H120/H117) *M120) - ((H121/H117) *M121) - ((H122/H117) *M122) - ((H123/H117) *M123)</f>
        <v>#NUM!</v>
      </c>
    </row>
    <row r="119" spans="1:14" x14ac:dyDescent="0.25">
      <c r="A119" s="1">
        <v>527</v>
      </c>
      <c r="B119" s="1" t="s">
        <v>7</v>
      </c>
      <c r="C119" s="1">
        <v>2312</v>
      </c>
      <c r="D119" s="1">
        <v>127</v>
      </c>
      <c r="E119" s="1">
        <v>6</v>
      </c>
      <c r="G119" s="1" t="s">
        <v>21</v>
      </c>
      <c r="H119" s="1">
        <f>COUNTIFS(A117:A132,"&lt;=2000",A117:A132,"&gt;=1")</f>
        <v>3</v>
      </c>
      <c r="I119" s="1">
        <f>COUNTIFS(A117:A132,"&gt;=1",A117:A132,"&lt;= 2000",E117:E132,"7")</f>
        <v>1</v>
      </c>
      <c r="J119" s="1">
        <f>COUNTIFS(A117:A132,"&gt;=1",A117:A132,"&lt;= 2000",E117:E132,"6")</f>
        <v>1</v>
      </c>
      <c r="K119" s="1">
        <f>COUNTIFS(A117:A132,"&gt;=1",A117:A132,"&lt;= 2000",E117:E132,"5")</f>
        <v>1</v>
      </c>
      <c r="L119" s="1">
        <f>COUNTIFS(A117:A132,"&gt;=1",A117:A132,"&lt;= 2000",E117:E132,"4")</f>
        <v>0</v>
      </c>
      <c r="M119" s="1">
        <f xml:space="preserve">  IFERROR( -((I119/H119) * IMLOG2(I119/H119) + (J119/H119) * IMLOG2(J119/H119) + (K119/H119) * IMLOG2(K119/H119) +  (L119/H119) * IMLOG2(L119/H119)), 0)</f>
        <v>0</v>
      </c>
    </row>
    <row r="120" spans="1:14" x14ac:dyDescent="0.25">
      <c r="A120" s="1">
        <v>30</v>
      </c>
      <c r="B120" s="1" t="s">
        <v>8</v>
      </c>
      <c r="C120" s="1">
        <v>2709</v>
      </c>
      <c r="D120" s="1">
        <v>176</v>
      </c>
      <c r="E120" s="1">
        <v>7</v>
      </c>
      <c r="G120" s="1" t="s">
        <v>22</v>
      </c>
      <c r="H120" s="1">
        <f>COUNTIFS(A117:A132,"&lt;=4000",A117:A132,"&gt;=2001")</f>
        <v>2</v>
      </c>
      <c r="I120" s="1">
        <f>COUNTIFS(A117:A132,"&gt;=2001",A117:A132,"&lt;= 4000",E117:E132,"7")</f>
        <v>0</v>
      </c>
      <c r="J120" s="1">
        <f>COUNTIFS(A117:A132,"&gt;=2001",A117:A132,"&lt;= 4000",E117:E132,"6")</f>
        <v>0</v>
      </c>
      <c r="K120" s="1">
        <f>COUNTIFS(A117:A132,"&gt;=2001",A117:A132,"&lt;= 4000",E117:E132,"5")</f>
        <v>2</v>
      </c>
      <c r="L120" s="1">
        <f>COUNTIFS(A117:A132,"&gt;=2001",A117:A132,"&lt;= 4000",E117:E132,"4")</f>
        <v>0</v>
      </c>
      <c r="M120" s="1">
        <f t="shared" ref="M120:M123" si="6" xml:space="preserve">  IFERROR( -((I120/H120) * IMLOG2(I120/H120) + (J120/H120) * IMLOG2(J120/H120) + (K120/H120) * IMLOG2(K120/H120) +  (L120/H120) * IMLOG2(L120/H120)), 0)</f>
        <v>0</v>
      </c>
    </row>
    <row r="121" spans="1:14" x14ac:dyDescent="0.25">
      <c r="A121" s="1">
        <v>3521</v>
      </c>
      <c r="B121" s="1" t="s">
        <v>6</v>
      </c>
      <c r="C121" s="1">
        <v>2033</v>
      </c>
      <c r="D121" s="1">
        <v>133</v>
      </c>
      <c r="E121" s="1">
        <v>5</v>
      </c>
      <c r="G121" s="1" t="s">
        <v>25</v>
      </c>
      <c r="H121" s="1">
        <f>COUNTIFS(A117:A132,"&lt;=6000",A117:A132,"&gt;=4001")</f>
        <v>1</v>
      </c>
      <c r="I121" s="1">
        <f>COUNTIFS(A117:A132,"&gt;=4001",A117:A132,"&lt;= 6000",E117:E132,"7")</f>
        <v>0</v>
      </c>
      <c r="J121" s="1">
        <f>COUNTIFS(A117:A132,"&gt;=4001",A117:A132,"&lt;= 6000",E117:E132,"6")</f>
        <v>0</v>
      </c>
      <c r="K121" s="1">
        <f>COUNTIFS(A117:A132,"&gt;=4001",A117:A132,"&lt;= 6000",E117:E132,"5")</f>
        <v>1</v>
      </c>
      <c r="L121" s="1">
        <f>COUNTIFS(A117:A132,"&gt;=4001",A117:A132,"&lt;= 6000",E117:E132,"4")</f>
        <v>0</v>
      </c>
      <c r="M121" s="1">
        <f t="shared" si="6"/>
        <v>0</v>
      </c>
    </row>
    <row r="122" spans="1:14" x14ac:dyDescent="0.25">
      <c r="A122" s="1">
        <v>4346</v>
      </c>
      <c r="B122" s="1" t="s">
        <v>11</v>
      </c>
      <c r="C122" s="1">
        <v>2004</v>
      </c>
      <c r="D122" s="1">
        <v>34</v>
      </c>
      <c r="E122" s="1">
        <v>5</v>
      </c>
      <c r="G122" s="1" t="s">
        <v>24</v>
      </c>
      <c r="H122" s="1">
        <f>COUNTIFS(A117:A132,"&lt;=8000",A117:A132,"&gt;=6001")</f>
        <v>0</v>
      </c>
      <c r="I122" s="1">
        <f>COUNTIFS(A117:A132,"&gt;=6001",A117:A132,"&lt;= 8000",E117:E132,"7")</f>
        <v>0</v>
      </c>
      <c r="J122" s="1">
        <f>COUNTIFS(A117:A132,"&gt;=6001",A117:A132,"&lt;= 8000",E117:E132,"6")</f>
        <v>0</v>
      </c>
      <c r="K122" s="1">
        <f>COUNTIFS(A117:A132,"&gt;=6001",A117:A132,"&lt;= 8000",E117:E132,"5")</f>
        <v>0</v>
      </c>
      <c r="L122" s="1">
        <f>COUNTIFS(A117:A132,"&gt;=6001",A117:A132,"&lt;= 8000",E117:E132,"4")</f>
        <v>0</v>
      </c>
      <c r="M122" s="1">
        <f t="shared" si="6"/>
        <v>0</v>
      </c>
    </row>
    <row r="123" spans="1:14" x14ac:dyDescent="0.25">
      <c r="G123" s="1" t="s">
        <v>23</v>
      </c>
      <c r="H123" s="1">
        <f>COUNTIFS(A117:A132,"&lt;=15000",A117:A132,"&gt;=8001")</f>
        <v>0</v>
      </c>
      <c r="I123" s="1">
        <f>COUNTIFS(A117:A132,"&gt;=8001",A117:A132,"&lt;= 15000",E117:E132,"7")</f>
        <v>0</v>
      </c>
      <c r="J123" s="1">
        <f>COUNTIFS(A117:A132,"&gt;=8001",A117:A132,"&lt;= 15000",E117:E132,"6")</f>
        <v>0</v>
      </c>
      <c r="K123" s="1">
        <f>COUNTIFS(A117:A132,"&gt;=8001",A117:A132,"&lt;= 15000",E117:E132,"5")</f>
        <v>0</v>
      </c>
      <c r="L123" s="1">
        <f>COUNTIFS(A117:A132,"&gt;=8001",A117:A132,"&lt;= 15000",E117:E132,"4")</f>
        <v>0</v>
      </c>
      <c r="M123" s="1">
        <f t="shared" si="6"/>
        <v>0</v>
      </c>
    </row>
    <row r="124" spans="1:14" x14ac:dyDescent="0.25">
      <c r="G124" s="3" t="s">
        <v>26</v>
      </c>
      <c r="H124" s="2"/>
      <c r="I124" s="2"/>
      <c r="J124" s="2"/>
      <c r="K124" s="2"/>
      <c r="L124" s="2"/>
      <c r="M124" s="2"/>
      <c r="N124" s="1" t="e">
        <f>M117 - ((H125/H117) *M125) - ((H126/H117) *M126) - ((H127/H117) *M127) - ((H128/H117) *M128) - ((H129/H117) *M129) - ((H130/H117) *M130)</f>
        <v>#NUM!</v>
      </c>
    </row>
    <row r="125" spans="1:14" x14ac:dyDescent="0.25">
      <c r="G125" s="1" t="s">
        <v>6</v>
      </c>
      <c r="H125" s="1">
        <f>COUNTIFS(B117:B132,G125)</f>
        <v>3</v>
      </c>
      <c r="I125" s="1">
        <f>COUNTIFS(B117:B132,G125,E117:E132,"7")</f>
        <v>0</v>
      </c>
      <c r="J125" s="1">
        <f>COUNTIFS(B117:B132,G125,E117:E132,"6")</f>
        <v>0</v>
      </c>
      <c r="K125" s="1">
        <f>COUNTIFS(B117:B132,G125,E117:E132,"5")</f>
        <v>3</v>
      </c>
      <c r="L125" s="1">
        <f>COUNTIFS(B117:B132,G125,E117:E132,"4")</f>
        <v>0</v>
      </c>
      <c r="M125" s="1">
        <f xml:space="preserve">  IFERROR( -((I125/H125) * IMLOG2(I125/H125) + (J125/H125) * IMLOG2(J125/H125) + (K125/H125) * IMLOG2(K125/H125) +  (L125/H125) * IMLOG2(L125/H125)), 0)</f>
        <v>0</v>
      </c>
    </row>
    <row r="126" spans="1:14" x14ac:dyDescent="0.25">
      <c r="G126" s="1" t="s">
        <v>7</v>
      </c>
      <c r="H126" s="1">
        <f>COUNTIFS(B117:B132,G126)</f>
        <v>1</v>
      </c>
      <c r="I126" s="1">
        <f>COUNTIFS(B117:B132,G126,E117:E132,"7")</f>
        <v>0</v>
      </c>
      <c r="J126" s="1">
        <f>COUNTIFS(B117:B132,G126,E117:E132,"6")</f>
        <v>1</v>
      </c>
      <c r="K126" s="1">
        <f>COUNTIFS(B117:B132,G126,E117:E132,"5")</f>
        <v>0</v>
      </c>
      <c r="L126" s="1">
        <f>COUNTIFS(B117:B132,G126,E117:E132,"4")</f>
        <v>0</v>
      </c>
      <c r="M126" s="1">
        <f t="shared" ref="M126:M130" si="7" xml:space="preserve">  IFERROR( -((I126/H126) * IMLOG2(I126/H126) + (J126/H126) * IMLOG2(J126/H126) + (K126/H126) * IMLOG2(K126/H126) +  (L126/H126) * IMLOG2(L126/H126)), 0)</f>
        <v>0</v>
      </c>
    </row>
    <row r="127" spans="1:14" x14ac:dyDescent="0.25">
      <c r="G127" s="1" t="s">
        <v>8</v>
      </c>
      <c r="H127" s="1">
        <f>COUNTIFS(B117:B132,G127)</f>
        <v>1</v>
      </c>
      <c r="I127" s="1">
        <f>COUNTIFS(B117:B132,G127,E117:E132,"7")</f>
        <v>1</v>
      </c>
      <c r="J127" s="1">
        <f>COUNTIFS(B117:B132,G127,E117:E132,"6")</f>
        <v>0</v>
      </c>
      <c r="K127" s="1">
        <f>COUNTIFS(B117:B132,G127,E117:E132,"5")</f>
        <v>0</v>
      </c>
      <c r="L127" s="1">
        <f>COUNTIFS(B117:B132,G127,E117:E132,"4")</f>
        <v>0</v>
      </c>
      <c r="M127" s="1">
        <f t="shared" si="7"/>
        <v>0</v>
      </c>
    </row>
    <row r="128" spans="1:14" x14ac:dyDescent="0.25">
      <c r="G128" s="1" t="s">
        <v>9</v>
      </c>
      <c r="H128" s="1">
        <f>COUNTIFS(B117:B132,G128)</f>
        <v>0</v>
      </c>
      <c r="I128" s="1">
        <f>COUNTIFS(B117:B132,G128,E117:E132,"7")</f>
        <v>0</v>
      </c>
      <c r="J128" s="1">
        <f>COUNTIFS(B117:B132,G128,E117:E132,"6")</f>
        <v>0</v>
      </c>
      <c r="K128" s="1">
        <f>COUNTIFS(B117:B132,G128,E117:E132,"5")</f>
        <v>0</v>
      </c>
      <c r="L128" s="1">
        <f>COUNTIFS(B117:B132,G128,E117:E132,"4")</f>
        <v>0</v>
      </c>
      <c r="M128" s="1">
        <f t="shared" si="7"/>
        <v>0</v>
      </c>
    </row>
    <row r="129" spans="7:14" x14ac:dyDescent="0.25">
      <c r="G129" s="1" t="s">
        <v>10</v>
      </c>
      <c r="H129" s="1">
        <f>COUNTIFS(B117:B132,G129)</f>
        <v>0</v>
      </c>
      <c r="I129" s="1">
        <f>COUNTIFS(B117:B132,G129,E117:E132,"7")</f>
        <v>0</v>
      </c>
      <c r="J129" s="1">
        <f>COUNTIFS(B117:B132,G129,E117:E132,"6")</f>
        <v>0</v>
      </c>
      <c r="K129" s="1">
        <f>COUNTIFS(B117:B132,G129,E117:E132,"5")</f>
        <v>0</v>
      </c>
      <c r="L129" s="1">
        <f>COUNTIFS(B117:B132,G129,E117:E132,"4")</f>
        <v>0</v>
      </c>
      <c r="M129" s="1">
        <f t="shared" si="7"/>
        <v>0</v>
      </c>
    </row>
    <row r="130" spans="7:14" x14ac:dyDescent="0.25">
      <c r="G130" s="1" t="s">
        <v>11</v>
      </c>
      <c r="H130" s="1">
        <f>COUNTIFS(B117:B132,G130)</f>
        <v>1</v>
      </c>
      <c r="I130" s="1">
        <f>COUNTIFS(B117:B132,G130,E117:E132,"7")</f>
        <v>0</v>
      </c>
      <c r="J130" s="1">
        <f>COUNTIFS(B117:B132,G130,E117:E132,"6")</f>
        <v>0</v>
      </c>
      <c r="K130" s="1">
        <f>COUNTIFS(B117:B132,G130,E117:E132,"5")</f>
        <v>1</v>
      </c>
      <c r="L130" s="1">
        <f>COUNTIFS(B117:B132,G130,E117:E132,"4")</f>
        <v>0</v>
      </c>
      <c r="M130" s="1">
        <f t="shared" si="7"/>
        <v>0</v>
      </c>
    </row>
    <row r="131" spans="7:14" x14ac:dyDescent="0.25">
      <c r="G131" s="3" t="s">
        <v>27</v>
      </c>
      <c r="H131" s="2"/>
      <c r="I131" s="2"/>
      <c r="J131" s="2"/>
      <c r="K131" s="2"/>
      <c r="L131" s="2"/>
      <c r="M131" s="2"/>
      <c r="N131" s="4" t="e">
        <f>M117 - ((H132/H117) *M132) - ((H133/H117) *M133) - ((H134/H117) *M134) - ((H135/H117) *M135)</f>
        <v>#NUM!</v>
      </c>
    </row>
    <row r="132" spans="7:14" x14ac:dyDescent="0.25">
      <c r="G132" s="1" t="s">
        <v>28</v>
      </c>
      <c r="H132" s="1">
        <f>COUNTIFS(C117:C132,"&gt;= 1",C117:C132,"&lt;1400")</f>
        <v>0</v>
      </c>
      <c r="I132" s="1">
        <f>COUNTIFS(C117:C132,"&gt;= 1",C117:C132,"&lt;1400",E117:E132,"7")</f>
        <v>0</v>
      </c>
      <c r="J132" s="1">
        <f>COUNTIFS(C117:C132,"&gt;= 1",C117:C132,"&lt;1400",E117:E132,"6")</f>
        <v>0</v>
      </c>
      <c r="K132" s="1">
        <f>COUNTIFS(C117:C132,"&gt;= 1",C117:C132,"&lt;1400",E117:E132,"5")</f>
        <v>0</v>
      </c>
      <c r="L132" s="1">
        <f>COUNTIFS(C117:C132,"&gt;= 1",C117:C132,"&lt;1400",E117:E132,"4")</f>
        <v>0</v>
      </c>
      <c r="M132" s="1">
        <f xml:space="preserve">  IFERROR( -((I132/H132) * IMLOG2(I132/H132) + (J132/H132) * IMLOG2(J132/H132) + (K132/H132) * IMLOG2(K132/H132) +  (L132/H132) * IMLOG2(L132/H132)), 0)</f>
        <v>0</v>
      </c>
    </row>
    <row r="133" spans="7:14" x14ac:dyDescent="0.25">
      <c r="G133" s="1" t="s">
        <v>29</v>
      </c>
      <c r="H133" s="1">
        <f>COUNTIFS(C117:C132,"&gt;= 1400",C117:C132,"&lt;1600")</f>
        <v>0</v>
      </c>
      <c r="I133" s="1">
        <f>COUNTIFS(C117:C132,"&gt;= 1400",C117:C132,"&lt;1600",E117:E132,"7")</f>
        <v>0</v>
      </c>
      <c r="J133" s="1">
        <f>COUNTIFS(C117:C132,"&gt;= 1400",C117:C132,"&lt;1600",E117:E132,"6")</f>
        <v>0</v>
      </c>
      <c r="K133" s="1">
        <f>COUNTIFS(C117:C132,"&gt;= 1400",C117:C132,"&lt;1600",E117:E132,"5")</f>
        <v>0</v>
      </c>
      <c r="L133" s="1">
        <f>COUNTIFS(C117:C132,"&gt;= 1400",C117:C132,"&lt;1600",E117:E132,"4")</f>
        <v>0</v>
      </c>
      <c r="M133" s="1">
        <f t="shared" ref="M133:M135" si="8" xml:space="preserve">  IFERROR( -((I133/H133) * IMLOG2(I133/H133) + (J133/H133) * IMLOG2(J133/H133) + (K133/H133) * IMLOG2(K133/H133) +  (L133/H133) * IMLOG2(L133/H133)), 0)</f>
        <v>0</v>
      </c>
    </row>
    <row r="134" spans="7:14" x14ac:dyDescent="0.25">
      <c r="G134" s="1" t="s">
        <v>30</v>
      </c>
      <c r="H134" s="1">
        <f>COUNTIFS(C117:C132,"&gt;= 1600",C117:C132,"&lt;2000")</f>
        <v>0</v>
      </c>
      <c r="I134" s="1">
        <f>COUNTIFS(C117:C132,"&gt;= 1600",C117:C132,"&lt;1800",E117:E132,"7")</f>
        <v>0</v>
      </c>
      <c r="J134" s="1">
        <f>COUNTIFS(C117:C132,"&gt;= 1600",C117:C132,"&lt;1800",E117:E132,"6")</f>
        <v>0</v>
      </c>
      <c r="K134" s="1">
        <f>COUNTIFS(C117:C132,"&gt;= 1600",C117:C132,"&lt;1800",E117:E132,"5")</f>
        <v>0</v>
      </c>
      <c r="L134" s="1">
        <f>COUNTIFS(C117:C132,"&gt;= 1600",C117:C132,"&lt;1800",E117:E132,"4")</f>
        <v>0</v>
      </c>
      <c r="M134" s="1">
        <f t="shared" si="8"/>
        <v>0</v>
      </c>
    </row>
    <row r="135" spans="7:14" x14ac:dyDescent="0.25">
      <c r="G135" s="5" t="s">
        <v>31</v>
      </c>
      <c r="H135" s="1">
        <f>COUNTIFS(C117:C132,"&gt;= 2000",C117:C132,"&lt;5000")</f>
        <v>6</v>
      </c>
      <c r="I135" s="1">
        <f>COUNTIFS(C117:C132,"&gt;= 1800",C117:C132,"&lt;5000",E117:E132,"7")</f>
        <v>1</v>
      </c>
      <c r="J135" s="1">
        <f>COUNTIFS(C117:C132,"&gt;= 1800",C117:C132,"&lt;5000",E117:E132,"6")</f>
        <v>1</v>
      </c>
      <c r="K135" s="1">
        <f>COUNTIFS(C117:C132,"&gt;= 1800",C117:C132,"&lt;5000",E117:E132,"5")</f>
        <v>4</v>
      </c>
      <c r="L135" s="1">
        <f>COUNTIFS(C117:C132,"&gt;= 1800",C117:C132,"&lt;5000",E117:E132,"4")</f>
        <v>0</v>
      </c>
      <c r="M135" s="4">
        <f t="shared" si="8"/>
        <v>0</v>
      </c>
    </row>
    <row r="174" spans="1:6" x14ac:dyDescent="0.25">
      <c r="A174" s="1" t="s">
        <v>12</v>
      </c>
    </row>
    <row r="175" spans="1:6" x14ac:dyDescent="0.25">
      <c r="A175" s="1">
        <v>0</v>
      </c>
      <c r="B175" s="1">
        <v>3</v>
      </c>
      <c r="C175" s="1">
        <v>5</v>
      </c>
      <c r="D175" s="1">
        <v>7</v>
      </c>
      <c r="E175" s="1">
        <v>8</v>
      </c>
      <c r="F175" s="1">
        <v>1</v>
      </c>
    </row>
    <row r="176" spans="1:6" x14ac:dyDescent="0.25">
      <c r="A176" s="1" t="s">
        <v>0</v>
      </c>
      <c r="B176" s="1" t="s">
        <v>2</v>
      </c>
      <c r="C176" s="1" t="s">
        <v>3</v>
      </c>
      <c r="D176" s="1" t="s">
        <v>4</v>
      </c>
      <c r="E176" s="1" t="s">
        <v>5</v>
      </c>
      <c r="F176" s="1" t="s">
        <v>1</v>
      </c>
    </row>
    <row r="177" spans="1:6" x14ac:dyDescent="0.25">
      <c r="A177" s="1">
        <v>1642</v>
      </c>
      <c r="B177" s="1" t="s">
        <v>6</v>
      </c>
      <c r="C177" s="1">
        <v>2143</v>
      </c>
      <c r="D177" s="1">
        <v>50</v>
      </c>
      <c r="E177" s="1">
        <v>9</v>
      </c>
      <c r="F177" s="1">
        <v>5</v>
      </c>
    </row>
    <row r="178" spans="1:6" x14ac:dyDescent="0.25">
      <c r="A178" s="1">
        <v>8323</v>
      </c>
      <c r="B178" s="1" t="s">
        <v>6</v>
      </c>
      <c r="C178" s="1">
        <v>1899</v>
      </c>
      <c r="D178" s="1">
        <v>20</v>
      </c>
      <c r="E178" s="1">
        <v>3</v>
      </c>
      <c r="F178" s="1">
        <v>4</v>
      </c>
    </row>
    <row r="179" spans="1:6" x14ac:dyDescent="0.25">
      <c r="A179" s="1">
        <v>8225</v>
      </c>
      <c r="B179" s="1" t="s">
        <v>6</v>
      </c>
      <c r="C179" s="1">
        <v>1901</v>
      </c>
      <c r="D179" s="1">
        <v>75</v>
      </c>
      <c r="E179" s="1">
        <v>7</v>
      </c>
      <c r="F179" s="1">
        <v>4</v>
      </c>
    </row>
    <row r="180" spans="1:6" x14ac:dyDescent="0.25">
      <c r="A180" s="1">
        <v>2378</v>
      </c>
      <c r="B180" s="1" t="s">
        <v>6</v>
      </c>
      <c r="C180" s="1">
        <v>2086</v>
      </c>
      <c r="D180" s="1">
        <v>188</v>
      </c>
      <c r="E180" s="1">
        <v>26</v>
      </c>
      <c r="F180" s="1">
        <v>5</v>
      </c>
    </row>
    <row r="181" spans="1:6" x14ac:dyDescent="0.25">
      <c r="A181" s="1">
        <v>5345</v>
      </c>
      <c r="B181" s="1" t="s">
        <v>6</v>
      </c>
      <c r="C181" s="1">
        <v>1969</v>
      </c>
      <c r="D181" s="1">
        <v>63</v>
      </c>
      <c r="E181" s="1">
        <v>8</v>
      </c>
      <c r="F181" s="1">
        <v>4</v>
      </c>
    </row>
    <row r="182" spans="1:6" x14ac:dyDescent="0.25">
      <c r="A182" s="1">
        <v>2532</v>
      </c>
      <c r="B182" s="1" t="s">
        <v>6</v>
      </c>
      <c r="C182" s="1">
        <v>2077</v>
      </c>
      <c r="D182" s="1">
        <v>352</v>
      </c>
      <c r="E182" s="1">
        <v>11</v>
      </c>
      <c r="F182" s="1">
        <v>5</v>
      </c>
    </row>
    <row r="183" spans="1:6" x14ac:dyDescent="0.25">
      <c r="A183" s="1">
        <v>2984</v>
      </c>
      <c r="B183" s="1" t="s">
        <v>6</v>
      </c>
      <c r="C183" s="1">
        <v>2054</v>
      </c>
      <c r="D183" s="1">
        <v>207</v>
      </c>
      <c r="E183" s="1">
        <v>41</v>
      </c>
      <c r="F183" s="1">
        <v>5</v>
      </c>
    </row>
    <row r="184" spans="1:6" x14ac:dyDescent="0.25">
      <c r="A184" s="1">
        <v>527</v>
      </c>
      <c r="B184" s="1" t="s">
        <v>7</v>
      </c>
      <c r="C184" s="1">
        <v>2312</v>
      </c>
      <c r="D184" s="1">
        <v>127</v>
      </c>
      <c r="E184" s="1">
        <v>7</v>
      </c>
      <c r="F184" s="1">
        <v>6</v>
      </c>
    </row>
    <row r="185" spans="1:6" x14ac:dyDescent="0.25">
      <c r="A185" s="1">
        <v>30</v>
      </c>
      <c r="B185" s="1" t="s">
        <v>8</v>
      </c>
      <c r="C185" s="1">
        <v>2709</v>
      </c>
      <c r="D185" s="1">
        <v>176</v>
      </c>
      <c r="E185" s="1">
        <v>3</v>
      </c>
      <c r="F185" s="1">
        <v>7</v>
      </c>
    </row>
    <row r="186" spans="1:6" x14ac:dyDescent="0.25">
      <c r="A186" s="1">
        <v>1280</v>
      </c>
      <c r="B186" s="1" t="s">
        <v>9</v>
      </c>
      <c r="C186" s="1">
        <v>2185</v>
      </c>
      <c r="D186" s="1">
        <v>900</v>
      </c>
      <c r="E186" s="1">
        <v>10</v>
      </c>
      <c r="F186" s="1">
        <v>5</v>
      </c>
    </row>
    <row r="187" spans="1:6" x14ac:dyDescent="0.25">
      <c r="A187" s="1">
        <v>8609</v>
      </c>
      <c r="B187" s="1" t="s">
        <v>6</v>
      </c>
      <c r="C187" s="1">
        <v>1894</v>
      </c>
      <c r="D187" s="1">
        <v>59</v>
      </c>
      <c r="E187" s="1">
        <v>14</v>
      </c>
      <c r="F187" s="1">
        <v>4</v>
      </c>
    </row>
    <row r="188" spans="1:6" x14ac:dyDescent="0.25">
      <c r="A188" s="1">
        <v>2984</v>
      </c>
      <c r="B188" s="1" t="s">
        <v>10</v>
      </c>
      <c r="C188" s="1">
        <v>2054</v>
      </c>
      <c r="D188" s="1">
        <v>258</v>
      </c>
      <c r="E188" s="1">
        <v>15</v>
      </c>
      <c r="F188" s="1">
        <v>5</v>
      </c>
    </row>
    <row r="189" spans="1:6" x14ac:dyDescent="0.25">
      <c r="A189" s="1">
        <v>5410</v>
      </c>
      <c r="B189" s="1" t="s">
        <v>6</v>
      </c>
      <c r="C189" s="1">
        <v>1967</v>
      </c>
      <c r="D189" s="1">
        <v>297</v>
      </c>
      <c r="E189" s="1">
        <v>40</v>
      </c>
      <c r="F189" s="1">
        <v>4</v>
      </c>
    </row>
    <row r="190" spans="1:6" x14ac:dyDescent="0.25">
      <c r="A190" s="1">
        <v>3521</v>
      </c>
      <c r="B190" s="1" t="s">
        <v>6</v>
      </c>
      <c r="C190" s="1">
        <v>2033</v>
      </c>
      <c r="D190" s="1">
        <v>133</v>
      </c>
      <c r="E190" s="1">
        <v>24</v>
      </c>
      <c r="F190" s="1">
        <v>5</v>
      </c>
    </row>
    <row r="191" spans="1:6" x14ac:dyDescent="0.25">
      <c r="A191" s="1">
        <v>7116</v>
      </c>
      <c r="B191" s="1" t="s">
        <v>6</v>
      </c>
      <c r="C191" s="1">
        <v>1923</v>
      </c>
      <c r="D191" s="1">
        <v>68</v>
      </c>
      <c r="E191" s="1">
        <v>7</v>
      </c>
      <c r="F191" s="1">
        <v>4</v>
      </c>
    </row>
    <row r="192" spans="1:6" x14ac:dyDescent="0.25">
      <c r="A192" s="1">
        <v>5303</v>
      </c>
      <c r="B192" s="1" t="s">
        <v>6</v>
      </c>
      <c r="C192" s="1">
        <v>1970</v>
      </c>
      <c r="D192" s="1">
        <v>44</v>
      </c>
      <c r="E192" s="1">
        <v>2</v>
      </c>
      <c r="F192" s="1">
        <v>4</v>
      </c>
    </row>
    <row r="193" spans="1:6" x14ac:dyDescent="0.25">
      <c r="A193" s="1">
        <v>9542</v>
      </c>
      <c r="B193" s="1" t="s">
        <v>8</v>
      </c>
      <c r="C193" s="1">
        <v>1878</v>
      </c>
      <c r="D193" s="1">
        <v>19</v>
      </c>
      <c r="E193" s="1">
        <v>0</v>
      </c>
      <c r="F193" s="1">
        <v>4</v>
      </c>
    </row>
    <row r="194" spans="1:6" x14ac:dyDescent="0.25">
      <c r="A194" s="1">
        <v>4346</v>
      </c>
      <c r="B194" s="1" t="s">
        <v>11</v>
      </c>
      <c r="C194" s="1">
        <v>2004</v>
      </c>
      <c r="D194" s="1">
        <v>34</v>
      </c>
      <c r="E194" s="1">
        <v>2</v>
      </c>
      <c r="F194" s="1">
        <v>5</v>
      </c>
    </row>
    <row r="195" spans="1:6" x14ac:dyDescent="0.25">
      <c r="A195" s="1">
        <v>8717</v>
      </c>
      <c r="B195" s="1" t="s">
        <v>6</v>
      </c>
      <c r="C195" s="1">
        <v>1892</v>
      </c>
      <c r="D195" s="1">
        <v>37</v>
      </c>
      <c r="E195" s="1">
        <v>7</v>
      </c>
      <c r="F195" s="1">
        <v>4</v>
      </c>
    </row>
    <row r="196" spans="1:6" x14ac:dyDescent="0.25">
      <c r="A196" s="1">
        <v>9812</v>
      </c>
      <c r="B196" s="1" t="s">
        <v>8</v>
      </c>
      <c r="C196" s="1">
        <v>1874</v>
      </c>
      <c r="D196" s="1">
        <v>105</v>
      </c>
      <c r="E196" s="1">
        <v>1</v>
      </c>
      <c r="F196" s="1">
        <v>4</v>
      </c>
    </row>
    <row r="197" spans="1:6" x14ac:dyDescent="0.25">
      <c r="A197" s="1">
        <v>9035</v>
      </c>
      <c r="B197" s="1" t="s">
        <v>6</v>
      </c>
      <c r="C197" s="1">
        <v>1886</v>
      </c>
      <c r="D197" s="1">
        <v>16</v>
      </c>
      <c r="E197" s="1">
        <v>2</v>
      </c>
      <c r="F197" s="1">
        <v>4</v>
      </c>
    </row>
  </sheetData>
  <mergeCells count="2">
    <mergeCell ref="A89:E89"/>
    <mergeCell ref="A114:E1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HALLANDO DATOS</vt:lpstr>
      <vt:lpstr>ARBOL DE DESICION</vt:lpstr>
      <vt:lpstr>Sheet2MasDatos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Fury</dc:creator>
  <cp:lastModifiedBy>Usuario</cp:lastModifiedBy>
  <dcterms:created xsi:type="dcterms:W3CDTF">2015-06-05T18:17:20Z</dcterms:created>
  <dcterms:modified xsi:type="dcterms:W3CDTF">2023-04-25T02:00:32Z</dcterms:modified>
</cp:coreProperties>
</file>