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N25" i="1"/>
  <c r="N27" s="1"/>
  <c r="B6" s="1"/>
  <c r="N18"/>
  <c r="O11"/>
  <c r="O10"/>
  <c r="O9"/>
  <c r="O12"/>
  <c r="N31"/>
  <c r="F19"/>
  <c r="H19" s="1"/>
  <c r="F24" s="1"/>
  <c r="H24" s="1"/>
  <c r="B5" s="1"/>
  <c r="N20" l="1"/>
  <c r="B7" s="1"/>
  <c r="B4"/>
  <c r="N32" s="1"/>
  <c r="M4"/>
  <c r="S48"/>
  <c r="R48"/>
  <c r="P48"/>
  <c r="N48"/>
  <c r="Q54"/>
  <c r="Q53"/>
  <c r="Q52"/>
  <c r="B3" l="1"/>
  <c r="B10" l="1"/>
  <c r="M3" s="1"/>
  <c r="M5" s="1"/>
  <c r="P9" s="1"/>
  <c r="F3" l="1"/>
  <c r="Q9"/>
  <c r="P10"/>
  <c r="Q10" s="1"/>
  <c r="P11"/>
  <c r="Q11" s="1"/>
  <c r="P12"/>
  <c r="Q12" s="1"/>
  <c r="B14" l="1"/>
  <c r="F4" s="1"/>
  <c r="F5" s="1"/>
  <c r="H9" s="1"/>
  <c r="J9" l="1"/>
  <c r="H10"/>
  <c r="J10" s="1"/>
  <c r="H13"/>
  <c r="I13" s="1"/>
  <c r="J13" s="1"/>
  <c r="H11"/>
  <c r="I11" s="1"/>
  <c r="H12"/>
  <c r="I12" s="1"/>
  <c r="J12" s="1"/>
  <c r="I9" l="1"/>
  <c r="J11"/>
  <c r="B13" s="1"/>
  <c r="B22" s="1"/>
  <c r="I10"/>
  <c r="B24" l="1"/>
</calcChain>
</file>

<file path=xl/comments1.xml><?xml version="1.0" encoding="utf-8"?>
<comments xmlns="http://schemas.openxmlformats.org/spreadsheetml/2006/main">
  <authors>
    <author>Renato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Renato:</t>
        </r>
        <r>
          <rPr>
            <sz val="9"/>
            <color indexed="81"/>
            <rFont val="Tahoma"/>
            <family val="2"/>
          </rPr>
          <t xml:space="preserve">
Preencher os campos em verde</t>
        </r>
      </text>
    </comment>
  </commentList>
</comments>
</file>

<file path=xl/sharedStrings.xml><?xml version="1.0" encoding="utf-8"?>
<sst xmlns="http://schemas.openxmlformats.org/spreadsheetml/2006/main" count="90" uniqueCount="72">
  <si>
    <t>Vencimento</t>
  </si>
  <si>
    <t>Assejud</t>
  </si>
  <si>
    <t>Imposto de Renda</t>
  </si>
  <si>
    <t>INSS</t>
  </si>
  <si>
    <t>Ganhos</t>
  </si>
  <si>
    <t>Descontos</t>
  </si>
  <si>
    <t>Base Cálculo</t>
  </si>
  <si>
    <r>
      <t>De </t>
    </r>
    <r>
      <rPr>
        <b/>
        <sz val="11"/>
        <color rgb="FF202124"/>
        <rFont val="Arial"/>
        <family val="2"/>
      </rPr>
      <t>R$ 2.826,66</t>
    </r>
    <r>
      <rPr>
        <sz val="11"/>
        <color rgb="FF202124"/>
        <rFont val="Arial"/>
        <family val="2"/>
      </rPr>
      <t> a </t>
    </r>
    <r>
      <rPr>
        <b/>
        <sz val="11"/>
        <color rgb="FF202124"/>
        <rFont val="Arial"/>
        <family val="2"/>
      </rPr>
      <t>R$ 3.751,05</t>
    </r>
  </si>
  <si>
    <r>
      <t xml:space="preserve">Até </t>
    </r>
    <r>
      <rPr>
        <b/>
        <sz val="11"/>
        <color rgb="FF202124"/>
        <rFont val="Arial"/>
        <family val="2"/>
      </rPr>
      <t>R$1.903,98</t>
    </r>
  </si>
  <si>
    <r>
      <t xml:space="preserve">De </t>
    </r>
    <r>
      <rPr>
        <b/>
        <sz val="11"/>
        <color rgb="FF202124"/>
        <rFont val="Arial"/>
        <family val="2"/>
      </rPr>
      <t>R$1.903,99</t>
    </r>
    <r>
      <rPr>
        <sz val="11"/>
        <color rgb="FF202124"/>
        <rFont val="Arial"/>
        <family val="2"/>
      </rPr>
      <t xml:space="preserve"> até </t>
    </r>
    <r>
      <rPr>
        <b/>
        <sz val="11"/>
        <color rgb="FF202124"/>
        <rFont val="Arial"/>
        <family val="2"/>
      </rPr>
      <t>R$2.826,65</t>
    </r>
  </si>
  <si>
    <r>
      <t>De </t>
    </r>
    <r>
      <rPr>
        <b/>
        <sz val="11"/>
        <color rgb="FF202124"/>
        <rFont val="Arial"/>
        <family val="2"/>
      </rPr>
      <t>R$ 3.751,06</t>
    </r>
    <r>
      <rPr>
        <sz val="11"/>
        <color rgb="FF202124"/>
        <rFont val="Arial"/>
        <family val="2"/>
      </rPr>
      <t> a</t>
    </r>
    <r>
      <rPr>
        <b/>
        <sz val="11"/>
        <color rgb="FF202124"/>
        <rFont val="Arial"/>
        <family val="2"/>
      </rPr>
      <t xml:space="preserve"> R$ 4.664,68</t>
    </r>
  </si>
  <si>
    <r>
      <t xml:space="preserve">Acima de </t>
    </r>
    <r>
      <rPr>
        <b/>
        <sz val="11"/>
        <color rgb="FF202124"/>
        <rFont val="Arial"/>
        <family val="2"/>
      </rPr>
      <t>R$4.664,68</t>
    </r>
  </si>
  <si>
    <t>Base de Cálculo</t>
  </si>
  <si>
    <t>Alíquota</t>
  </si>
  <si>
    <t>Parcela a Deduzir</t>
  </si>
  <si>
    <t>Valor Base</t>
  </si>
  <si>
    <t>IRRF</t>
  </si>
  <si>
    <t>Valor Devido (IRRF -Parcela a Deduzir)</t>
  </si>
  <si>
    <t>Isento</t>
  </si>
  <si>
    <t>Valor considerado para imposto de Renda</t>
  </si>
  <si>
    <t>Total Ganhos</t>
  </si>
  <si>
    <t>Total Descontos</t>
  </si>
  <si>
    <t>#</t>
  </si>
  <si>
    <t>TOTAIS</t>
  </si>
  <si>
    <t>MÊS</t>
  </si>
  <si>
    <t>PRINCIPAL</t>
  </si>
  <si>
    <t>FATOR</t>
  </si>
  <si>
    <t>PRINC. CORRIGIDO</t>
  </si>
  <si>
    <t>JUROS</t>
  </si>
  <si>
    <t>$ JUROS</t>
  </si>
  <si>
    <t>TOTAL</t>
  </si>
  <si>
    <t>Reajuste</t>
  </si>
  <si>
    <t>a</t>
  </si>
  <si>
    <t>Valor em Folha</t>
  </si>
  <si>
    <t>Período</t>
  </si>
  <si>
    <t>Data Pagamento</t>
  </si>
  <si>
    <t>Valor considerado para INSS</t>
  </si>
  <si>
    <t>CÁLCULO IMPOSTO DE RENDA</t>
  </si>
  <si>
    <t>CÁLCULO INSS</t>
  </si>
  <si>
    <t>Parcela a Somar</t>
  </si>
  <si>
    <t>Auxílio Saude</t>
  </si>
  <si>
    <t>Uniodonto</t>
  </si>
  <si>
    <t>Salário Líquido</t>
  </si>
  <si>
    <t>Datas e Valores de Pagamento</t>
  </si>
  <si>
    <t>Unimed/SC Saúde</t>
  </si>
  <si>
    <t>Cálculo Reajuste Salarial 2020</t>
  </si>
  <si>
    <t>Valor Reajuste</t>
  </si>
  <si>
    <t>Triênio</t>
  </si>
  <si>
    <t>Não</t>
  </si>
  <si>
    <t>Sim</t>
  </si>
  <si>
    <t>CÁLCULO AUXÍLIO ALIMENTAÇÃO</t>
  </si>
  <si>
    <t>Indexador</t>
  </si>
  <si>
    <t>Valor Auxílio</t>
  </si>
  <si>
    <t>Cálculo Auxílio Alimentação</t>
  </si>
  <si>
    <t>CÁLCULO TRIÊNIOS</t>
  </si>
  <si>
    <t>Triênios que possui:</t>
  </si>
  <si>
    <t>Percentual</t>
  </si>
  <si>
    <t>Valor Recebido</t>
  </si>
  <si>
    <t>Salário</t>
  </si>
  <si>
    <t>CÁLCULO AUXÍLIO CRECHE</t>
  </si>
  <si>
    <t>Cálculo Auxílio Creche</t>
  </si>
  <si>
    <t>Auxilio Creche</t>
  </si>
  <si>
    <t>Auxilio Alimentação</t>
  </si>
  <si>
    <t>Considerar no Cálculo?</t>
  </si>
  <si>
    <t>Quantos Filhos Possui?</t>
  </si>
  <si>
    <t>Reajuste 2022/2023</t>
  </si>
  <si>
    <t>Reajuste maio 2022</t>
  </si>
  <si>
    <t>Reajuste 2023/2024</t>
  </si>
  <si>
    <t>Considerar Reajuste de 2023?</t>
  </si>
  <si>
    <t>Reajuste  2023</t>
  </si>
  <si>
    <t>Considerar Reajuste de 2024?</t>
  </si>
  <si>
    <t>Base J-12 (05/2022)</t>
  </si>
</sst>
</file>

<file path=xl/styles.xml><?xml version="1.0" encoding="utf-8"?>
<styleSheet xmlns="http://schemas.openxmlformats.org/spreadsheetml/2006/main">
  <numFmts count="6">
    <numFmt numFmtId="44" formatCode="_-&quot;R$&quot;\ * #,##0.00_-;\-&quot;R$&quot;\ * #,##0.00_-;_-&quot;R$&quot;\ * &quot;-&quot;??_-;_-@_-"/>
    <numFmt numFmtId="164" formatCode="0.0000000"/>
    <numFmt numFmtId="165" formatCode="&quot;De&quot;\ &quot;R$&quot;\ #,##0.00;\-&quot;R$&quot;\ #,##0.00"/>
    <numFmt numFmtId="166" formatCode="&quot;até&quot;\ &quot;R$&quot;\ #,##0.00;\-&quot;R$&quot;\ #,##0.00"/>
    <numFmt numFmtId="167" formatCode="0.000%"/>
    <numFmt numFmtId="168" formatCode="_-&quot;R$&quot;\ * #,##0.0000_-;\-&quot;R$&quot;\ * #,##0.00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202124"/>
      <name val="Arial"/>
      <family val="2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Protection="1"/>
    <xf numFmtId="0" fontId="0" fillId="0" borderId="11" xfId="0" applyBorder="1" applyProtection="1"/>
    <xf numFmtId="44" fontId="0" fillId="0" borderId="12" xfId="0" applyNumberFormat="1" applyBorder="1" applyProtection="1"/>
    <xf numFmtId="44" fontId="0" fillId="0" borderId="0" xfId="0" applyNumberFormat="1" applyProtection="1"/>
    <xf numFmtId="0" fontId="0" fillId="0" borderId="13" xfId="0" applyBorder="1" applyProtection="1"/>
    <xf numFmtId="44" fontId="0" fillId="0" borderId="14" xfId="0" applyNumberFormat="1" applyBorder="1" applyProtection="1"/>
    <xf numFmtId="0" fontId="2" fillId="0" borderId="9" xfId="0" applyFont="1" applyBorder="1" applyProtection="1"/>
    <xf numFmtId="44" fontId="2" fillId="0" borderId="10" xfId="0" applyNumberFormat="1" applyFont="1" applyBorder="1" applyProtection="1"/>
    <xf numFmtId="44" fontId="2" fillId="0" borderId="10" xfId="1" applyFont="1" applyBorder="1" applyProtection="1"/>
    <xf numFmtId="0" fontId="3" fillId="0" borderId="18" xfId="0" applyFont="1" applyBorder="1" applyProtection="1"/>
    <xf numFmtId="0" fontId="0" fillId="0" borderId="19" xfId="0" applyBorder="1" applyAlignment="1" applyProtection="1">
      <alignment horizontal="center" vertical="center"/>
    </xf>
    <xf numFmtId="44" fontId="0" fillId="0" borderId="19" xfId="1" applyFont="1" applyBorder="1" applyProtection="1"/>
    <xf numFmtId="44" fontId="6" fillId="0" borderId="20" xfId="1" applyFont="1" applyFill="1" applyBorder="1" applyProtection="1"/>
    <xf numFmtId="165" fontId="3" fillId="0" borderId="18" xfId="0" applyNumberFormat="1" applyFont="1" applyBorder="1" applyAlignment="1" applyProtection="1">
      <alignment horizontal="center" vertical="center"/>
    </xf>
    <xf numFmtId="10" fontId="0" fillId="0" borderId="16" xfId="0" applyNumberFormat="1" applyBorder="1" applyAlignment="1" applyProtection="1">
      <alignment horizontal="center" vertical="center"/>
    </xf>
    <xf numFmtId="0" fontId="3" fillId="0" borderId="3" xfId="0" applyFont="1" applyBorder="1" applyProtection="1"/>
    <xf numFmtId="44" fontId="0" fillId="0" borderId="16" xfId="1" applyFont="1" applyBorder="1" applyProtection="1"/>
    <xf numFmtId="165" fontId="3" fillId="0" borderId="3" xfId="0" applyNumberFormat="1" applyFont="1" applyBorder="1" applyAlignment="1" applyProtection="1">
      <alignment horizontal="center" vertical="center"/>
    </xf>
    <xf numFmtId="165" fontId="3" fillId="0" borderId="5" xfId="0" applyNumberFormat="1" applyFont="1" applyBorder="1" applyAlignment="1" applyProtection="1">
      <alignment horizontal="center" vertical="center"/>
    </xf>
    <xf numFmtId="10" fontId="0" fillId="0" borderId="17" xfId="0" applyNumberFormat="1" applyBorder="1" applyAlignment="1" applyProtection="1">
      <alignment horizontal="center" vertical="center"/>
    </xf>
    <xf numFmtId="44" fontId="0" fillId="0" borderId="17" xfId="1" applyFont="1" applyBorder="1" applyProtection="1"/>
    <xf numFmtId="0" fontId="3" fillId="0" borderId="5" xfId="0" applyFont="1" applyBorder="1" applyProtection="1"/>
    <xf numFmtId="17" fontId="0" fillId="0" borderId="0" xfId="0" applyNumberFormat="1" applyProtection="1"/>
    <xf numFmtId="44" fontId="2" fillId="0" borderId="20" xfId="1" applyFont="1" applyBorder="1" applyProtection="1"/>
    <xf numFmtId="44" fontId="2" fillId="0" borderId="4" xfId="1" applyFont="1" applyBorder="1" applyProtection="1"/>
    <xf numFmtId="166" fontId="3" fillId="0" borderId="39" xfId="0" applyNumberFormat="1" applyFont="1" applyBorder="1" applyAlignment="1" applyProtection="1">
      <alignment horizontal="center" vertical="center"/>
    </xf>
    <xf numFmtId="166" fontId="3" fillId="0" borderId="40" xfId="0" applyNumberFormat="1" applyFont="1" applyBorder="1" applyAlignment="1" applyProtection="1">
      <alignment horizontal="center" vertical="center"/>
    </xf>
    <xf numFmtId="166" fontId="3" fillId="0" borderId="41" xfId="0" applyNumberFormat="1" applyFont="1" applyBorder="1" applyAlignment="1" applyProtection="1">
      <alignment horizontal="center" vertical="center"/>
    </xf>
    <xf numFmtId="44" fontId="0" fillId="0" borderId="55" xfId="1" applyFont="1" applyBorder="1" applyAlignment="1" applyProtection="1">
      <alignment horizontal="center" vertical="center"/>
    </xf>
    <xf numFmtId="0" fontId="2" fillId="0" borderId="56" xfId="0" applyFont="1" applyBorder="1" applyAlignment="1" applyProtection="1">
      <alignment horizontal="center" vertical="center"/>
    </xf>
    <xf numFmtId="0" fontId="2" fillId="0" borderId="57" xfId="0" applyFont="1" applyBorder="1" applyAlignment="1" applyProtection="1">
      <alignment horizontal="center" vertical="center"/>
    </xf>
    <xf numFmtId="0" fontId="2" fillId="0" borderId="58" xfId="0" applyFont="1" applyBorder="1" applyAlignment="1" applyProtection="1">
      <alignment horizontal="center" vertical="center"/>
    </xf>
    <xf numFmtId="44" fontId="0" fillId="3" borderId="53" xfId="1" applyFont="1" applyFill="1" applyBorder="1" applyAlignment="1" applyProtection="1">
      <alignment horizontal="center" vertical="center"/>
    </xf>
    <xf numFmtId="167" fontId="0" fillId="0" borderId="54" xfId="0" applyNumberFormat="1" applyBorder="1" applyAlignment="1" applyProtection="1">
      <alignment horizontal="center" vertical="center"/>
    </xf>
    <xf numFmtId="10" fontId="0" fillId="0" borderId="0" xfId="0" applyNumberFormat="1" applyProtection="1"/>
    <xf numFmtId="0" fontId="2" fillId="0" borderId="0" xfId="0" applyFont="1" applyAlignment="1" applyProtection="1">
      <alignment horizontal="center"/>
    </xf>
    <xf numFmtId="10" fontId="0" fillId="0" borderId="0" xfId="0" applyNumberFormat="1"/>
    <xf numFmtId="9" fontId="0" fillId="0" borderId="0" xfId="0" applyNumberFormat="1"/>
    <xf numFmtId="44" fontId="0" fillId="3" borderId="0" xfId="1" applyFont="1" applyFill="1" applyBorder="1" applyAlignment="1" applyProtection="1">
      <alignment horizontal="center" vertical="center"/>
    </xf>
    <xf numFmtId="167" fontId="0" fillId="0" borderId="0" xfId="0" applyNumberFormat="1" applyBorder="1" applyAlignment="1" applyProtection="1">
      <alignment horizontal="center" vertical="center"/>
    </xf>
    <xf numFmtId="44" fontId="0" fillId="0" borderId="0" xfId="1" applyFont="1" applyBorder="1" applyAlignment="1" applyProtection="1">
      <alignment horizontal="center" vertical="center"/>
    </xf>
    <xf numFmtId="0" fontId="2" fillId="4" borderId="0" xfId="0" applyFont="1" applyFill="1" applyAlignment="1" applyProtection="1">
      <alignment horizontal="center" vertical="center"/>
      <protection locked="0"/>
    </xf>
    <xf numFmtId="44" fontId="0" fillId="0" borderId="12" xfId="1" applyFont="1" applyBorder="1" applyProtection="1"/>
    <xf numFmtId="9" fontId="0" fillId="0" borderId="14" xfId="0" applyNumberFormat="1" applyBorder="1" applyProtection="1"/>
    <xf numFmtId="9" fontId="0" fillId="0" borderId="4" xfId="2" applyFont="1" applyBorder="1" applyProtection="1"/>
    <xf numFmtId="44" fontId="2" fillId="0" borderId="6" xfId="0" applyNumberFormat="1" applyFont="1" applyBorder="1" applyProtection="1"/>
    <xf numFmtId="0" fontId="2" fillId="0" borderId="0" xfId="0" applyFont="1" applyAlignment="1" applyProtection="1"/>
    <xf numFmtId="0" fontId="12" fillId="0" borderId="1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3" xfId="0" applyFont="1" applyBorder="1" applyProtection="1"/>
    <xf numFmtId="17" fontId="12" fillId="0" borderId="16" xfId="0" applyNumberFormat="1" applyFont="1" applyBorder="1" applyProtection="1"/>
    <xf numFmtId="44" fontId="12" fillId="0" borderId="16" xfId="1" applyFont="1" applyBorder="1" applyProtection="1"/>
    <xf numFmtId="164" fontId="12" fillId="0" borderId="16" xfId="0" applyNumberFormat="1" applyFont="1" applyBorder="1" applyProtection="1"/>
    <xf numFmtId="10" fontId="12" fillId="0" borderId="16" xfId="0" applyNumberFormat="1" applyFont="1" applyBorder="1" applyProtection="1"/>
    <xf numFmtId="44" fontId="12" fillId="0" borderId="4" xfId="1" applyFont="1" applyBorder="1" applyProtection="1"/>
    <xf numFmtId="0" fontId="12" fillId="0" borderId="5" xfId="0" applyFont="1" applyBorder="1" applyProtection="1"/>
    <xf numFmtId="17" fontId="12" fillId="0" borderId="17" xfId="0" applyNumberFormat="1" applyFont="1" applyBorder="1" applyProtection="1"/>
    <xf numFmtId="44" fontId="12" fillId="0" borderId="17" xfId="1" applyFont="1" applyBorder="1" applyProtection="1"/>
    <xf numFmtId="164" fontId="12" fillId="0" borderId="17" xfId="0" applyNumberFormat="1" applyFont="1" applyBorder="1" applyProtection="1"/>
    <xf numFmtId="10" fontId="12" fillId="0" borderId="17" xfId="0" applyNumberFormat="1" applyFont="1" applyBorder="1" applyProtection="1"/>
    <xf numFmtId="44" fontId="12" fillId="0" borderId="6" xfId="1" applyFont="1" applyBorder="1" applyProtection="1"/>
    <xf numFmtId="0" fontId="13" fillId="0" borderId="9" xfId="0" applyFont="1" applyBorder="1" applyProtection="1"/>
    <xf numFmtId="0" fontId="13" fillId="0" borderId="49" xfId="0" applyFont="1" applyBorder="1" applyProtection="1"/>
    <xf numFmtId="44" fontId="13" fillId="0" borderId="49" xfId="1" applyFont="1" applyBorder="1" applyProtection="1"/>
    <xf numFmtId="44" fontId="13" fillId="0" borderId="10" xfId="1" applyFont="1" applyBorder="1" applyProtection="1"/>
    <xf numFmtId="0" fontId="12" fillId="0" borderId="0" xfId="0" applyFont="1" applyProtection="1"/>
    <xf numFmtId="17" fontId="13" fillId="0" borderId="22" xfId="0" applyNumberFormat="1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7" fontId="12" fillId="0" borderId="26" xfId="0" applyNumberFormat="1" applyFont="1" applyBorder="1" applyProtection="1"/>
    <xf numFmtId="17" fontId="12" fillId="0" borderId="27" xfId="0" applyNumberFormat="1" applyFont="1" applyBorder="1" applyProtection="1"/>
    <xf numFmtId="0" fontId="12" fillId="0" borderId="28" xfId="0" applyFont="1" applyBorder="1" applyAlignment="1" applyProtection="1">
      <alignment horizontal="center"/>
    </xf>
    <xf numFmtId="17" fontId="12" fillId="0" borderId="29" xfId="0" applyNumberFormat="1" applyFont="1" applyBorder="1" applyProtection="1"/>
    <xf numFmtId="44" fontId="12" fillId="0" borderId="26" xfId="0" applyNumberFormat="1" applyFont="1" applyBorder="1" applyProtection="1"/>
    <xf numFmtId="17" fontId="12" fillId="0" borderId="30" xfId="0" applyNumberFormat="1" applyFont="1" applyBorder="1" applyProtection="1"/>
    <xf numFmtId="17" fontId="12" fillId="0" borderId="31" xfId="0" applyNumberFormat="1" applyFont="1" applyBorder="1" applyProtection="1"/>
    <xf numFmtId="0" fontId="12" fillId="0" borderId="32" xfId="0" applyFont="1" applyBorder="1" applyAlignment="1" applyProtection="1">
      <alignment horizontal="center"/>
    </xf>
    <xf numFmtId="17" fontId="12" fillId="0" borderId="33" xfId="0" applyNumberFormat="1" applyFont="1" applyBorder="1" applyProtection="1"/>
    <xf numFmtId="44" fontId="12" fillId="0" borderId="30" xfId="0" applyNumberFormat="1" applyFont="1" applyBorder="1" applyProtection="1"/>
    <xf numFmtId="17" fontId="12" fillId="0" borderId="34" xfId="0" applyNumberFormat="1" applyFont="1" applyBorder="1" applyProtection="1"/>
    <xf numFmtId="17" fontId="12" fillId="0" borderId="35" xfId="0" applyNumberFormat="1" applyFont="1" applyBorder="1" applyProtection="1"/>
    <xf numFmtId="0" fontId="12" fillId="0" borderId="36" xfId="0" applyFont="1" applyBorder="1" applyAlignment="1" applyProtection="1">
      <alignment horizontal="center"/>
    </xf>
    <xf numFmtId="17" fontId="12" fillId="0" borderId="37" xfId="0" applyNumberFormat="1" applyFont="1" applyBorder="1" applyProtection="1"/>
    <xf numFmtId="44" fontId="12" fillId="0" borderId="34" xfId="0" applyNumberFormat="1" applyFont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44" fontId="2" fillId="0" borderId="0" xfId="1" applyFont="1" applyBorder="1" applyProtection="1"/>
    <xf numFmtId="10" fontId="0" fillId="0" borderId="14" xfId="0" applyNumberFormat="1" applyBorder="1" applyProtection="1"/>
    <xf numFmtId="0" fontId="2" fillId="4" borderId="2" xfId="0" applyFont="1" applyFill="1" applyBorder="1" applyAlignment="1" applyProtection="1">
      <alignment horizontal="center"/>
      <protection locked="0"/>
    </xf>
    <xf numFmtId="44" fontId="6" fillId="0" borderId="6" xfId="1" applyNumberFormat="1" applyFont="1" applyFill="1" applyBorder="1" applyProtection="1"/>
    <xf numFmtId="44" fontId="0" fillId="3" borderId="4" xfId="1" applyNumberFormat="1" applyFont="1" applyFill="1" applyBorder="1" applyProtection="1"/>
    <xf numFmtId="44" fontId="0" fillId="3" borderId="12" xfId="1" applyNumberFormat="1" applyFont="1" applyFill="1" applyBorder="1" applyProtection="1"/>
    <xf numFmtId="44" fontId="0" fillId="0" borderId="20" xfId="1" applyNumberFormat="1" applyFont="1" applyFill="1" applyBorder="1" applyProtection="1"/>
    <xf numFmtId="44" fontId="0" fillId="3" borderId="20" xfId="1" applyNumberFormat="1" applyFont="1" applyFill="1" applyBorder="1" applyProtection="1"/>
    <xf numFmtId="44" fontId="0" fillId="4" borderId="46" xfId="1" applyNumberFormat="1" applyFont="1" applyFill="1" applyBorder="1" applyProtection="1">
      <protection locked="0"/>
    </xf>
    <xf numFmtId="44" fontId="0" fillId="4" borderId="14" xfId="1" applyNumberFormat="1" applyFont="1" applyFill="1" applyBorder="1" applyProtection="1">
      <protection locked="0"/>
    </xf>
    <xf numFmtId="44" fontId="2" fillId="0" borderId="10" xfId="1" applyNumberFormat="1" applyFont="1" applyBorder="1" applyProtection="1"/>
    <xf numFmtId="44" fontId="0" fillId="0" borderId="0" xfId="1" applyNumberFormat="1" applyFont="1" applyProtection="1"/>
    <xf numFmtId="44" fontId="0" fillId="4" borderId="20" xfId="1" applyNumberFormat="1" applyFont="1" applyFill="1" applyBorder="1" applyProtection="1">
      <protection locked="0"/>
    </xf>
    <xf numFmtId="44" fontId="0" fillId="4" borderId="4" xfId="1" applyNumberFormat="1" applyFont="1" applyFill="1" applyBorder="1" applyProtection="1">
      <protection locked="0"/>
    </xf>
    <xf numFmtId="44" fontId="2" fillId="0" borderId="6" xfId="1" applyNumberFormat="1" applyFont="1" applyBorder="1" applyProtection="1"/>
    <xf numFmtId="44" fontId="0" fillId="0" borderId="17" xfId="1" applyNumberFormat="1" applyFont="1" applyBorder="1" applyProtection="1"/>
    <xf numFmtId="44" fontId="0" fillId="0" borderId="19" xfId="1" applyNumberFormat="1" applyFont="1" applyBorder="1" applyProtection="1"/>
    <xf numFmtId="44" fontId="0" fillId="0" borderId="16" xfId="1" applyNumberFormat="1" applyFont="1" applyBorder="1" applyProtection="1"/>
    <xf numFmtId="44" fontId="7" fillId="2" borderId="38" xfId="1" applyNumberFormat="1" applyFont="1" applyFill="1" applyBorder="1" applyProtection="1"/>
    <xf numFmtId="168" fontId="0" fillId="0" borderId="11" xfId="0" applyNumberFormat="1" applyBorder="1" applyProtection="1"/>
    <xf numFmtId="168" fontId="0" fillId="0" borderId="18" xfId="0" applyNumberFormat="1" applyBorder="1" applyProtection="1"/>
    <xf numFmtId="168" fontId="0" fillId="0" borderId="3" xfId="0" applyNumberFormat="1" applyBorder="1" applyProtection="1"/>
    <xf numFmtId="168" fontId="0" fillId="0" borderId="45" xfId="0" applyNumberFormat="1" applyBorder="1" applyProtection="1">
      <protection locked="0"/>
    </xf>
    <xf numFmtId="168" fontId="0" fillId="0" borderId="13" xfId="0" applyNumberFormat="1" applyBorder="1" applyProtection="1">
      <protection locked="0"/>
    </xf>
    <xf numFmtId="168" fontId="2" fillId="0" borderId="9" xfId="0" applyNumberFormat="1" applyFont="1" applyBorder="1" applyProtection="1"/>
    <xf numFmtId="168" fontId="0" fillId="0" borderId="0" xfId="0" applyNumberFormat="1" applyProtection="1"/>
    <xf numFmtId="168" fontId="0" fillId="0" borderId="18" xfId="0" applyNumberFormat="1" applyBorder="1" applyProtection="1">
      <protection locked="0"/>
    </xf>
    <xf numFmtId="168" fontId="0" fillId="0" borderId="3" xfId="0" applyNumberFormat="1" applyBorder="1" applyProtection="1">
      <protection locked="0"/>
    </xf>
    <xf numFmtId="168" fontId="7" fillId="2" borderId="47" xfId="0" applyNumberFormat="1" applyFont="1" applyFill="1" applyBorder="1" applyProtection="1"/>
    <xf numFmtId="44" fontId="13" fillId="0" borderId="23" xfId="1" applyFont="1" applyBorder="1" applyAlignment="1" applyProtection="1">
      <alignment horizontal="center"/>
    </xf>
    <xf numFmtId="44" fontId="13" fillId="0" borderId="24" xfId="1" applyFont="1" applyBorder="1" applyAlignment="1" applyProtection="1">
      <alignment horizontal="center"/>
    </xf>
    <xf numFmtId="44" fontId="13" fillId="0" borderId="25" xfId="1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wrapText="1"/>
    </xf>
    <xf numFmtId="0" fontId="2" fillId="0" borderId="21" xfId="0" applyFont="1" applyBorder="1" applyAlignment="1" applyProtection="1">
      <alignment horizontal="center" wrapText="1"/>
    </xf>
    <xf numFmtId="0" fontId="11" fillId="0" borderId="7" xfId="0" applyFont="1" applyBorder="1" applyAlignment="1" applyProtection="1">
      <alignment horizontal="center"/>
    </xf>
    <xf numFmtId="0" fontId="11" fillId="0" borderId="48" xfId="0" applyFont="1" applyBorder="1" applyAlignment="1" applyProtection="1">
      <alignment horizontal="center"/>
    </xf>
    <xf numFmtId="0" fontId="11" fillId="0" borderId="8" xfId="0" applyFont="1" applyBorder="1" applyAlignment="1" applyProtection="1">
      <alignment horizontal="center"/>
    </xf>
    <xf numFmtId="0" fontId="13" fillId="0" borderId="50" xfId="0" applyFont="1" applyBorder="1" applyAlignment="1" applyProtection="1">
      <alignment horizontal="center"/>
    </xf>
    <xf numFmtId="0" fontId="13" fillId="0" borderId="51" xfId="0" applyFont="1" applyBorder="1" applyAlignment="1" applyProtection="1">
      <alignment horizontal="center"/>
    </xf>
    <xf numFmtId="0" fontId="13" fillId="0" borderId="52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5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0" fillId="0" borderId="16" xfId="0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2" fillId="0" borderId="17" xfId="0" applyFont="1" applyBorder="1" applyAlignment="1" applyProtection="1">
      <alignment horizontal="left"/>
    </xf>
    <xf numFmtId="0" fontId="2" fillId="5" borderId="60" xfId="0" applyFont="1" applyFill="1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0" fontId="0" fillId="0" borderId="21" xfId="0" applyBorder="1" applyAlignment="1" applyProtection="1">
      <alignment horizontal="left"/>
    </xf>
    <xf numFmtId="168" fontId="2" fillId="0" borderId="7" xfId="0" applyNumberFormat="1" applyFont="1" applyBorder="1" applyAlignment="1" applyProtection="1">
      <alignment horizontal="center"/>
    </xf>
    <xf numFmtId="168" fontId="2" fillId="0" borderId="8" xfId="0" applyNumberFormat="1" applyFont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 wrapText="1"/>
    </xf>
    <xf numFmtId="0" fontId="5" fillId="0" borderId="14" xfId="0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4" xfId="0" applyFont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left"/>
    </xf>
    <xf numFmtId="0" fontId="2" fillId="0" borderId="49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wrapText="1"/>
    </xf>
    <xf numFmtId="0" fontId="2" fillId="0" borderId="48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center" wrapText="1"/>
    </xf>
    <xf numFmtId="0" fontId="0" fillId="0" borderId="11" xfId="0" applyBorder="1" applyAlignment="1" applyProtection="1">
      <alignment horizontal="left"/>
    </xf>
    <xf numFmtId="0" fontId="0" fillId="0" borderId="61" xfId="0" applyBorder="1" applyAlignment="1" applyProtection="1">
      <alignment horizontal="left"/>
    </xf>
    <xf numFmtId="0" fontId="8" fillId="0" borderId="47" xfId="0" applyFont="1" applyBorder="1" applyAlignment="1" applyProtection="1">
      <alignment horizontal="center" vertical="center"/>
    </xf>
    <xf numFmtId="0" fontId="8" fillId="0" borderId="59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6" fillId="5" borderId="60" xfId="0" applyFont="1" applyFill="1" applyBorder="1" applyAlignment="1" applyProtection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tabSelected="1" workbookViewId="0">
      <selection activeCell="E17" sqref="E17"/>
    </sheetView>
  </sheetViews>
  <sheetFormatPr defaultRowHeight="15"/>
  <cols>
    <col min="1" max="1" width="18.85546875" style="1" bestFit="1" customWidth="1"/>
    <col min="2" max="2" width="13.5703125" style="98" bestFit="1" customWidth="1"/>
    <col min="3" max="3" width="2" style="1" bestFit="1" customWidth="1"/>
    <col min="4" max="4" width="6.85546875" style="1" bestFit="1" customWidth="1"/>
    <col min="5" max="5" width="30.42578125" style="1" bestFit="1" customWidth="1"/>
    <col min="6" max="6" width="13.28515625" style="1" bestFit="1" customWidth="1"/>
    <col min="7" max="7" width="13.7109375" style="1" customWidth="1"/>
    <col min="8" max="8" width="14" style="1" bestFit="1" customWidth="1"/>
    <col min="9" max="9" width="12.140625" style="1" bestFit="1" customWidth="1"/>
    <col min="10" max="10" width="13.28515625" style="1" customWidth="1"/>
    <col min="11" max="11" width="9.140625" style="1"/>
    <col min="12" max="12" width="15.7109375" style="1" bestFit="1" customWidth="1"/>
    <col min="13" max="13" width="15.85546875" style="1" bestFit="1" customWidth="1"/>
    <col min="14" max="14" width="13.28515625" style="1" bestFit="1" customWidth="1"/>
    <col min="15" max="15" width="15" style="1" bestFit="1" customWidth="1"/>
    <col min="16" max="16" width="17.7109375" style="1" bestFit="1" customWidth="1"/>
    <col min="17" max="17" width="12.42578125" style="1" customWidth="1"/>
    <col min="18" max="18" width="9.5703125" style="1" bestFit="1" customWidth="1"/>
    <col min="19" max="19" width="12.140625" style="1" bestFit="1" customWidth="1"/>
    <col min="20" max="16384" width="9.140625" style="1"/>
  </cols>
  <sheetData>
    <row r="1" spans="1:17" ht="16.5" thickTop="1" thickBot="1">
      <c r="A1" s="119" t="s">
        <v>4</v>
      </c>
      <c r="B1" s="120"/>
      <c r="E1" s="148" t="s">
        <v>37</v>
      </c>
      <c r="F1" s="148"/>
      <c r="G1" s="148"/>
      <c r="H1" s="148"/>
      <c r="I1" s="148"/>
      <c r="J1" s="148"/>
      <c r="L1" s="148" t="s">
        <v>38</v>
      </c>
      <c r="M1" s="148"/>
      <c r="N1" s="148"/>
      <c r="O1" s="148"/>
      <c r="P1" s="148"/>
      <c r="Q1" s="148"/>
    </row>
    <row r="2" spans="1:17" ht="16.5" thickTop="1" thickBot="1">
      <c r="A2" s="106" t="s">
        <v>0</v>
      </c>
      <c r="B2" s="92">
        <v>7164.66</v>
      </c>
      <c r="E2" s="119" t="s">
        <v>19</v>
      </c>
      <c r="F2" s="120"/>
      <c r="L2" s="119" t="s">
        <v>36</v>
      </c>
      <c r="M2" s="120"/>
    </row>
    <row r="3" spans="1:17">
      <c r="A3" s="107" t="s">
        <v>47</v>
      </c>
      <c r="B3" s="93">
        <f>N32</f>
        <v>0</v>
      </c>
      <c r="E3" s="2" t="s">
        <v>4</v>
      </c>
      <c r="F3" s="3">
        <f>B10</f>
        <v>9166.59</v>
      </c>
      <c r="G3" s="4"/>
      <c r="L3" s="2" t="s">
        <v>4</v>
      </c>
      <c r="M3" s="3">
        <f>B10</f>
        <v>9166.59</v>
      </c>
      <c r="N3" s="4"/>
    </row>
    <row r="4" spans="1:17" ht="15.75" thickBot="1">
      <c r="A4" s="107" t="s">
        <v>66</v>
      </c>
      <c r="B4" s="94">
        <f>IF(H16="Não",0,H19)</f>
        <v>0</v>
      </c>
      <c r="E4" s="5" t="s">
        <v>5</v>
      </c>
      <c r="F4" s="6">
        <f>SUM(B6,B7,B8,B9,B14)</f>
        <v>2830.31</v>
      </c>
      <c r="G4" s="4"/>
      <c r="L4" s="5" t="s">
        <v>5</v>
      </c>
      <c r="M4" s="6">
        <f>B8</f>
        <v>86.4</v>
      </c>
      <c r="N4" s="4"/>
    </row>
    <row r="5" spans="1:17" ht="15.75" thickBot="1">
      <c r="A5" s="107" t="s">
        <v>69</v>
      </c>
      <c r="B5" s="94">
        <f>IF(H21="Não",0,H24)</f>
        <v>0</v>
      </c>
      <c r="E5" s="7" t="s">
        <v>6</v>
      </c>
      <c r="F5" s="8">
        <f>F3-F4</f>
        <v>6336.2800000000007</v>
      </c>
      <c r="G5" s="4"/>
      <c r="L5" s="7" t="s">
        <v>6</v>
      </c>
      <c r="M5" s="8">
        <f>M3-M4</f>
        <v>9080.19</v>
      </c>
      <c r="N5" s="4"/>
    </row>
    <row r="6" spans="1:17" ht="16.5" thickTop="1" thickBot="1">
      <c r="A6" s="108" t="s">
        <v>62</v>
      </c>
      <c r="B6" s="91">
        <f>IF(N23="Não",0,N27)</f>
        <v>1915.53</v>
      </c>
    </row>
    <row r="7" spans="1:17" ht="16.5" customHeight="1" thickTop="1">
      <c r="A7" s="108" t="s">
        <v>61</v>
      </c>
      <c r="B7" s="91">
        <f>IF(N16="0",0,N20)</f>
        <v>0</v>
      </c>
      <c r="E7" s="146" t="s">
        <v>12</v>
      </c>
      <c r="F7" s="121" t="s">
        <v>13</v>
      </c>
      <c r="G7" s="123" t="s">
        <v>14</v>
      </c>
      <c r="H7" s="121" t="s">
        <v>15</v>
      </c>
      <c r="I7" s="121" t="s">
        <v>16</v>
      </c>
      <c r="J7" s="144" t="s">
        <v>17</v>
      </c>
      <c r="L7" s="149" t="s">
        <v>12</v>
      </c>
      <c r="M7" s="150"/>
      <c r="N7" s="121" t="s">
        <v>13</v>
      </c>
      <c r="O7" s="123" t="s">
        <v>39</v>
      </c>
      <c r="P7" s="121" t="s">
        <v>15</v>
      </c>
      <c r="Q7" s="131" t="s">
        <v>3</v>
      </c>
    </row>
    <row r="8" spans="1:17" ht="15.75" thickBot="1">
      <c r="A8" s="109" t="s">
        <v>40</v>
      </c>
      <c r="B8" s="95">
        <v>86.4</v>
      </c>
      <c r="E8" s="147"/>
      <c r="F8" s="122"/>
      <c r="G8" s="124"/>
      <c r="H8" s="122"/>
      <c r="I8" s="122"/>
      <c r="J8" s="145"/>
      <c r="L8" s="151"/>
      <c r="M8" s="152"/>
      <c r="N8" s="122"/>
      <c r="O8" s="124"/>
      <c r="P8" s="122"/>
      <c r="Q8" s="132"/>
    </row>
    <row r="9" spans="1:17" ht="15.75" thickBot="1">
      <c r="A9" s="110"/>
      <c r="B9" s="96"/>
      <c r="E9" s="10" t="s">
        <v>8</v>
      </c>
      <c r="F9" s="11" t="s">
        <v>18</v>
      </c>
      <c r="G9" s="12">
        <v>0</v>
      </c>
      <c r="H9" s="12" t="str">
        <f>IF($F$5&lt;=1903.98,$F$5,"")</f>
        <v/>
      </c>
      <c r="I9" s="12" t="str">
        <f>IF(H9="","","Isento")</f>
        <v/>
      </c>
      <c r="J9" s="13" t="str">
        <f>IF(H9="","","Isento")</f>
        <v/>
      </c>
      <c r="L9" s="14">
        <v>0</v>
      </c>
      <c r="M9" s="26">
        <v>1212</v>
      </c>
      <c r="N9" s="15">
        <v>7.4999999999999997E-2</v>
      </c>
      <c r="O9" s="103">
        <f>ROUND((M9*N9),2)</f>
        <v>90.9</v>
      </c>
      <c r="P9" s="12" t="str">
        <f>IF($M$5&lt;=M9,$M$5,"")</f>
        <v/>
      </c>
      <c r="Q9" s="24" t="str">
        <f>IF(P9="","",(P9*N9))</f>
        <v/>
      </c>
    </row>
    <row r="10" spans="1:17" ht="15.75" thickBot="1">
      <c r="A10" s="111" t="s">
        <v>20</v>
      </c>
      <c r="B10" s="97">
        <f>SUM(B2:B9)</f>
        <v>9166.59</v>
      </c>
      <c r="E10" s="16" t="s">
        <v>9</v>
      </c>
      <c r="F10" s="15">
        <v>7.4999999999999997E-2</v>
      </c>
      <c r="G10" s="17">
        <v>142.80000000000001</v>
      </c>
      <c r="H10" s="17" t="str">
        <f>IF(AND($F$5&gt;=1903.99,$F$5&lt;=2826.65),$F$5,"")</f>
        <v/>
      </c>
      <c r="I10" s="17" t="str">
        <f t="shared" ref="I10:I13" si="0">IF(H10="","",(H10*F10))</f>
        <v/>
      </c>
      <c r="J10" s="13" t="str">
        <f>IF(H10="","",(I10-G10))</f>
        <v/>
      </c>
      <c r="L10" s="18">
        <v>1212.01</v>
      </c>
      <c r="M10" s="27">
        <v>2427.35</v>
      </c>
      <c r="N10" s="15">
        <v>0.09</v>
      </c>
      <c r="O10" s="104">
        <f>ROUND(((M10-M9)*N10),2)</f>
        <v>109.38</v>
      </c>
      <c r="P10" s="17" t="str">
        <f>IF(AND($M$5&gt;=L10,$M$5&lt;=M10),$M$5,"")</f>
        <v/>
      </c>
      <c r="Q10" s="25" t="str">
        <f>IF(P10="","",(SUM(O9,((P10-M9)*N10))))</f>
        <v/>
      </c>
    </row>
    <row r="11" spans="1:17" ht="16.5" thickTop="1" thickBot="1">
      <c r="A11" s="112"/>
      <c r="E11" s="16" t="s">
        <v>7</v>
      </c>
      <c r="F11" s="15">
        <v>0.15</v>
      </c>
      <c r="G11" s="17">
        <v>354.8</v>
      </c>
      <c r="H11" s="17" t="str">
        <f>IF(AND($F$5&gt;=2826.66,$F$5&lt;=3751.05),$F$5,"")</f>
        <v/>
      </c>
      <c r="I11" s="17" t="str">
        <f t="shared" si="0"/>
        <v/>
      </c>
      <c r="J11" s="13" t="str">
        <f t="shared" ref="J11:J13" si="1">IF(H11="","",(I11-G11))</f>
        <v/>
      </c>
      <c r="L11" s="18">
        <v>2427.36</v>
      </c>
      <c r="M11" s="27">
        <v>3641.03</v>
      </c>
      <c r="N11" s="15">
        <v>0.12</v>
      </c>
      <c r="O11" s="104">
        <f>ROUND(((M11-M10)*N11),2)</f>
        <v>145.63999999999999</v>
      </c>
      <c r="P11" s="17" t="str">
        <f>IF(AND($M$5&gt;=L11,$M$5&lt;=M11),$M$5,"")</f>
        <v/>
      </c>
      <c r="Q11" s="25" t="str">
        <f>IF(P11="","",(SUM(O9,O10,((P11-M10)*N11))))</f>
        <v/>
      </c>
    </row>
    <row r="12" spans="1:17" ht="16.5" thickTop="1" thickBot="1">
      <c r="A12" s="142" t="s">
        <v>5</v>
      </c>
      <c r="B12" s="143"/>
      <c r="E12" s="16" t="s">
        <v>10</v>
      </c>
      <c r="F12" s="15">
        <v>0.22500000000000001</v>
      </c>
      <c r="G12" s="17">
        <v>636.13</v>
      </c>
      <c r="H12" s="17" t="str">
        <f>IF(AND($F$5&gt;=3751.06,$F$5&lt;=4664.68),$F$5,"")</f>
        <v/>
      </c>
      <c r="I12" s="17" t="str">
        <f t="shared" si="0"/>
        <v/>
      </c>
      <c r="J12" s="13" t="str">
        <f t="shared" si="1"/>
        <v/>
      </c>
      <c r="L12" s="19">
        <v>3641.04</v>
      </c>
      <c r="M12" s="28">
        <v>7087.22</v>
      </c>
      <c r="N12" s="20">
        <v>0.14000000000000001</v>
      </c>
      <c r="O12" s="102">
        <f>ROUND(((M12-M11)*N12),2)</f>
        <v>482.47</v>
      </c>
      <c r="P12" s="102">
        <f>IF($M$5&gt;L12,(IF($M$5&gt;M12, M12,$M$5)),"")</f>
        <v>7087.22</v>
      </c>
      <c r="Q12" s="101">
        <f>ROUNDDOWN((IF(P12="","",(SUM(O9,O10,O11,((P12-M11)*N12))))),2)</f>
        <v>828.38</v>
      </c>
    </row>
    <row r="13" spans="1:17" ht="16.5" thickTop="1" thickBot="1">
      <c r="A13" s="108" t="s">
        <v>2</v>
      </c>
      <c r="B13" s="91">
        <f>ROUND((SUM(J9:J13)),2)</f>
        <v>873.12</v>
      </c>
      <c r="E13" s="22" t="s">
        <v>11</v>
      </c>
      <c r="F13" s="20">
        <v>0.27500000000000002</v>
      </c>
      <c r="G13" s="21">
        <v>869.36</v>
      </c>
      <c r="H13" s="21">
        <f>IF($F$5&gt;4664.68,$F$5,"")</f>
        <v>6336.2800000000007</v>
      </c>
      <c r="I13" s="21">
        <f t="shared" si="0"/>
        <v>1742.4770000000003</v>
      </c>
      <c r="J13" s="90">
        <f t="shared" si="1"/>
        <v>873.1170000000003</v>
      </c>
    </row>
    <row r="14" spans="1:17" ht="15.75" thickTop="1">
      <c r="A14" s="108" t="s">
        <v>3</v>
      </c>
      <c r="B14" s="91">
        <f>ROUND((SUM(Q9:Q12)),2)</f>
        <v>828.38</v>
      </c>
    </row>
    <row r="15" spans="1:17">
      <c r="A15" s="113" t="s">
        <v>1</v>
      </c>
      <c r="B15" s="99">
        <v>15</v>
      </c>
      <c r="L15" s="148" t="s">
        <v>59</v>
      </c>
      <c r="M15" s="148"/>
      <c r="N15" s="148"/>
      <c r="O15" s="47"/>
      <c r="P15" s="47"/>
      <c r="Q15" s="47"/>
    </row>
    <row r="16" spans="1:17" ht="15.75" thickBot="1">
      <c r="A16" s="113" t="s">
        <v>41</v>
      </c>
      <c r="B16" s="99">
        <v>86.4</v>
      </c>
      <c r="F16" s="164" t="s">
        <v>68</v>
      </c>
      <c r="G16" s="164"/>
      <c r="H16" s="42" t="s">
        <v>48</v>
      </c>
      <c r="L16" s="153" t="s">
        <v>64</v>
      </c>
      <c r="M16" s="153"/>
      <c r="N16" s="42">
        <v>0</v>
      </c>
      <c r="O16" s="85"/>
      <c r="P16" s="85"/>
      <c r="Q16" s="85"/>
    </row>
    <row r="17" spans="1:17" ht="20.25" customHeight="1" thickTop="1" thickBot="1">
      <c r="A17" s="113" t="s">
        <v>44</v>
      </c>
      <c r="B17" s="99"/>
      <c r="F17" s="161" t="s">
        <v>65</v>
      </c>
      <c r="G17" s="162"/>
      <c r="H17" s="163"/>
      <c r="L17" s="156" t="s">
        <v>60</v>
      </c>
      <c r="M17" s="157"/>
      <c r="N17" s="158"/>
    </row>
    <row r="18" spans="1:17" ht="16.5" thickTop="1" thickBot="1">
      <c r="A18" s="113"/>
      <c r="B18" s="99"/>
      <c r="F18" s="30" t="s">
        <v>58</v>
      </c>
      <c r="G18" s="31" t="s">
        <v>31</v>
      </c>
      <c r="H18" s="32" t="s">
        <v>46</v>
      </c>
      <c r="L18" s="159" t="s">
        <v>71</v>
      </c>
      <c r="M18" s="160"/>
      <c r="N18" s="43">
        <f>IF(H21="Sim", (ROUND(12770.19+ROUND(G19*12770.19,2),2)+(ROUND(12770.19+ROUND(G19*12770.19,2),2)*G24)),(IF(H16="Não",12770.19,ROUND(12770.19+ROUND(G19*12770.19,2),2))))</f>
        <v>12770.19</v>
      </c>
    </row>
    <row r="19" spans="1:17" ht="15.75" thickBot="1">
      <c r="A19" s="113"/>
      <c r="B19" s="99"/>
      <c r="F19" s="33">
        <f>SUM(B2)</f>
        <v>7164.66</v>
      </c>
      <c r="G19" s="34"/>
      <c r="H19" s="29" t="str">
        <f>IF(H16="Não","",(F19*G19))</f>
        <v/>
      </c>
      <c r="L19" s="140" t="s">
        <v>51</v>
      </c>
      <c r="M19" s="141"/>
      <c r="N19" s="88">
        <v>6.2700000000000006E-2</v>
      </c>
    </row>
    <row r="20" spans="1:17" ht="16.5" thickTop="1" thickBot="1">
      <c r="A20" s="114"/>
      <c r="B20" s="100"/>
      <c r="F20" s="39"/>
      <c r="G20" s="40"/>
      <c r="H20" s="41"/>
      <c r="L20" s="154" t="s">
        <v>52</v>
      </c>
      <c r="M20" s="155"/>
      <c r="N20" s="9">
        <f>ROUND((N18*N19*N16),2)</f>
        <v>0</v>
      </c>
    </row>
    <row r="21" spans="1:17" ht="16.5" thickTop="1" thickBot="1">
      <c r="A21" s="110"/>
      <c r="B21" s="96"/>
      <c r="F21" s="139" t="s">
        <v>70</v>
      </c>
      <c r="G21" s="139"/>
      <c r="H21" s="42" t="s">
        <v>48</v>
      </c>
      <c r="L21" s="86"/>
      <c r="M21" s="86"/>
      <c r="N21" s="87"/>
    </row>
    <row r="22" spans="1:17" ht="20.25" thickTop="1" thickBot="1">
      <c r="A22" s="111" t="s">
        <v>21</v>
      </c>
      <c r="B22" s="97">
        <f>ROUND((SUM(B13:B21)),2)</f>
        <v>1802.9</v>
      </c>
      <c r="F22" s="161" t="s">
        <v>67</v>
      </c>
      <c r="G22" s="162"/>
      <c r="H22" s="163"/>
      <c r="L22" s="148" t="s">
        <v>50</v>
      </c>
      <c r="M22" s="148"/>
      <c r="N22" s="148"/>
      <c r="O22" s="47"/>
      <c r="P22" s="47"/>
      <c r="Q22" s="47"/>
    </row>
    <row r="23" spans="1:17" ht="16.5" thickTop="1" thickBot="1">
      <c r="A23" s="112"/>
      <c r="F23" s="30" t="s">
        <v>58</v>
      </c>
      <c r="G23" s="31" t="s">
        <v>31</v>
      </c>
      <c r="H23" s="32" t="s">
        <v>46</v>
      </c>
      <c r="L23" s="153" t="s">
        <v>63</v>
      </c>
      <c r="M23" s="153"/>
      <c r="N23" s="42" t="s">
        <v>49</v>
      </c>
      <c r="O23" s="36"/>
      <c r="P23" s="36"/>
      <c r="Q23" s="36"/>
    </row>
    <row r="24" spans="1:17" ht="17.25" thickTop="1" thickBot="1">
      <c r="A24" s="115" t="s">
        <v>42</v>
      </c>
      <c r="B24" s="105">
        <f>ROUND((B10-B22),2)</f>
        <v>7363.69</v>
      </c>
      <c r="F24" s="33">
        <f>SUM(F19,H19)</f>
        <v>7164.66</v>
      </c>
      <c r="G24" s="34"/>
      <c r="H24" s="29" t="str">
        <f>IF(H21="Não","",(F24*G24))</f>
        <v/>
      </c>
      <c r="L24" s="156" t="s">
        <v>53</v>
      </c>
      <c r="M24" s="157"/>
      <c r="N24" s="158"/>
    </row>
    <row r="25" spans="1:17" ht="15.75" thickTop="1">
      <c r="A25" s="23"/>
      <c r="L25" s="159" t="s">
        <v>71</v>
      </c>
      <c r="M25" s="160"/>
      <c r="N25" s="43">
        <f>IF(H21="Sim", (ROUND(12770.19+ROUND(G19*12770.19,2),2)+(ROUND(12770.19+ROUND(G19*12770.19,2),2)*G24)),(IF(H16="Não",12770.19,ROUND(12770.19+ROUND(G19*12770.19,2),2))))</f>
        <v>12770.19</v>
      </c>
    </row>
    <row r="26" spans="1:17" ht="15.75" thickBot="1">
      <c r="F26"/>
      <c r="G26"/>
      <c r="H26"/>
      <c r="L26" s="140" t="s">
        <v>51</v>
      </c>
      <c r="M26" s="141"/>
      <c r="N26" s="44">
        <v>0.15</v>
      </c>
    </row>
    <row r="27" spans="1:17" ht="15.75" thickBot="1">
      <c r="F27"/>
      <c r="G27"/>
      <c r="H27"/>
      <c r="L27" s="154" t="s">
        <v>52</v>
      </c>
      <c r="M27" s="155"/>
      <c r="N27" s="9">
        <f>ROUND((N25*N26),2)</f>
        <v>1915.53</v>
      </c>
    </row>
    <row r="28" spans="1:17" ht="15.75" thickTop="1">
      <c r="F28"/>
      <c r="G28"/>
      <c r="H28"/>
    </row>
    <row r="29" spans="1:17" ht="15.75" thickBot="1">
      <c r="F29"/>
      <c r="G29"/>
      <c r="H29"/>
      <c r="L29" s="139" t="s">
        <v>54</v>
      </c>
      <c r="M29" s="139"/>
      <c r="N29" s="139"/>
      <c r="O29" s="47"/>
      <c r="P29" s="47"/>
      <c r="Q29" s="47"/>
    </row>
    <row r="30" spans="1:17" ht="15.75" thickTop="1">
      <c r="A30" s="23"/>
      <c r="B30" s="4"/>
      <c r="L30" s="133" t="s">
        <v>55</v>
      </c>
      <c r="M30" s="134"/>
      <c r="N30" s="89">
        <v>0</v>
      </c>
    </row>
    <row r="31" spans="1:17">
      <c r="A31" s="23"/>
      <c r="G31" s="35"/>
      <c r="L31" s="135" t="s">
        <v>56</v>
      </c>
      <c r="M31" s="136"/>
      <c r="N31" s="45">
        <f>N30*3%</f>
        <v>0</v>
      </c>
    </row>
    <row r="32" spans="1:17" ht="15.75" thickBot="1">
      <c r="A32" s="23"/>
      <c r="F32" s="4"/>
      <c r="H32" s="4"/>
      <c r="L32" s="137" t="s">
        <v>57</v>
      </c>
      <c r="M32" s="138"/>
      <c r="N32" s="46">
        <f>ROUND((N31*(B2+B4+B5)),2)</f>
        <v>0</v>
      </c>
    </row>
    <row r="33" spans="1:19" ht="15.75" thickTop="1">
      <c r="A33" s="23"/>
    </row>
    <row r="35" spans="1:19" ht="15.75" thickBot="1"/>
    <row r="36" spans="1:19" ht="20.25" thickTop="1" thickBot="1">
      <c r="L36" s="125" t="s">
        <v>45</v>
      </c>
      <c r="M36" s="126"/>
      <c r="N36" s="126"/>
      <c r="O36" s="126"/>
      <c r="P36" s="126"/>
      <c r="Q36" s="126"/>
      <c r="R36" s="126"/>
      <c r="S36" s="127"/>
    </row>
    <row r="37" spans="1:19" ht="15.75" thickTop="1">
      <c r="L37" s="48" t="s">
        <v>22</v>
      </c>
      <c r="M37" s="49" t="s">
        <v>24</v>
      </c>
      <c r="N37" s="49" t="s">
        <v>25</v>
      </c>
      <c r="O37" s="49" t="s">
        <v>26</v>
      </c>
      <c r="P37" s="49" t="s">
        <v>27</v>
      </c>
      <c r="Q37" s="49" t="s">
        <v>28</v>
      </c>
      <c r="R37" s="49" t="s">
        <v>29</v>
      </c>
      <c r="S37" s="50" t="s">
        <v>30</v>
      </c>
    </row>
    <row r="38" spans="1:19">
      <c r="L38" s="51">
        <v>1</v>
      </c>
      <c r="M38" s="52">
        <v>43952</v>
      </c>
      <c r="N38" s="53">
        <v>140.22</v>
      </c>
      <c r="O38" s="54">
        <v>1.0512173452</v>
      </c>
      <c r="P38" s="53">
        <v>147.4</v>
      </c>
      <c r="Q38" s="55">
        <v>0.08</v>
      </c>
      <c r="R38" s="53">
        <v>11.79</v>
      </c>
      <c r="S38" s="56">
        <v>159.19</v>
      </c>
    </row>
    <row r="39" spans="1:19">
      <c r="L39" s="51">
        <v>2</v>
      </c>
      <c r="M39" s="52">
        <v>43983</v>
      </c>
      <c r="N39" s="53">
        <v>140.22</v>
      </c>
      <c r="O39" s="54">
        <v>1.0538519752</v>
      </c>
      <c r="P39" s="53">
        <v>147.77000000000001</v>
      </c>
      <c r="Q39" s="55">
        <v>7.0000000000000007E-2</v>
      </c>
      <c r="R39" s="53">
        <v>10.34</v>
      </c>
      <c r="S39" s="56">
        <v>158.11000000000001</v>
      </c>
    </row>
    <row r="40" spans="1:19">
      <c r="L40" s="51">
        <v>3</v>
      </c>
      <c r="M40" s="52">
        <v>44013</v>
      </c>
      <c r="N40" s="53">
        <v>140.22</v>
      </c>
      <c r="O40" s="54">
        <v>1.0506998755000001</v>
      </c>
      <c r="P40" s="53">
        <v>147.33000000000001</v>
      </c>
      <c r="Q40" s="55">
        <v>0.06</v>
      </c>
      <c r="R40" s="53">
        <v>8.84</v>
      </c>
      <c r="S40" s="56">
        <v>156.16999999999999</v>
      </c>
    </row>
    <row r="41" spans="1:19">
      <c r="L41" s="51">
        <v>4</v>
      </c>
      <c r="M41" s="52">
        <v>44044</v>
      </c>
      <c r="N41" s="53">
        <v>140.22</v>
      </c>
      <c r="O41" s="54">
        <v>1.0460970485000001</v>
      </c>
      <c r="P41" s="53">
        <v>146.68</v>
      </c>
      <c r="Q41" s="55">
        <v>0.05</v>
      </c>
      <c r="R41" s="53">
        <v>7.33</v>
      </c>
      <c r="S41" s="56">
        <v>154.01</v>
      </c>
    </row>
    <row r="42" spans="1:19">
      <c r="L42" s="51">
        <v>5</v>
      </c>
      <c r="M42" s="52">
        <v>44075</v>
      </c>
      <c r="N42" s="53">
        <v>140.22</v>
      </c>
      <c r="O42" s="54">
        <v>1.0423446079000001</v>
      </c>
      <c r="P42" s="53">
        <v>146.16</v>
      </c>
      <c r="Q42" s="55">
        <v>0.04</v>
      </c>
      <c r="R42" s="53">
        <v>5.85</v>
      </c>
      <c r="S42" s="56">
        <v>152.01</v>
      </c>
    </row>
    <row r="43" spans="1:19">
      <c r="L43" s="51">
        <v>6</v>
      </c>
      <c r="M43" s="52">
        <v>44105</v>
      </c>
      <c r="N43" s="53">
        <v>140.22</v>
      </c>
      <c r="O43" s="54">
        <v>1.0333544243999999</v>
      </c>
      <c r="P43" s="53">
        <v>144.9</v>
      </c>
      <c r="Q43" s="55">
        <v>0.03</v>
      </c>
      <c r="R43" s="53">
        <v>4.3499999999999996</v>
      </c>
      <c r="S43" s="56">
        <v>149.25</v>
      </c>
    </row>
    <row r="44" spans="1:19">
      <c r="L44" s="51">
        <v>7</v>
      </c>
      <c r="M44" s="52">
        <v>44136</v>
      </c>
      <c r="N44" s="53">
        <v>140.22</v>
      </c>
      <c r="O44" s="54">
        <v>1.0242386999999999</v>
      </c>
      <c r="P44" s="53">
        <v>143.62</v>
      </c>
      <c r="Q44" s="55">
        <v>0.02</v>
      </c>
      <c r="R44" s="53">
        <v>2.87</v>
      </c>
      <c r="S44" s="56">
        <v>146.49</v>
      </c>
    </row>
    <row r="45" spans="1:19">
      <c r="L45" s="51">
        <v>8</v>
      </c>
      <c r="M45" s="52">
        <v>44166</v>
      </c>
      <c r="N45" s="53">
        <v>140.22</v>
      </c>
      <c r="O45" s="54">
        <v>1.0145999999999999</v>
      </c>
      <c r="P45" s="53">
        <v>142.27000000000001</v>
      </c>
      <c r="Q45" s="55">
        <v>0.01</v>
      </c>
      <c r="R45" s="53">
        <v>1.42</v>
      </c>
      <c r="S45" s="56">
        <v>143.69</v>
      </c>
    </row>
    <row r="46" spans="1:19">
      <c r="L46" s="51">
        <v>9</v>
      </c>
      <c r="M46" s="52">
        <v>44166</v>
      </c>
      <c r="N46" s="53">
        <v>140.22</v>
      </c>
      <c r="O46" s="54">
        <v>1.0145999999999999</v>
      </c>
      <c r="P46" s="53">
        <v>142.27000000000001</v>
      </c>
      <c r="Q46" s="55">
        <v>0.01</v>
      </c>
      <c r="R46" s="53">
        <v>1.42</v>
      </c>
      <c r="S46" s="56">
        <v>143.69</v>
      </c>
    </row>
    <row r="47" spans="1:19" ht="15.75" thickBot="1">
      <c r="L47" s="57">
        <v>10</v>
      </c>
      <c r="M47" s="58">
        <v>44197</v>
      </c>
      <c r="N47" s="59">
        <v>140.22</v>
      </c>
      <c r="O47" s="60">
        <v>1</v>
      </c>
      <c r="P47" s="59">
        <v>140.22</v>
      </c>
      <c r="Q47" s="61">
        <v>0</v>
      </c>
      <c r="R47" s="59">
        <v>0</v>
      </c>
      <c r="S47" s="62">
        <v>140.22</v>
      </c>
    </row>
    <row r="48" spans="1:19" ht="16.5" thickTop="1" thickBot="1">
      <c r="L48" s="63" t="s">
        <v>23</v>
      </c>
      <c r="M48" s="64"/>
      <c r="N48" s="65">
        <f>SUM(N38:N47)</f>
        <v>1402.2</v>
      </c>
      <c r="O48" s="64"/>
      <c r="P48" s="65">
        <f>SUM(P38:P47)</f>
        <v>1448.6200000000001</v>
      </c>
      <c r="Q48" s="64"/>
      <c r="R48" s="65">
        <f>SUM(R38:R47)</f>
        <v>54.21</v>
      </c>
      <c r="S48" s="66">
        <f>SUM(S38:S47)</f>
        <v>1502.8300000000002</v>
      </c>
    </row>
    <row r="49" spans="12:19" ht="16.5" thickTop="1" thickBot="1">
      <c r="L49" s="67"/>
      <c r="M49" s="67"/>
      <c r="N49" s="67"/>
      <c r="O49" s="67"/>
      <c r="P49" s="67"/>
      <c r="Q49" s="67"/>
      <c r="R49" s="67"/>
      <c r="S49" s="67"/>
    </row>
    <row r="50" spans="12:19" ht="16.5" thickTop="1" thickBot="1">
      <c r="L50" s="67"/>
      <c r="M50" s="128" t="s">
        <v>43</v>
      </c>
      <c r="N50" s="129"/>
      <c r="O50" s="129"/>
      <c r="P50" s="129"/>
      <c r="Q50" s="130"/>
      <c r="R50" s="67"/>
      <c r="S50" s="67"/>
    </row>
    <row r="51" spans="12:19" ht="16.5" thickTop="1" thickBot="1">
      <c r="L51" s="67"/>
      <c r="M51" s="68" t="s">
        <v>35</v>
      </c>
      <c r="N51" s="116" t="s">
        <v>34</v>
      </c>
      <c r="O51" s="117"/>
      <c r="P51" s="118"/>
      <c r="Q51" s="69" t="s">
        <v>33</v>
      </c>
      <c r="R51" s="67"/>
      <c r="S51" s="67"/>
    </row>
    <row r="52" spans="12:19" ht="15.75" thickTop="1">
      <c r="L52" s="67"/>
      <c r="M52" s="70">
        <v>44228</v>
      </c>
      <c r="N52" s="71">
        <v>43952</v>
      </c>
      <c r="O52" s="72" t="s">
        <v>32</v>
      </c>
      <c r="P52" s="73">
        <v>44013</v>
      </c>
      <c r="Q52" s="74">
        <f>SUM(S38:S40)</f>
        <v>473.47</v>
      </c>
      <c r="R52" s="67"/>
      <c r="S52" s="67"/>
    </row>
    <row r="53" spans="12:19">
      <c r="L53" s="67"/>
      <c r="M53" s="75">
        <v>44256</v>
      </c>
      <c r="N53" s="76">
        <v>44044</v>
      </c>
      <c r="O53" s="77" t="s">
        <v>32</v>
      </c>
      <c r="P53" s="78">
        <v>44105</v>
      </c>
      <c r="Q53" s="79">
        <f>SUM(S41:S43)</f>
        <v>455.27</v>
      </c>
      <c r="R53" s="67"/>
      <c r="S53" s="67"/>
    </row>
    <row r="54" spans="12:19" ht="15.75" thickBot="1">
      <c r="L54" s="67"/>
      <c r="M54" s="80">
        <v>44287</v>
      </c>
      <c r="N54" s="81">
        <v>44136</v>
      </c>
      <c r="O54" s="82" t="s">
        <v>32</v>
      </c>
      <c r="P54" s="83">
        <v>44197</v>
      </c>
      <c r="Q54" s="84">
        <f>SUM(S44:S47)</f>
        <v>574.09</v>
      </c>
      <c r="R54" s="67"/>
      <c r="S54" s="67"/>
    </row>
    <row r="55" spans="12:19" ht="15.75" thickTop="1"/>
  </sheetData>
  <sheetProtection password="CF7A" sheet="1" objects="1" scenarios="1"/>
  <mergeCells count="40">
    <mergeCell ref="L27:M27"/>
    <mergeCell ref="F22:H22"/>
    <mergeCell ref="L1:Q1"/>
    <mergeCell ref="L7:M8"/>
    <mergeCell ref="E2:F2"/>
    <mergeCell ref="L22:N22"/>
    <mergeCell ref="L23:M23"/>
    <mergeCell ref="L20:M20"/>
    <mergeCell ref="L15:N15"/>
    <mergeCell ref="L16:M16"/>
    <mergeCell ref="L17:N17"/>
    <mergeCell ref="L18:M18"/>
    <mergeCell ref="F17:H17"/>
    <mergeCell ref="F16:G16"/>
    <mergeCell ref="F21:G21"/>
    <mergeCell ref="A1:B1"/>
    <mergeCell ref="A12:B12"/>
    <mergeCell ref="J7:J8"/>
    <mergeCell ref="G7:G8"/>
    <mergeCell ref="I7:I8"/>
    <mergeCell ref="F7:F8"/>
    <mergeCell ref="E7:E8"/>
    <mergeCell ref="H7:H8"/>
    <mergeCell ref="E1:J1"/>
    <mergeCell ref="N51:P51"/>
    <mergeCell ref="L2:M2"/>
    <mergeCell ref="N7:N8"/>
    <mergeCell ref="O7:O8"/>
    <mergeCell ref="L36:S36"/>
    <mergeCell ref="M50:Q50"/>
    <mergeCell ref="P7:P8"/>
    <mergeCell ref="Q7:Q8"/>
    <mergeCell ref="L30:M30"/>
    <mergeCell ref="L31:M31"/>
    <mergeCell ref="L32:M32"/>
    <mergeCell ref="L29:N29"/>
    <mergeCell ref="L19:M19"/>
    <mergeCell ref="L24:N24"/>
    <mergeCell ref="L25:M25"/>
    <mergeCell ref="L26:M26"/>
  </mergeCells>
  <conditionalFormatting sqref="E9:J13">
    <cfRule type="expression" dxfId="1" priority="2">
      <formula>$J9&lt;&gt;""</formula>
    </cfRule>
  </conditionalFormatting>
  <conditionalFormatting sqref="L9:Q12">
    <cfRule type="expression" dxfId="0" priority="3">
      <formula>$Q9&lt;&gt;""</formula>
    </cfRule>
  </conditionalFormatting>
  <dataValidations count="3">
    <dataValidation type="list" allowBlank="1" showInputMessage="1" showErrorMessage="1" errorTitle="Apenas selecione o Número" error="Apenas selecione o Número" sqref="N16">
      <formula1>"0,1,2,3,4,5"</formula1>
    </dataValidation>
    <dataValidation type="list" allowBlank="1" showInputMessage="1" showErrorMessage="1" errorTitle="Apenas selecione o número" error="Apenas selecione o número" promptTitle="Apenas selecione o número" sqref="N30">
      <formula1>"0,1,2,3,4,5,6,7,8,9,10"</formula1>
    </dataValidation>
    <dataValidation type="list" allowBlank="1" showInputMessage="1" showErrorMessage="1" errorTitle="Apenas selecione Sim ou Não" error="Apenas selecione Sim ou Não" sqref="N23 H16 H21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D3"/>
  <sheetViews>
    <sheetView workbookViewId="0">
      <selection activeCell="E12" sqref="E12"/>
    </sheetView>
  </sheetViews>
  <sheetFormatPr defaultRowHeight="15"/>
  <cols>
    <col min="3" max="3" width="12.140625" bestFit="1" customWidth="1"/>
    <col min="4" max="4" width="9.5703125" bestFit="1" customWidth="1"/>
    <col min="5" max="5" width="12.140625" bestFit="1" customWidth="1"/>
    <col min="7" max="7" width="9.5703125" bestFit="1" customWidth="1"/>
    <col min="8" max="8" width="12.140625" bestFit="1" customWidth="1"/>
  </cols>
  <sheetData>
    <row r="2" spans="3:4">
      <c r="C2" s="38"/>
      <c r="D2" s="37"/>
    </row>
    <row r="3" spans="3:4">
      <c r="C3" s="38"/>
      <c r="D3" s="37"/>
    </row>
  </sheetData>
  <dataValidations count="1">
    <dataValidation type="list" allowBlank="1" showInputMessage="1" showErrorMessage="1" sqref="A7">
      <formula1>$A$2:$A$3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2020-11-16T19:09:46Z</dcterms:created>
  <dcterms:modified xsi:type="dcterms:W3CDTF">2022-06-09T21:29:02Z</dcterms:modified>
</cp:coreProperties>
</file>