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Cálculo Salário" sheetId="1" r:id="rId1"/>
    <sheet name="Informações Base" sheetId="2" state="hidden" r:id="rId2"/>
  </sheets>
  <definedNames>
    <definedName name="Padrão_de_Vencimento">'Informações Base'!$A$2:$A$11</definedName>
  </definedNames>
  <calcPr calcId="125725" calcOnSave="0"/>
</workbook>
</file>

<file path=xl/calcChain.xml><?xml version="1.0" encoding="utf-8"?>
<calcChain xmlns="http://schemas.openxmlformats.org/spreadsheetml/2006/main">
  <c r="N26" i="1"/>
  <c r="N28" s="1"/>
  <c r="B7" s="1"/>
  <c r="N19"/>
  <c r="B3"/>
  <c r="F20" s="1"/>
  <c r="H20" s="1"/>
  <c r="F25" s="1"/>
  <c r="H25" s="1"/>
  <c r="B6" s="1"/>
  <c r="O12"/>
  <c r="O11"/>
  <c r="O10"/>
  <c r="O13"/>
  <c r="N32"/>
  <c r="N21" l="1"/>
  <c r="B8" s="1"/>
  <c r="B5"/>
  <c r="N33" s="1"/>
  <c r="M5"/>
  <c r="S49"/>
  <c r="R49"/>
  <c r="P49"/>
  <c r="N49"/>
  <c r="Q55"/>
  <c r="Q54"/>
  <c r="Q53"/>
  <c r="B4" l="1"/>
  <c r="B11" l="1"/>
  <c r="M4" s="1"/>
  <c r="M6" s="1"/>
  <c r="P10" s="1"/>
  <c r="F4" l="1"/>
  <c r="Q10"/>
  <c r="P11"/>
  <c r="Q11" s="1"/>
  <c r="P12"/>
  <c r="Q12" s="1"/>
  <c r="P13"/>
  <c r="Q13" s="1"/>
  <c r="B15" l="1"/>
  <c r="F5" s="1"/>
  <c r="F6" s="1"/>
  <c r="H10" s="1"/>
  <c r="J10" l="1"/>
  <c r="H11"/>
  <c r="J11" s="1"/>
  <c r="H14"/>
  <c r="I14" s="1"/>
  <c r="J14" s="1"/>
  <c r="H12"/>
  <c r="I12" s="1"/>
  <c r="H13"/>
  <c r="I13" s="1"/>
  <c r="J13" s="1"/>
  <c r="I10" l="1"/>
  <c r="J12"/>
  <c r="B14" s="1"/>
  <c r="B23" s="1"/>
  <c r="I11"/>
  <c r="B25" l="1"/>
</calcChain>
</file>

<file path=xl/comments1.xml><?xml version="1.0" encoding="utf-8"?>
<comments xmlns="http://schemas.openxmlformats.org/spreadsheetml/2006/main">
  <authors>
    <author>Renato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Renato:</t>
        </r>
        <r>
          <rPr>
            <sz val="9"/>
            <color indexed="81"/>
            <rFont val="Tahoma"/>
            <family val="2"/>
          </rPr>
          <t xml:space="preserve">
Selecione o seu padrão de vencimento acima e preencha os campos em verde se aplicável.</t>
        </r>
      </text>
    </comment>
  </commentList>
</comments>
</file>

<file path=xl/sharedStrings.xml><?xml version="1.0" encoding="utf-8"?>
<sst xmlns="http://schemas.openxmlformats.org/spreadsheetml/2006/main" count="105" uniqueCount="85">
  <si>
    <t>Vencimento</t>
  </si>
  <si>
    <t>Assejud</t>
  </si>
  <si>
    <t>Imposto de Renda</t>
  </si>
  <si>
    <t>INSS</t>
  </si>
  <si>
    <t>Ganhos</t>
  </si>
  <si>
    <t>Descontos</t>
  </si>
  <si>
    <t>Base Cálculo</t>
  </si>
  <si>
    <r>
      <t>De </t>
    </r>
    <r>
      <rPr>
        <b/>
        <sz val="11"/>
        <color rgb="FF202124"/>
        <rFont val="Arial"/>
        <family val="2"/>
      </rPr>
      <t>R$ 2.826,66</t>
    </r>
    <r>
      <rPr>
        <sz val="11"/>
        <color rgb="FF202124"/>
        <rFont val="Arial"/>
        <family val="2"/>
      </rPr>
      <t> a </t>
    </r>
    <r>
      <rPr>
        <b/>
        <sz val="11"/>
        <color rgb="FF202124"/>
        <rFont val="Arial"/>
        <family val="2"/>
      </rPr>
      <t>R$ 3.751,05</t>
    </r>
  </si>
  <si>
    <r>
      <t xml:space="preserve">Até </t>
    </r>
    <r>
      <rPr>
        <b/>
        <sz val="11"/>
        <color rgb="FF202124"/>
        <rFont val="Arial"/>
        <family val="2"/>
      </rPr>
      <t>R$1.903,98</t>
    </r>
  </si>
  <si>
    <r>
      <t xml:space="preserve">De </t>
    </r>
    <r>
      <rPr>
        <b/>
        <sz val="11"/>
        <color rgb="FF202124"/>
        <rFont val="Arial"/>
        <family val="2"/>
      </rPr>
      <t>R$1.903,99</t>
    </r>
    <r>
      <rPr>
        <sz val="11"/>
        <color rgb="FF202124"/>
        <rFont val="Arial"/>
        <family val="2"/>
      </rPr>
      <t xml:space="preserve"> até </t>
    </r>
    <r>
      <rPr>
        <b/>
        <sz val="11"/>
        <color rgb="FF202124"/>
        <rFont val="Arial"/>
        <family val="2"/>
      </rPr>
      <t>R$2.826,65</t>
    </r>
  </si>
  <si>
    <r>
      <t>De </t>
    </r>
    <r>
      <rPr>
        <b/>
        <sz val="11"/>
        <color rgb="FF202124"/>
        <rFont val="Arial"/>
        <family val="2"/>
      </rPr>
      <t>R$ 3.751,06</t>
    </r>
    <r>
      <rPr>
        <sz val="11"/>
        <color rgb="FF202124"/>
        <rFont val="Arial"/>
        <family val="2"/>
      </rPr>
      <t> a</t>
    </r>
    <r>
      <rPr>
        <b/>
        <sz val="11"/>
        <color rgb="FF202124"/>
        <rFont val="Arial"/>
        <family val="2"/>
      </rPr>
      <t xml:space="preserve"> R$ 4.664,68</t>
    </r>
  </si>
  <si>
    <r>
      <t xml:space="preserve">Acima de </t>
    </r>
    <r>
      <rPr>
        <b/>
        <sz val="11"/>
        <color rgb="FF202124"/>
        <rFont val="Arial"/>
        <family val="2"/>
      </rPr>
      <t>R$4.664,68</t>
    </r>
  </si>
  <si>
    <t>Base de Cálculo</t>
  </si>
  <si>
    <t>Alíquota</t>
  </si>
  <si>
    <t>Parcela a Deduzir</t>
  </si>
  <si>
    <t>Valor Base</t>
  </si>
  <si>
    <t>IRRF</t>
  </si>
  <si>
    <t>Valor Devido (IRRF -Parcela a Deduzir)</t>
  </si>
  <si>
    <t>Isento</t>
  </si>
  <si>
    <t>Valor considerado para imposto de Renda</t>
  </si>
  <si>
    <t>Total Ganhos</t>
  </si>
  <si>
    <t>Total Descontos</t>
  </si>
  <si>
    <t>#</t>
  </si>
  <si>
    <t>TOTAIS</t>
  </si>
  <si>
    <t>MÊS</t>
  </si>
  <si>
    <t>PRINCIPAL</t>
  </si>
  <si>
    <t>FATOR</t>
  </si>
  <si>
    <t>PRINC. CORRIGIDO</t>
  </si>
  <si>
    <t>JUROS</t>
  </si>
  <si>
    <t>$ JUROS</t>
  </si>
  <si>
    <t>TOTAL</t>
  </si>
  <si>
    <t>Reajuste</t>
  </si>
  <si>
    <t>a</t>
  </si>
  <si>
    <t>Valor em Folha</t>
  </si>
  <si>
    <t>Período</t>
  </si>
  <si>
    <t>Data Pagamento</t>
  </si>
  <si>
    <t>Valor considerado para INSS</t>
  </si>
  <si>
    <t>CÁLCULO IMPOSTO DE RENDA</t>
  </si>
  <si>
    <t>CÁLCULO INSS</t>
  </si>
  <si>
    <t>Parcela a Somar</t>
  </si>
  <si>
    <t>Auxílio Saude</t>
  </si>
  <si>
    <t>Uniodonto</t>
  </si>
  <si>
    <t>Salário Líquido</t>
  </si>
  <si>
    <t>Datas e Valores de Pagamento</t>
  </si>
  <si>
    <t>Unimed/SC Saúde</t>
  </si>
  <si>
    <t>Cálculo Reajuste Salarial 2020</t>
  </si>
  <si>
    <t>Valor Reajuste</t>
  </si>
  <si>
    <t>Triênio</t>
  </si>
  <si>
    <t>Não</t>
  </si>
  <si>
    <t>Sim</t>
  </si>
  <si>
    <t>CÁLCULO AUXÍLIO ALIMENTAÇÃO</t>
  </si>
  <si>
    <t>Indexador</t>
  </si>
  <si>
    <t>Valor Auxílio</t>
  </si>
  <si>
    <t>Cálculo Auxílio Alimentação</t>
  </si>
  <si>
    <t>CÁLCULO TRIÊNIOS</t>
  </si>
  <si>
    <t>Triênios que possui:</t>
  </si>
  <si>
    <t>Percentual</t>
  </si>
  <si>
    <t>Valor Recebido</t>
  </si>
  <si>
    <t>Salário</t>
  </si>
  <si>
    <t>CÁLCULO AUXÍLIO CRECHE</t>
  </si>
  <si>
    <t>Cálculo Auxílio Creche</t>
  </si>
  <si>
    <t>Auxilio Creche</t>
  </si>
  <si>
    <t>Auxilio Alimentação</t>
  </si>
  <si>
    <t>Considerar no Cálculo?</t>
  </si>
  <si>
    <t>Quantos Filhos Possui?</t>
  </si>
  <si>
    <t>Base J-12 (05/2022)</t>
  </si>
  <si>
    <t>DASU-1</t>
  </si>
  <si>
    <t>DASU-2</t>
  </si>
  <si>
    <t>DASU-3</t>
  </si>
  <si>
    <t>DASU-4</t>
  </si>
  <si>
    <t>DASU-5</t>
  </si>
  <si>
    <t>DASU-6</t>
  </si>
  <si>
    <t>DASU-7</t>
  </si>
  <si>
    <t>DASU-8</t>
  </si>
  <si>
    <t>DASU-9</t>
  </si>
  <si>
    <t>DASU-10</t>
  </si>
  <si>
    <t>PADRÃO</t>
  </si>
  <si>
    <t>VALOR</t>
  </si>
  <si>
    <t>Base J-12</t>
  </si>
  <si>
    <t>PADRÃO VENCIMENTO</t>
  </si>
  <si>
    <t>Considerar Reajuste 1?</t>
  </si>
  <si>
    <t>Reajuste 1</t>
  </si>
  <si>
    <t>Considerar Reajuste 2?</t>
  </si>
  <si>
    <t>Reajuste 2</t>
  </si>
  <si>
    <t>Reajuste  2</t>
  </si>
</sst>
</file>

<file path=xl/styles.xml><?xml version="1.0" encoding="utf-8"?>
<styleSheet xmlns="http://schemas.openxmlformats.org/spreadsheetml/2006/main">
  <numFmts count="6">
    <numFmt numFmtId="44" formatCode="_-&quot;R$&quot;\ * #,##0.00_-;\-&quot;R$&quot;\ * #,##0.00_-;_-&quot;R$&quot;\ * &quot;-&quot;??_-;_-@_-"/>
    <numFmt numFmtId="164" formatCode="0.0000000"/>
    <numFmt numFmtId="165" formatCode="&quot;De&quot;\ &quot;R$&quot;\ #,##0.00;\-&quot;R$&quot;\ #,##0.00"/>
    <numFmt numFmtId="166" formatCode="&quot;até&quot;\ &quot;R$&quot;\ #,##0.00;\-&quot;R$&quot;\ #,##0.00"/>
    <numFmt numFmtId="167" formatCode="0.000%"/>
    <numFmt numFmtId="168" formatCode="_-&quot;R$&quot;\ * #,##0.0000_-;\-&quot;R$&quot;\ * #,##0.0000_-;_-&quot;R$&quot;\ * &quot;-&quot;??_-;_-@_-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b/>
      <sz val="11"/>
      <color rgb="FF202124"/>
      <name val="Arial"/>
      <family val="2"/>
    </font>
    <font>
      <b/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trike/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66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8">
    <xf numFmtId="0" fontId="0" fillId="0" borderId="0" xfId="0"/>
    <xf numFmtId="0" fontId="0" fillId="0" borderId="0" xfId="0" applyProtection="1"/>
    <xf numFmtId="0" fontId="0" fillId="0" borderId="11" xfId="0" applyBorder="1" applyProtection="1"/>
    <xf numFmtId="44" fontId="0" fillId="0" borderId="12" xfId="0" applyNumberFormat="1" applyBorder="1" applyProtection="1"/>
    <xf numFmtId="44" fontId="0" fillId="0" borderId="0" xfId="0" applyNumberFormat="1" applyProtection="1"/>
    <xf numFmtId="0" fontId="0" fillId="0" borderId="13" xfId="0" applyBorder="1" applyProtection="1"/>
    <xf numFmtId="44" fontId="0" fillId="0" borderId="14" xfId="0" applyNumberFormat="1" applyBorder="1" applyProtection="1"/>
    <xf numFmtId="0" fontId="2" fillId="0" borderId="9" xfId="0" applyFont="1" applyBorder="1" applyProtection="1"/>
    <xf numFmtId="44" fontId="2" fillId="0" borderId="10" xfId="0" applyNumberFormat="1" applyFont="1" applyBorder="1" applyProtection="1"/>
    <xf numFmtId="44" fontId="2" fillId="0" borderId="10" xfId="1" applyFont="1" applyBorder="1" applyProtection="1"/>
    <xf numFmtId="0" fontId="3" fillId="0" borderId="18" xfId="0" applyFont="1" applyBorder="1" applyProtection="1"/>
    <xf numFmtId="0" fontId="0" fillId="0" borderId="19" xfId="0" applyBorder="1" applyAlignment="1" applyProtection="1">
      <alignment horizontal="center" vertical="center"/>
    </xf>
    <xf numFmtId="44" fontId="0" fillId="0" borderId="19" xfId="1" applyFont="1" applyBorder="1" applyProtection="1"/>
    <xf numFmtId="44" fontId="6" fillId="0" borderId="20" xfId="1" applyFont="1" applyFill="1" applyBorder="1" applyProtection="1"/>
    <xf numFmtId="165" fontId="3" fillId="0" borderId="18" xfId="0" applyNumberFormat="1" applyFont="1" applyBorder="1" applyAlignment="1" applyProtection="1">
      <alignment horizontal="center" vertical="center"/>
    </xf>
    <xf numFmtId="10" fontId="0" fillId="0" borderId="16" xfId="0" applyNumberFormat="1" applyBorder="1" applyAlignment="1" applyProtection="1">
      <alignment horizontal="center" vertical="center"/>
    </xf>
    <xf numFmtId="0" fontId="3" fillId="0" borderId="3" xfId="0" applyFont="1" applyBorder="1" applyProtection="1"/>
    <xf numFmtId="44" fontId="0" fillId="0" borderId="16" xfId="1" applyFont="1" applyBorder="1" applyProtection="1"/>
    <xf numFmtId="165" fontId="3" fillId="0" borderId="3" xfId="0" applyNumberFormat="1" applyFont="1" applyBorder="1" applyAlignment="1" applyProtection="1">
      <alignment horizontal="center" vertical="center"/>
    </xf>
    <xf numFmtId="165" fontId="3" fillId="0" borderId="5" xfId="0" applyNumberFormat="1" applyFont="1" applyBorder="1" applyAlignment="1" applyProtection="1">
      <alignment horizontal="center" vertical="center"/>
    </xf>
    <xf numFmtId="10" fontId="0" fillId="0" borderId="17" xfId="0" applyNumberFormat="1" applyBorder="1" applyAlignment="1" applyProtection="1">
      <alignment horizontal="center" vertical="center"/>
    </xf>
    <xf numFmtId="44" fontId="0" fillId="0" borderId="17" xfId="1" applyFont="1" applyBorder="1" applyProtection="1"/>
    <xf numFmtId="0" fontId="3" fillId="0" borderId="5" xfId="0" applyFont="1" applyBorder="1" applyProtection="1"/>
    <xf numFmtId="17" fontId="0" fillId="0" borderId="0" xfId="0" applyNumberFormat="1" applyProtection="1"/>
    <xf numFmtId="44" fontId="2" fillId="0" borderId="20" xfId="1" applyFont="1" applyBorder="1" applyProtection="1"/>
    <xf numFmtId="44" fontId="2" fillId="0" borderId="4" xfId="1" applyFont="1" applyBorder="1" applyProtection="1"/>
    <xf numFmtId="166" fontId="3" fillId="0" borderId="39" xfId="0" applyNumberFormat="1" applyFont="1" applyBorder="1" applyAlignment="1" applyProtection="1">
      <alignment horizontal="center" vertical="center"/>
    </xf>
    <xf numFmtId="166" fontId="3" fillId="0" borderId="40" xfId="0" applyNumberFormat="1" applyFont="1" applyBorder="1" applyAlignment="1" applyProtection="1">
      <alignment horizontal="center" vertical="center"/>
    </xf>
    <xf numFmtId="166" fontId="3" fillId="0" borderId="41" xfId="0" applyNumberFormat="1" applyFont="1" applyBorder="1" applyAlignment="1" applyProtection="1">
      <alignment horizontal="center" vertical="center"/>
    </xf>
    <xf numFmtId="44" fontId="0" fillId="0" borderId="55" xfId="1" applyFont="1" applyBorder="1" applyAlignment="1" applyProtection="1">
      <alignment horizontal="center" vertical="center"/>
    </xf>
    <xf numFmtId="0" fontId="2" fillId="0" borderId="56" xfId="0" applyFont="1" applyBorder="1" applyAlignment="1" applyProtection="1">
      <alignment horizontal="center" vertical="center"/>
    </xf>
    <xf numFmtId="0" fontId="2" fillId="0" borderId="57" xfId="0" applyFont="1" applyBorder="1" applyAlignment="1" applyProtection="1">
      <alignment horizontal="center" vertical="center"/>
    </xf>
    <xf numFmtId="0" fontId="2" fillId="0" borderId="58" xfId="0" applyFont="1" applyBorder="1" applyAlignment="1" applyProtection="1">
      <alignment horizontal="center" vertical="center"/>
    </xf>
    <xf numFmtId="44" fontId="0" fillId="3" borderId="53" xfId="1" applyFont="1" applyFill="1" applyBorder="1" applyAlignment="1" applyProtection="1">
      <alignment horizontal="center" vertical="center"/>
    </xf>
    <xf numFmtId="10" fontId="0" fillId="0" borderId="0" xfId="0" applyNumberFormat="1" applyProtection="1"/>
    <xf numFmtId="0" fontId="2" fillId="0" borderId="0" xfId="0" applyFont="1" applyAlignment="1" applyProtection="1">
      <alignment horizontal="center"/>
    </xf>
    <xf numFmtId="10" fontId="0" fillId="0" borderId="0" xfId="0" applyNumberFormat="1"/>
    <xf numFmtId="44" fontId="0" fillId="3" borderId="0" xfId="1" applyFont="1" applyFill="1" applyBorder="1" applyAlignment="1" applyProtection="1">
      <alignment horizontal="center" vertical="center"/>
    </xf>
    <xf numFmtId="167" fontId="0" fillId="0" borderId="0" xfId="0" applyNumberFormat="1" applyBorder="1" applyAlignment="1" applyProtection="1">
      <alignment horizontal="center" vertical="center"/>
    </xf>
    <xf numFmtId="44" fontId="0" fillId="0" borderId="0" xfId="1" applyFont="1" applyBorder="1" applyAlignment="1" applyProtection="1">
      <alignment horizontal="center" vertical="center"/>
    </xf>
    <xf numFmtId="0" fontId="2" fillId="4" borderId="0" xfId="0" applyFont="1" applyFill="1" applyAlignment="1" applyProtection="1">
      <alignment horizontal="center" vertical="center"/>
      <protection locked="0"/>
    </xf>
    <xf numFmtId="44" fontId="0" fillId="0" borderId="12" xfId="1" applyFont="1" applyBorder="1" applyProtection="1"/>
    <xf numFmtId="9" fontId="0" fillId="0" borderId="14" xfId="0" applyNumberFormat="1" applyBorder="1" applyProtection="1"/>
    <xf numFmtId="9" fontId="0" fillId="0" borderId="4" xfId="2" applyFont="1" applyBorder="1" applyProtection="1"/>
    <xf numFmtId="44" fontId="2" fillId="0" borderId="6" xfId="0" applyNumberFormat="1" applyFont="1" applyBorder="1" applyProtection="1"/>
    <xf numFmtId="0" fontId="2" fillId="0" borderId="0" xfId="0" applyFont="1" applyAlignment="1" applyProtection="1"/>
    <xf numFmtId="0" fontId="12" fillId="0" borderId="1" xfId="0" applyFont="1" applyBorder="1" applyAlignment="1" applyProtection="1">
      <alignment horizontal="center" vertical="center"/>
    </xf>
    <xf numFmtId="0" fontId="12" fillId="0" borderId="15" xfId="0" applyFont="1" applyBorder="1" applyAlignment="1" applyProtection="1">
      <alignment horizontal="center" vertical="center"/>
    </xf>
    <xf numFmtId="0" fontId="12" fillId="0" borderId="2" xfId="0" applyFont="1" applyBorder="1" applyAlignment="1" applyProtection="1">
      <alignment horizontal="center" vertical="center"/>
    </xf>
    <xf numFmtId="0" fontId="12" fillId="0" borderId="3" xfId="0" applyFont="1" applyBorder="1" applyProtection="1"/>
    <xf numFmtId="17" fontId="12" fillId="0" borderId="16" xfId="0" applyNumberFormat="1" applyFont="1" applyBorder="1" applyProtection="1"/>
    <xf numFmtId="44" fontId="12" fillId="0" borderId="16" xfId="1" applyFont="1" applyBorder="1" applyProtection="1"/>
    <xf numFmtId="164" fontId="12" fillId="0" borderId="16" xfId="0" applyNumberFormat="1" applyFont="1" applyBorder="1" applyProtection="1"/>
    <xf numFmtId="10" fontId="12" fillId="0" borderId="16" xfId="0" applyNumberFormat="1" applyFont="1" applyBorder="1" applyProtection="1"/>
    <xf numFmtId="44" fontId="12" fillId="0" borderId="4" xfId="1" applyFont="1" applyBorder="1" applyProtection="1"/>
    <xf numFmtId="0" fontId="12" fillId="0" borderId="5" xfId="0" applyFont="1" applyBorder="1" applyProtection="1"/>
    <xf numFmtId="17" fontId="12" fillId="0" borderId="17" xfId="0" applyNumberFormat="1" applyFont="1" applyBorder="1" applyProtection="1"/>
    <xf numFmtId="44" fontId="12" fillId="0" borderId="17" xfId="1" applyFont="1" applyBorder="1" applyProtection="1"/>
    <xf numFmtId="164" fontId="12" fillId="0" borderId="17" xfId="0" applyNumberFormat="1" applyFont="1" applyBorder="1" applyProtection="1"/>
    <xf numFmtId="10" fontId="12" fillId="0" borderId="17" xfId="0" applyNumberFormat="1" applyFont="1" applyBorder="1" applyProtection="1"/>
    <xf numFmtId="44" fontId="12" fillId="0" borderId="6" xfId="1" applyFont="1" applyBorder="1" applyProtection="1"/>
    <xf numFmtId="0" fontId="13" fillId="0" borderId="9" xfId="0" applyFont="1" applyBorder="1" applyProtection="1"/>
    <xf numFmtId="0" fontId="13" fillId="0" borderId="49" xfId="0" applyFont="1" applyBorder="1" applyProtection="1"/>
    <xf numFmtId="44" fontId="13" fillId="0" borderId="49" xfId="1" applyFont="1" applyBorder="1" applyProtection="1"/>
    <xf numFmtId="44" fontId="13" fillId="0" borderId="10" xfId="1" applyFont="1" applyBorder="1" applyProtection="1"/>
    <xf numFmtId="0" fontId="12" fillId="0" borderId="0" xfId="0" applyFont="1" applyProtection="1"/>
    <xf numFmtId="17" fontId="13" fillId="0" borderId="22" xfId="0" applyNumberFormat="1" applyFont="1" applyBorder="1" applyAlignment="1" applyProtection="1">
      <alignment horizontal="center"/>
    </xf>
    <xf numFmtId="0" fontId="13" fillId="0" borderId="22" xfId="0" applyFont="1" applyBorder="1" applyAlignment="1" applyProtection="1">
      <alignment horizontal="center"/>
    </xf>
    <xf numFmtId="17" fontId="12" fillId="0" borderId="26" xfId="0" applyNumberFormat="1" applyFont="1" applyBorder="1" applyProtection="1"/>
    <xf numFmtId="17" fontId="12" fillId="0" borderId="27" xfId="0" applyNumberFormat="1" applyFont="1" applyBorder="1" applyProtection="1"/>
    <xf numFmtId="0" fontId="12" fillId="0" borderId="28" xfId="0" applyFont="1" applyBorder="1" applyAlignment="1" applyProtection="1">
      <alignment horizontal="center"/>
    </xf>
    <xf numFmtId="17" fontId="12" fillId="0" borderId="29" xfId="0" applyNumberFormat="1" applyFont="1" applyBorder="1" applyProtection="1"/>
    <xf numFmtId="44" fontId="12" fillId="0" borderId="26" xfId="0" applyNumberFormat="1" applyFont="1" applyBorder="1" applyProtection="1"/>
    <xf numFmtId="17" fontId="12" fillId="0" borderId="30" xfId="0" applyNumberFormat="1" applyFont="1" applyBorder="1" applyProtection="1"/>
    <xf numFmtId="17" fontId="12" fillId="0" borderId="31" xfId="0" applyNumberFormat="1" applyFont="1" applyBorder="1" applyProtection="1"/>
    <xf numFmtId="0" fontId="12" fillId="0" borderId="32" xfId="0" applyFont="1" applyBorder="1" applyAlignment="1" applyProtection="1">
      <alignment horizontal="center"/>
    </xf>
    <xf numFmtId="17" fontId="12" fillId="0" borderId="33" xfId="0" applyNumberFormat="1" applyFont="1" applyBorder="1" applyProtection="1"/>
    <xf numFmtId="44" fontId="12" fillId="0" borderId="30" xfId="0" applyNumberFormat="1" applyFont="1" applyBorder="1" applyProtection="1"/>
    <xf numFmtId="17" fontId="12" fillId="0" borderId="34" xfId="0" applyNumberFormat="1" applyFont="1" applyBorder="1" applyProtection="1"/>
    <xf numFmtId="17" fontId="12" fillId="0" borderId="35" xfId="0" applyNumberFormat="1" applyFont="1" applyBorder="1" applyProtection="1"/>
    <xf numFmtId="0" fontId="12" fillId="0" borderId="36" xfId="0" applyFont="1" applyBorder="1" applyAlignment="1" applyProtection="1">
      <alignment horizontal="center"/>
    </xf>
    <xf numFmtId="17" fontId="12" fillId="0" borderId="37" xfId="0" applyNumberFormat="1" applyFont="1" applyBorder="1" applyProtection="1"/>
    <xf numFmtId="44" fontId="12" fillId="0" borderId="34" xfId="0" applyNumberFormat="1" applyFont="1" applyBorder="1" applyProtection="1"/>
    <xf numFmtId="0" fontId="2" fillId="0" borderId="0" xfId="0" applyFont="1" applyAlignment="1" applyProtection="1">
      <alignment horizontal="center"/>
    </xf>
    <xf numFmtId="0" fontId="2" fillId="0" borderId="0" xfId="0" applyFont="1" applyBorder="1" applyAlignment="1" applyProtection="1">
      <alignment horizontal="left"/>
    </xf>
    <xf numFmtId="44" fontId="2" fillId="0" borderId="0" xfId="1" applyFont="1" applyBorder="1" applyProtection="1"/>
    <xf numFmtId="10" fontId="0" fillId="0" borderId="14" xfId="0" applyNumberFormat="1" applyBorder="1" applyProtection="1"/>
    <xf numFmtId="0" fontId="2" fillId="4" borderId="2" xfId="0" applyFont="1" applyFill="1" applyBorder="1" applyAlignment="1" applyProtection="1">
      <alignment horizontal="center"/>
      <protection locked="0"/>
    </xf>
    <xf numFmtId="44" fontId="6" fillId="0" borderId="6" xfId="1" applyNumberFormat="1" applyFont="1" applyFill="1" applyBorder="1" applyProtection="1"/>
    <xf numFmtId="44" fontId="0" fillId="3" borderId="4" xfId="1" applyNumberFormat="1" applyFont="1" applyFill="1" applyBorder="1" applyProtection="1"/>
    <xf numFmtId="44" fontId="0" fillId="3" borderId="12" xfId="1" applyNumberFormat="1" applyFont="1" applyFill="1" applyBorder="1" applyProtection="1"/>
    <xf numFmtId="44" fontId="0" fillId="0" borderId="20" xfId="1" applyNumberFormat="1" applyFont="1" applyFill="1" applyBorder="1" applyProtection="1"/>
    <xf numFmtId="44" fontId="0" fillId="3" borderId="20" xfId="1" applyNumberFormat="1" applyFont="1" applyFill="1" applyBorder="1" applyProtection="1"/>
    <xf numFmtId="44" fontId="0" fillId="4" borderId="46" xfId="1" applyNumberFormat="1" applyFont="1" applyFill="1" applyBorder="1" applyProtection="1">
      <protection locked="0"/>
    </xf>
    <xf numFmtId="44" fontId="0" fillId="4" borderId="14" xfId="1" applyNumberFormat="1" applyFont="1" applyFill="1" applyBorder="1" applyProtection="1">
      <protection locked="0"/>
    </xf>
    <xf numFmtId="44" fontId="2" fillId="0" borderId="10" xfId="1" applyNumberFormat="1" applyFont="1" applyBorder="1" applyProtection="1"/>
    <xf numFmtId="44" fontId="0" fillId="0" borderId="0" xfId="1" applyNumberFormat="1" applyFont="1" applyProtection="1"/>
    <xf numFmtId="44" fontId="0" fillId="4" borderId="20" xfId="1" applyNumberFormat="1" applyFont="1" applyFill="1" applyBorder="1" applyProtection="1">
      <protection locked="0"/>
    </xf>
    <xf numFmtId="44" fontId="0" fillId="4" borderId="4" xfId="1" applyNumberFormat="1" applyFont="1" applyFill="1" applyBorder="1" applyProtection="1">
      <protection locked="0"/>
    </xf>
    <xf numFmtId="44" fontId="2" fillId="0" borderId="6" xfId="1" applyNumberFormat="1" applyFont="1" applyBorder="1" applyProtection="1"/>
    <xf numFmtId="44" fontId="0" fillId="0" borderId="17" xfId="1" applyNumberFormat="1" applyFont="1" applyBorder="1" applyProtection="1"/>
    <xf numFmtId="44" fontId="0" fillId="0" borderId="19" xfId="1" applyNumberFormat="1" applyFont="1" applyBorder="1" applyProtection="1"/>
    <xf numFmtId="44" fontId="0" fillId="0" borderId="16" xfId="1" applyNumberFormat="1" applyFont="1" applyBorder="1" applyProtection="1"/>
    <xf numFmtId="44" fontId="7" fillId="2" borderId="38" xfId="1" applyNumberFormat="1" applyFont="1" applyFill="1" applyBorder="1" applyProtection="1"/>
    <xf numFmtId="168" fontId="0" fillId="0" borderId="11" xfId="0" applyNumberFormat="1" applyBorder="1" applyProtection="1"/>
    <xf numFmtId="168" fontId="0" fillId="0" borderId="18" xfId="0" applyNumberFormat="1" applyBorder="1" applyProtection="1"/>
    <xf numFmtId="168" fontId="0" fillId="0" borderId="3" xfId="0" applyNumberFormat="1" applyBorder="1" applyProtection="1"/>
    <xf numFmtId="168" fontId="0" fillId="0" borderId="45" xfId="0" applyNumberFormat="1" applyBorder="1" applyProtection="1">
      <protection locked="0"/>
    </xf>
    <xf numFmtId="168" fontId="0" fillId="0" borderId="13" xfId="0" applyNumberFormat="1" applyBorder="1" applyProtection="1">
      <protection locked="0"/>
    </xf>
    <xf numFmtId="168" fontId="2" fillId="0" borderId="9" xfId="0" applyNumberFormat="1" applyFont="1" applyBorder="1" applyProtection="1"/>
    <xf numFmtId="168" fontId="0" fillId="0" borderId="0" xfId="0" applyNumberFormat="1" applyProtection="1"/>
    <xf numFmtId="168" fontId="0" fillId="0" borderId="18" xfId="0" applyNumberFormat="1" applyBorder="1" applyProtection="1">
      <protection locked="0"/>
    </xf>
    <xf numFmtId="168" fontId="0" fillId="0" borderId="3" xfId="0" applyNumberFormat="1" applyBorder="1" applyProtection="1">
      <protection locked="0"/>
    </xf>
    <xf numFmtId="168" fontId="7" fillId="2" borderId="47" xfId="0" applyNumberFormat="1" applyFont="1" applyFill="1" applyBorder="1" applyProtection="1"/>
    <xf numFmtId="0" fontId="2" fillId="0" borderId="0" xfId="0" applyFont="1" applyAlignment="1" applyProtection="1">
      <alignment horizontal="center"/>
    </xf>
    <xf numFmtId="44" fontId="0" fillId="0" borderId="0" xfId="1" applyFont="1"/>
    <xf numFmtId="0" fontId="0" fillId="0" borderId="3" xfId="0" applyBorder="1"/>
    <xf numFmtId="44" fontId="0" fillId="0" borderId="4" xfId="1" applyFont="1" applyBorder="1"/>
    <xf numFmtId="0" fontId="0" fillId="0" borderId="5" xfId="0" applyBorder="1"/>
    <xf numFmtId="44" fontId="0" fillId="0" borderId="6" xfId="1" applyFont="1" applyBorder="1"/>
    <xf numFmtId="0" fontId="0" fillId="0" borderId="18" xfId="0" applyBorder="1"/>
    <xf numFmtId="44" fontId="0" fillId="0" borderId="20" xfId="1" applyFont="1" applyBorder="1"/>
    <xf numFmtId="0" fontId="2" fillId="0" borderId="62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47" xfId="0" applyFont="1" applyBorder="1"/>
    <xf numFmtId="44" fontId="2" fillId="0" borderId="38" xfId="1" applyFont="1" applyFill="1" applyBorder="1"/>
    <xf numFmtId="0" fontId="2" fillId="0" borderId="64" xfId="0" applyFont="1" applyBorder="1" applyAlignment="1" applyProtection="1">
      <alignment horizontal="center"/>
    </xf>
    <xf numFmtId="0" fontId="2" fillId="4" borderId="65" xfId="0" applyFont="1" applyFill="1" applyBorder="1" applyAlignment="1" applyProtection="1">
      <alignment horizontal="center"/>
      <protection locked="0"/>
    </xf>
    <xf numFmtId="167" fontId="0" fillId="4" borderId="54" xfId="0" applyNumberFormat="1" applyFill="1" applyBorder="1" applyAlignment="1" applyProtection="1">
      <alignment horizontal="center" vertical="center"/>
      <protection locked="0"/>
    </xf>
    <xf numFmtId="0" fontId="2" fillId="0" borderId="9" xfId="0" applyFont="1" applyBorder="1" applyAlignment="1" applyProtection="1">
      <alignment horizontal="left"/>
    </xf>
    <xf numFmtId="0" fontId="2" fillId="0" borderId="49" xfId="0" applyFont="1" applyBorder="1" applyAlignment="1" applyProtection="1">
      <alignment horizontal="left"/>
    </xf>
    <xf numFmtId="0" fontId="8" fillId="0" borderId="47" xfId="0" applyFont="1" applyBorder="1" applyAlignment="1" applyProtection="1">
      <alignment horizontal="center" vertical="center"/>
    </xf>
    <xf numFmtId="0" fontId="8" fillId="0" borderId="59" xfId="0" applyFont="1" applyBorder="1" applyAlignment="1" applyProtection="1">
      <alignment horizontal="center" vertical="center"/>
    </xf>
    <xf numFmtId="0" fontId="8" fillId="0" borderId="38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/>
    </xf>
    <xf numFmtId="0" fontId="2" fillId="0" borderId="23" xfId="0" applyFont="1" applyBorder="1" applyAlignment="1" applyProtection="1">
      <alignment horizontal="center" vertical="center" wrapText="1"/>
    </xf>
    <xf numFmtId="0" fontId="2" fillId="0" borderId="42" xfId="0" applyFont="1" applyBorder="1" applyAlignment="1" applyProtection="1">
      <alignment horizontal="center" vertical="center" wrapText="1"/>
    </xf>
    <xf numFmtId="0" fontId="2" fillId="0" borderId="43" xfId="0" applyFont="1" applyBorder="1" applyAlignment="1" applyProtection="1">
      <alignment horizontal="center" vertical="center" wrapText="1"/>
    </xf>
    <xf numFmtId="0" fontId="2" fillId="0" borderId="44" xfId="0" applyFont="1" applyBorder="1" applyAlignment="1" applyProtection="1">
      <alignment horizontal="center" vertical="center" wrapText="1"/>
    </xf>
    <xf numFmtId="0" fontId="2" fillId="0" borderId="7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/>
    </xf>
    <xf numFmtId="0" fontId="2" fillId="5" borderId="0" xfId="0" applyFont="1" applyFill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 wrapText="1"/>
    </xf>
    <xf numFmtId="0" fontId="2" fillId="0" borderId="48" xfId="0" applyFont="1" applyBorder="1" applyAlignment="1" applyProtection="1">
      <alignment horizontal="center" wrapText="1"/>
    </xf>
    <xf numFmtId="0" fontId="2" fillId="0" borderId="8" xfId="0" applyFont="1" applyBorder="1" applyAlignment="1" applyProtection="1">
      <alignment horizontal="center" wrapText="1"/>
    </xf>
    <xf numFmtId="0" fontId="0" fillId="0" borderId="11" xfId="0" applyBorder="1" applyAlignment="1" applyProtection="1">
      <alignment horizontal="left"/>
    </xf>
    <xf numFmtId="0" fontId="0" fillId="0" borderId="61" xfId="0" applyBorder="1" applyAlignment="1" applyProtection="1">
      <alignment horizontal="left"/>
    </xf>
    <xf numFmtId="0" fontId="6" fillId="5" borderId="60" xfId="0" applyFont="1" applyFill="1" applyBorder="1" applyAlignment="1" applyProtection="1">
      <alignment horizontal="center"/>
    </xf>
    <xf numFmtId="0" fontId="2" fillId="5" borderId="60" xfId="0" applyFont="1" applyFill="1" applyBorder="1" applyAlignment="1" applyProtection="1">
      <alignment horizontal="center"/>
    </xf>
    <xf numFmtId="168" fontId="2" fillId="0" borderId="7" xfId="0" applyNumberFormat="1" applyFont="1" applyBorder="1" applyAlignment="1" applyProtection="1">
      <alignment horizontal="center"/>
    </xf>
    <xf numFmtId="168" fontId="2" fillId="0" borderId="8" xfId="0" applyNumberFormat="1" applyFont="1" applyBorder="1" applyAlignment="1" applyProtection="1">
      <alignment horizontal="center"/>
    </xf>
    <xf numFmtId="0" fontId="5" fillId="0" borderId="2" xfId="0" applyFont="1" applyFill="1" applyBorder="1" applyAlignment="1" applyProtection="1">
      <alignment horizontal="center" wrapText="1"/>
    </xf>
    <xf numFmtId="0" fontId="5" fillId="0" borderId="14" xfId="0" applyFont="1" applyFill="1" applyBorder="1" applyAlignment="1" applyProtection="1">
      <alignment horizontal="center" wrapText="1"/>
    </xf>
    <xf numFmtId="0" fontId="2" fillId="0" borderId="15" xfId="0" applyFont="1" applyBorder="1" applyAlignment="1" applyProtection="1">
      <alignment horizontal="center" wrapText="1"/>
    </xf>
    <xf numFmtId="0" fontId="2" fillId="0" borderId="21" xfId="0" applyFont="1" applyBorder="1" applyAlignment="1" applyProtection="1">
      <alignment horizontal="center" wrapText="1"/>
    </xf>
    <xf numFmtId="0" fontId="2" fillId="0" borderId="15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2" fillId="0" borderId="13" xfId="0" applyFont="1" applyBorder="1" applyAlignment="1" applyProtection="1">
      <alignment horizontal="center" vertical="center" wrapText="1"/>
    </xf>
    <xf numFmtId="44" fontId="13" fillId="0" borderId="23" xfId="1" applyFont="1" applyBorder="1" applyAlignment="1" applyProtection="1">
      <alignment horizontal="center"/>
    </xf>
    <xf numFmtId="44" fontId="13" fillId="0" borderId="24" xfId="1" applyFont="1" applyBorder="1" applyAlignment="1" applyProtection="1">
      <alignment horizontal="center"/>
    </xf>
    <xf numFmtId="44" fontId="13" fillId="0" borderId="25" xfId="1" applyFont="1" applyBorder="1" applyAlignment="1" applyProtection="1">
      <alignment horizontal="center"/>
    </xf>
    <xf numFmtId="0" fontId="11" fillId="0" borderId="7" xfId="0" applyFont="1" applyBorder="1" applyAlignment="1" applyProtection="1">
      <alignment horizontal="center"/>
    </xf>
    <xf numFmtId="0" fontId="11" fillId="0" borderId="48" xfId="0" applyFont="1" applyBorder="1" applyAlignment="1" applyProtection="1">
      <alignment horizontal="center"/>
    </xf>
    <xf numFmtId="0" fontId="11" fillId="0" borderId="8" xfId="0" applyFont="1" applyBorder="1" applyAlignment="1" applyProtection="1">
      <alignment horizontal="center"/>
    </xf>
    <xf numFmtId="0" fontId="13" fillId="0" borderId="50" xfId="0" applyFont="1" applyBorder="1" applyAlignment="1" applyProtection="1">
      <alignment horizontal="center"/>
    </xf>
    <xf numFmtId="0" fontId="13" fillId="0" borderId="51" xfId="0" applyFont="1" applyBorder="1" applyAlignment="1" applyProtection="1">
      <alignment horizontal="center"/>
    </xf>
    <xf numFmtId="0" fontId="13" fillId="0" borderId="52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14" xfId="0" applyFont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left"/>
    </xf>
    <xf numFmtId="0" fontId="0" fillId="0" borderId="15" xfId="0" applyBorder="1" applyAlignment="1" applyProtection="1">
      <alignment horizontal="left"/>
    </xf>
    <xf numFmtId="0" fontId="0" fillId="0" borderId="3" xfId="0" applyBorder="1" applyAlignment="1" applyProtection="1">
      <alignment horizontal="left"/>
    </xf>
    <xf numFmtId="0" fontId="0" fillId="0" borderId="16" xfId="0" applyBorder="1" applyAlignment="1" applyProtection="1">
      <alignment horizontal="left"/>
    </xf>
    <xf numFmtId="0" fontId="2" fillId="0" borderId="5" xfId="0" applyFont="1" applyBorder="1" applyAlignment="1" applyProtection="1">
      <alignment horizontal="left"/>
    </xf>
    <xf numFmtId="0" fontId="2" fillId="0" borderId="17" xfId="0" applyFont="1" applyBorder="1" applyAlignment="1" applyProtection="1">
      <alignment horizontal="left"/>
    </xf>
    <xf numFmtId="0" fontId="0" fillId="0" borderId="13" xfId="0" applyBorder="1" applyAlignment="1" applyProtection="1">
      <alignment horizontal="left"/>
    </xf>
    <xf numFmtId="0" fontId="0" fillId="0" borderId="21" xfId="0" applyBorder="1" applyAlignment="1" applyProtection="1">
      <alignment horizontal="left"/>
    </xf>
  </cellXfs>
  <cellStyles count="3">
    <cellStyle name="Moeda" xfId="1" builtinId="4"/>
    <cellStyle name="Normal" xfId="0" builtinId="0"/>
    <cellStyle name="Porcentagem" xfId="2" builtinId="5"/>
  </cellStyles>
  <dxfs count="2"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selection activeCell="J24" sqref="J24"/>
    </sheetView>
  </sheetViews>
  <sheetFormatPr defaultRowHeight="15"/>
  <cols>
    <col min="1" max="1" width="21.5703125" style="1" bestFit="1" customWidth="1"/>
    <col min="2" max="2" width="14.7109375" style="96" bestFit="1" customWidth="1"/>
    <col min="3" max="3" width="2" style="1" bestFit="1" customWidth="1"/>
    <col min="4" max="4" width="6.85546875" style="1" bestFit="1" customWidth="1"/>
    <col min="5" max="5" width="30.42578125" style="1" bestFit="1" customWidth="1"/>
    <col min="6" max="6" width="13.28515625" style="1" bestFit="1" customWidth="1"/>
    <col min="7" max="7" width="13.7109375" style="1" customWidth="1"/>
    <col min="8" max="8" width="14" style="1" bestFit="1" customWidth="1"/>
    <col min="9" max="9" width="12.140625" style="1" bestFit="1" customWidth="1"/>
    <col min="10" max="10" width="13.28515625" style="1" customWidth="1"/>
    <col min="11" max="11" width="9.140625" style="1"/>
    <col min="12" max="12" width="15.7109375" style="1" bestFit="1" customWidth="1"/>
    <col min="13" max="13" width="15.85546875" style="1" bestFit="1" customWidth="1"/>
    <col min="14" max="14" width="13.28515625" style="1" bestFit="1" customWidth="1"/>
    <col min="15" max="15" width="15" style="1" bestFit="1" customWidth="1"/>
    <col min="16" max="16" width="17.7109375" style="1" bestFit="1" customWidth="1"/>
    <col min="17" max="17" width="12.42578125" style="1" customWidth="1"/>
    <col min="18" max="18" width="9.5703125" style="1" bestFit="1" customWidth="1"/>
    <col min="19" max="19" width="12.140625" style="1" bestFit="1" customWidth="1"/>
    <col min="20" max="16384" width="9.140625" style="1"/>
  </cols>
  <sheetData>
    <row r="1" spans="1:22" ht="16.5" thickTop="1" thickBot="1">
      <c r="A1" s="139" t="s">
        <v>4</v>
      </c>
      <c r="B1" s="140"/>
      <c r="E1" s="134" t="s">
        <v>37</v>
      </c>
      <c r="F1" s="134"/>
      <c r="G1" s="134"/>
      <c r="H1" s="134"/>
      <c r="I1" s="134"/>
      <c r="J1" s="134"/>
      <c r="L1" s="134" t="s">
        <v>38</v>
      </c>
      <c r="M1" s="134"/>
      <c r="N1" s="134"/>
      <c r="O1" s="134"/>
      <c r="P1" s="134"/>
      <c r="Q1" s="134"/>
    </row>
    <row r="2" spans="1:22" ht="15.75" thickBot="1">
      <c r="A2" s="126" t="s">
        <v>79</v>
      </c>
      <c r="B2" s="127" t="s">
        <v>68</v>
      </c>
      <c r="E2" s="114"/>
      <c r="F2" s="114"/>
      <c r="G2" s="114"/>
      <c r="H2" s="114"/>
      <c r="I2" s="114"/>
      <c r="J2" s="114"/>
      <c r="L2" s="114"/>
      <c r="M2" s="114"/>
      <c r="N2" s="114"/>
      <c r="O2" s="114"/>
      <c r="P2" s="114"/>
      <c r="Q2" s="114"/>
      <c r="T2"/>
      <c r="U2"/>
      <c r="V2"/>
    </row>
    <row r="3" spans="1:22" ht="16.5" thickTop="1" thickBot="1">
      <c r="A3" s="104" t="s">
        <v>0</v>
      </c>
      <c r="B3" s="90">
        <f>IF(B2="DASU-1",'Informações Base'!B2,(IF(B2="DASU-2",'Informações Base'!B3,(IF(B2="DASU-3",'Informações Base'!B4,(IF(B2="DASU-4",'Informações Base'!B5,(IF(B2="DASU-5",'Informações Base'!B6,(IF(B2="DASU-6",'Informações Base'!B7,(IF(B2="DASU-7",'Informações Base'!B8,(IF(B2="DASU-8",'Informações Base'!B9,(IF(B2="DASU-9",'Informações Base'!B10,(IF(B2="DASU-10",'Informações Base'!B11,"")))))))))))))))))))</f>
        <v>7164.66</v>
      </c>
      <c r="E3" s="139" t="s">
        <v>19</v>
      </c>
      <c r="F3" s="140"/>
      <c r="L3" s="139" t="s">
        <v>36</v>
      </c>
      <c r="M3" s="140"/>
      <c r="T3"/>
      <c r="U3"/>
      <c r="V3"/>
    </row>
    <row r="4" spans="1:22">
      <c r="A4" s="105" t="s">
        <v>47</v>
      </c>
      <c r="B4" s="91">
        <f>N33</f>
        <v>0</v>
      </c>
      <c r="E4" s="2" t="s">
        <v>4</v>
      </c>
      <c r="F4" s="3">
        <f>B11</f>
        <v>10254.396267999999</v>
      </c>
      <c r="G4" s="4"/>
      <c r="L4" s="2" t="s">
        <v>4</v>
      </c>
      <c r="M4" s="3">
        <f>B11</f>
        <v>10254.396267999999</v>
      </c>
      <c r="N4" s="4"/>
      <c r="T4"/>
      <c r="U4"/>
      <c r="V4"/>
    </row>
    <row r="5" spans="1:22" ht="15.75" thickBot="1">
      <c r="A5" s="105" t="s">
        <v>81</v>
      </c>
      <c r="B5" s="92">
        <f>IF(H17="Não",0,H20)</f>
        <v>858.32626800000003</v>
      </c>
      <c r="E5" s="5" t="s">
        <v>5</v>
      </c>
      <c r="F5" s="6">
        <f>SUM(B7,B8,B9,B10,B15)</f>
        <v>3059.7900000000004</v>
      </c>
      <c r="G5" s="4"/>
      <c r="L5" s="5" t="s">
        <v>5</v>
      </c>
      <c r="M5" s="6">
        <f>B9</f>
        <v>86.4</v>
      </c>
      <c r="N5" s="4"/>
      <c r="T5"/>
      <c r="U5"/>
      <c r="V5"/>
    </row>
    <row r="6" spans="1:22" ht="15.75" thickBot="1">
      <c r="A6" s="105" t="s">
        <v>84</v>
      </c>
      <c r="B6" s="92">
        <f>IF(H22="Não",0,H25)</f>
        <v>0</v>
      </c>
      <c r="E6" s="7" t="s">
        <v>6</v>
      </c>
      <c r="F6" s="8">
        <f>F4-F5</f>
        <v>7194.6062679999977</v>
      </c>
      <c r="G6" s="4"/>
      <c r="L6" s="7" t="s">
        <v>6</v>
      </c>
      <c r="M6" s="8">
        <f>M4-M5</f>
        <v>10167.996267999999</v>
      </c>
      <c r="N6" s="4"/>
      <c r="T6"/>
      <c r="U6"/>
      <c r="V6"/>
    </row>
    <row r="7" spans="1:22" ht="16.5" thickTop="1" thickBot="1">
      <c r="A7" s="106" t="s">
        <v>62</v>
      </c>
      <c r="B7" s="89">
        <f>IF(N24="Não",0,N28)</f>
        <v>2145.0100000000002</v>
      </c>
      <c r="T7"/>
      <c r="U7"/>
      <c r="V7"/>
    </row>
    <row r="8" spans="1:22" ht="16.5" customHeight="1" thickTop="1">
      <c r="A8" s="106" t="s">
        <v>61</v>
      </c>
      <c r="B8" s="89">
        <f>IF(N17="0",0,N21)</f>
        <v>0</v>
      </c>
      <c r="E8" s="157" t="s">
        <v>12</v>
      </c>
      <c r="F8" s="155" t="s">
        <v>13</v>
      </c>
      <c r="G8" s="153" t="s">
        <v>14</v>
      </c>
      <c r="H8" s="155" t="s">
        <v>15</v>
      </c>
      <c r="I8" s="155" t="s">
        <v>16</v>
      </c>
      <c r="J8" s="151" t="s">
        <v>17</v>
      </c>
      <c r="L8" s="135" t="s">
        <v>12</v>
      </c>
      <c r="M8" s="136"/>
      <c r="N8" s="155" t="s">
        <v>13</v>
      </c>
      <c r="O8" s="153" t="s">
        <v>39</v>
      </c>
      <c r="P8" s="155" t="s">
        <v>15</v>
      </c>
      <c r="Q8" s="168" t="s">
        <v>3</v>
      </c>
      <c r="T8"/>
      <c r="U8"/>
      <c r="V8"/>
    </row>
    <row r="9" spans="1:22" ht="15.75" thickBot="1">
      <c r="A9" s="107" t="s">
        <v>40</v>
      </c>
      <c r="B9" s="93">
        <v>86.4</v>
      </c>
      <c r="E9" s="158"/>
      <c r="F9" s="156"/>
      <c r="G9" s="154"/>
      <c r="H9" s="156"/>
      <c r="I9" s="156"/>
      <c r="J9" s="152"/>
      <c r="L9" s="137"/>
      <c r="M9" s="138"/>
      <c r="N9" s="156"/>
      <c r="O9" s="154"/>
      <c r="P9" s="156"/>
      <c r="Q9" s="169"/>
      <c r="T9"/>
      <c r="U9"/>
      <c r="V9"/>
    </row>
    <row r="10" spans="1:22" ht="15.75" thickBot="1">
      <c r="A10" s="108"/>
      <c r="B10" s="94"/>
      <c r="E10" s="10" t="s">
        <v>8</v>
      </c>
      <c r="F10" s="11" t="s">
        <v>18</v>
      </c>
      <c r="G10" s="12">
        <v>0</v>
      </c>
      <c r="H10" s="12" t="str">
        <f>IF($F$6&lt;=1903.98,$F$6,"")</f>
        <v/>
      </c>
      <c r="I10" s="12" t="str">
        <f>IF(H10="","","Isento")</f>
        <v/>
      </c>
      <c r="J10" s="13" t="str">
        <f>IF(H10="","","Isento")</f>
        <v/>
      </c>
      <c r="L10" s="14">
        <v>0</v>
      </c>
      <c r="M10" s="26">
        <v>1212</v>
      </c>
      <c r="N10" s="15">
        <v>7.4999999999999997E-2</v>
      </c>
      <c r="O10" s="101">
        <f>ROUND((M10*N10),2)</f>
        <v>90.9</v>
      </c>
      <c r="P10" s="12" t="str">
        <f>IF($M$6&lt;=M10,$M$6,"")</f>
        <v/>
      </c>
      <c r="Q10" s="24" t="str">
        <f>IF(P10="","",(P10*N10))</f>
        <v/>
      </c>
      <c r="T10"/>
      <c r="U10"/>
      <c r="V10"/>
    </row>
    <row r="11" spans="1:22" ht="15.75" thickBot="1">
      <c r="A11" s="109" t="s">
        <v>20</v>
      </c>
      <c r="B11" s="95">
        <f>SUM(B3:B10)</f>
        <v>10254.396267999999</v>
      </c>
      <c r="E11" s="16" t="s">
        <v>9</v>
      </c>
      <c r="F11" s="15">
        <v>7.4999999999999997E-2</v>
      </c>
      <c r="G11" s="17">
        <v>142.80000000000001</v>
      </c>
      <c r="H11" s="17" t="str">
        <f>IF(AND($F$6&gt;=1903.99,$F$6&lt;=2826.65),$F$6,"")</f>
        <v/>
      </c>
      <c r="I11" s="17" t="str">
        <f t="shared" ref="I11:I14" si="0">IF(H11="","",(H11*F11))</f>
        <v/>
      </c>
      <c r="J11" s="13" t="str">
        <f>IF(H11="","",(I11-G11))</f>
        <v/>
      </c>
      <c r="L11" s="18">
        <v>1212.01</v>
      </c>
      <c r="M11" s="27">
        <v>2427.35</v>
      </c>
      <c r="N11" s="15">
        <v>0.09</v>
      </c>
      <c r="O11" s="102">
        <f>ROUND(((M11-M10)*N11),2)</f>
        <v>109.38</v>
      </c>
      <c r="P11" s="17" t="str">
        <f>IF(AND($M$6&gt;=L11,$M$6&lt;=M11),$M$6,"")</f>
        <v/>
      </c>
      <c r="Q11" s="25" t="str">
        <f>IF(P11="","",(SUM(O10,((P11-M10)*N11))))</f>
        <v/>
      </c>
      <c r="T11"/>
      <c r="U11"/>
      <c r="V11"/>
    </row>
    <row r="12" spans="1:22" ht="16.5" thickTop="1" thickBot="1">
      <c r="A12" s="110"/>
      <c r="E12" s="16" t="s">
        <v>7</v>
      </c>
      <c r="F12" s="15">
        <v>0.15</v>
      </c>
      <c r="G12" s="17">
        <v>354.8</v>
      </c>
      <c r="H12" s="17" t="str">
        <f>IF(AND($F$6&gt;=2826.66,$F$6&lt;=3751.05),$F$6,"")</f>
        <v/>
      </c>
      <c r="I12" s="17" t="str">
        <f t="shared" si="0"/>
        <v/>
      </c>
      <c r="J12" s="13" t="str">
        <f t="shared" ref="J12:J14" si="1">IF(H12="","",(I12-G12))</f>
        <v/>
      </c>
      <c r="L12" s="18">
        <v>2427.36</v>
      </c>
      <c r="M12" s="27">
        <v>3641.03</v>
      </c>
      <c r="N12" s="15">
        <v>0.12</v>
      </c>
      <c r="O12" s="102">
        <f>ROUND(((M12-M11)*N12),2)</f>
        <v>145.63999999999999</v>
      </c>
      <c r="P12" s="17" t="str">
        <f>IF(AND($M$6&gt;=L12,$M$6&lt;=M12),$M$6,"")</f>
        <v/>
      </c>
      <c r="Q12" s="25" t="str">
        <f>IF(P12="","",(SUM(O10,O11,((P12-M11)*N12))))</f>
        <v/>
      </c>
      <c r="T12"/>
      <c r="U12"/>
      <c r="V12"/>
    </row>
    <row r="13" spans="1:22" ht="16.5" thickTop="1" thickBot="1">
      <c r="A13" s="149" t="s">
        <v>5</v>
      </c>
      <c r="B13" s="150"/>
      <c r="E13" s="16" t="s">
        <v>10</v>
      </c>
      <c r="F13" s="15">
        <v>0.22500000000000001</v>
      </c>
      <c r="G13" s="17">
        <v>636.13</v>
      </c>
      <c r="H13" s="17" t="str">
        <f>IF(AND($F$6&gt;=3751.06,$F$6&lt;=4664.68),$F$6,"")</f>
        <v/>
      </c>
      <c r="I13" s="17" t="str">
        <f t="shared" si="0"/>
        <v/>
      </c>
      <c r="J13" s="13" t="str">
        <f t="shared" si="1"/>
        <v/>
      </c>
      <c r="L13" s="19">
        <v>3641.04</v>
      </c>
      <c r="M13" s="28">
        <v>7087.22</v>
      </c>
      <c r="N13" s="20">
        <v>0.14000000000000001</v>
      </c>
      <c r="O13" s="100">
        <f>ROUND(((M13-M12)*N13),2)</f>
        <v>482.47</v>
      </c>
      <c r="P13" s="100">
        <f>IF($M$6&gt;L13,(IF($M$6&gt;M13, M13,$M$6)),"")</f>
        <v>7087.22</v>
      </c>
      <c r="Q13" s="99">
        <f>ROUNDDOWN((IF(P13="","",(SUM(O10,O11,O12,((P13-M12)*N13))))),2)</f>
        <v>828.38</v>
      </c>
      <c r="T13"/>
      <c r="U13"/>
      <c r="V13"/>
    </row>
    <row r="14" spans="1:22" ht="16.5" thickTop="1" thickBot="1">
      <c r="A14" s="106" t="s">
        <v>2</v>
      </c>
      <c r="B14" s="89">
        <f>ROUND((SUM(J10:J14)),2)</f>
        <v>1109.1600000000001</v>
      </c>
      <c r="E14" s="22" t="s">
        <v>11</v>
      </c>
      <c r="F14" s="20">
        <v>0.27500000000000002</v>
      </c>
      <c r="G14" s="21">
        <v>869.36</v>
      </c>
      <c r="H14" s="21">
        <f>IF($F$6&gt;4664.68,$F$6,"")</f>
        <v>7194.6062679999977</v>
      </c>
      <c r="I14" s="21">
        <f t="shared" si="0"/>
        <v>1978.5167236999996</v>
      </c>
      <c r="J14" s="88">
        <f t="shared" si="1"/>
        <v>1109.1567236999995</v>
      </c>
      <c r="T14"/>
      <c r="U14"/>
      <c r="V14"/>
    </row>
    <row r="15" spans="1:22" ht="15.75" thickTop="1">
      <c r="A15" s="106" t="s">
        <v>3</v>
      </c>
      <c r="B15" s="89">
        <f>ROUND((SUM(Q10:Q13)),2)</f>
        <v>828.38</v>
      </c>
      <c r="T15"/>
      <c r="U15"/>
      <c r="V15"/>
    </row>
    <row r="16" spans="1:22">
      <c r="A16" s="111" t="s">
        <v>1</v>
      </c>
      <c r="B16" s="97">
        <v>15</v>
      </c>
      <c r="L16" s="134" t="s">
        <v>59</v>
      </c>
      <c r="M16" s="134"/>
      <c r="N16" s="134"/>
      <c r="O16" s="45"/>
      <c r="P16" s="45"/>
      <c r="Q16" s="45"/>
    </row>
    <row r="17" spans="1:17" ht="15.75" thickBot="1">
      <c r="A17" s="111" t="s">
        <v>41</v>
      </c>
      <c r="B17" s="97">
        <v>86.4</v>
      </c>
      <c r="F17" s="147" t="s">
        <v>80</v>
      </c>
      <c r="G17" s="147"/>
      <c r="H17" s="40" t="s">
        <v>49</v>
      </c>
      <c r="L17" s="141" t="s">
        <v>64</v>
      </c>
      <c r="M17" s="141"/>
      <c r="N17" s="40">
        <v>0</v>
      </c>
      <c r="O17" s="83"/>
      <c r="P17" s="83"/>
      <c r="Q17" s="83"/>
    </row>
    <row r="18" spans="1:17" ht="20.25" customHeight="1" thickTop="1" thickBot="1">
      <c r="A18" s="111" t="s">
        <v>44</v>
      </c>
      <c r="B18" s="97"/>
      <c r="F18" s="131" t="s">
        <v>81</v>
      </c>
      <c r="G18" s="132"/>
      <c r="H18" s="133"/>
      <c r="L18" s="142" t="s">
        <v>60</v>
      </c>
      <c r="M18" s="143"/>
      <c r="N18" s="144"/>
    </row>
    <row r="19" spans="1:17" ht="16.5" thickTop="1" thickBot="1">
      <c r="A19" s="111"/>
      <c r="B19" s="97"/>
      <c r="F19" s="30" t="s">
        <v>58</v>
      </c>
      <c r="G19" s="31" t="s">
        <v>31</v>
      </c>
      <c r="H19" s="32" t="s">
        <v>46</v>
      </c>
      <c r="L19" s="145" t="s">
        <v>65</v>
      </c>
      <c r="M19" s="146"/>
      <c r="N19" s="41">
        <f>IF(H22="Sim", (ROUND('Informações Base'!B13+ROUND(G20*'Informações Base'!B13,2),2)+(ROUND('Informações Base'!B13+ROUND(G20*'Informações Base'!B13,2),2)*G25)),(IF(H17="Não",'Informações Base'!B13,ROUND('Informações Base'!B13+ROUND(G20*'Informações Base'!B13,2),2))))</f>
        <v>14300.06</v>
      </c>
    </row>
    <row r="20" spans="1:17" ht="15.75" thickBot="1">
      <c r="A20" s="111"/>
      <c r="B20" s="97"/>
      <c r="F20" s="33">
        <f>SUM(B3)</f>
        <v>7164.66</v>
      </c>
      <c r="G20" s="128">
        <v>0.1198</v>
      </c>
      <c r="H20" s="29">
        <f>IF(H17="Não","",(F20*G20))</f>
        <v>858.32626800000003</v>
      </c>
      <c r="L20" s="176" t="s">
        <v>51</v>
      </c>
      <c r="M20" s="177"/>
      <c r="N20" s="86">
        <v>6.2700000000000006E-2</v>
      </c>
    </row>
    <row r="21" spans="1:17" ht="16.5" thickTop="1" thickBot="1">
      <c r="A21" s="112"/>
      <c r="B21" s="98"/>
      <c r="F21" s="37"/>
      <c r="G21" s="38"/>
      <c r="H21" s="39"/>
      <c r="L21" s="129" t="s">
        <v>52</v>
      </c>
      <c r="M21" s="130"/>
      <c r="N21" s="9">
        <f>ROUND((N19*N20*N17),2)</f>
        <v>0</v>
      </c>
    </row>
    <row r="22" spans="1:17" ht="16.5" thickTop="1" thickBot="1">
      <c r="A22" s="108"/>
      <c r="B22" s="94"/>
      <c r="F22" s="148" t="s">
        <v>82</v>
      </c>
      <c r="G22" s="148"/>
      <c r="H22" s="40" t="s">
        <v>48</v>
      </c>
      <c r="L22" s="84"/>
      <c r="M22" s="84"/>
      <c r="N22" s="85"/>
    </row>
    <row r="23" spans="1:17" ht="20.25" thickTop="1" thickBot="1">
      <c r="A23" s="109" t="s">
        <v>21</v>
      </c>
      <c r="B23" s="95">
        <f>ROUND((SUM(B14:B22)),2)</f>
        <v>2038.94</v>
      </c>
      <c r="F23" s="131" t="s">
        <v>83</v>
      </c>
      <c r="G23" s="132"/>
      <c r="H23" s="133"/>
      <c r="L23" s="134" t="s">
        <v>50</v>
      </c>
      <c r="M23" s="134"/>
      <c r="N23" s="134"/>
      <c r="O23" s="45"/>
      <c r="P23" s="45"/>
      <c r="Q23" s="45"/>
    </row>
    <row r="24" spans="1:17" ht="16.5" thickTop="1" thickBot="1">
      <c r="A24" s="110"/>
      <c r="F24" s="30" t="s">
        <v>58</v>
      </c>
      <c r="G24" s="31" t="s">
        <v>31</v>
      </c>
      <c r="H24" s="32" t="s">
        <v>46</v>
      </c>
      <c r="L24" s="141" t="s">
        <v>63</v>
      </c>
      <c r="M24" s="141"/>
      <c r="N24" s="40" t="s">
        <v>49</v>
      </c>
      <c r="O24" s="35"/>
      <c r="P24" s="35"/>
      <c r="Q24" s="35"/>
    </row>
    <row r="25" spans="1:17" ht="17.25" thickTop="1" thickBot="1">
      <c r="A25" s="113" t="s">
        <v>42</v>
      </c>
      <c r="B25" s="103">
        <f>ROUND((B11-B23),2)</f>
        <v>8215.4599999999991</v>
      </c>
      <c r="F25" s="33">
        <f>SUM(F20,H20)</f>
        <v>8022.9862679999997</v>
      </c>
      <c r="G25" s="128"/>
      <c r="H25" s="29" t="str">
        <f>IF(H22="Não","",(F25*G25))</f>
        <v/>
      </c>
      <c r="L25" s="142" t="s">
        <v>53</v>
      </c>
      <c r="M25" s="143"/>
      <c r="N25" s="144"/>
    </row>
    <row r="26" spans="1:17" ht="15.75" thickTop="1">
      <c r="A26" s="23"/>
      <c r="L26" s="145" t="s">
        <v>65</v>
      </c>
      <c r="M26" s="146"/>
      <c r="N26" s="41">
        <f>IF(H22="Sim", (ROUND('Informações Base'!B13+ROUND(G20*'Informações Base'!B13,2),2)+(ROUND('Informações Base'!B13+ROUND(G20*'Informações Base'!B13,2),2)*G25)),(IF(H17="Não",'Informações Base'!B13,ROUND('Informações Base'!B13+ROUND(G20*'Informações Base'!B13,2),2))))</f>
        <v>14300.06</v>
      </c>
    </row>
    <row r="27" spans="1:17" ht="15.75" thickBot="1">
      <c r="F27"/>
      <c r="G27"/>
      <c r="H27"/>
      <c r="L27" s="176" t="s">
        <v>51</v>
      </c>
      <c r="M27" s="177"/>
      <c r="N27" s="42">
        <v>0.15</v>
      </c>
    </row>
    <row r="28" spans="1:17" ht="15.75" thickBot="1">
      <c r="F28"/>
      <c r="G28"/>
      <c r="H28"/>
      <c r="L28" s="129" t="s">
        <v>52</v>
      </c>
      <c r="M28" s="130"/>
      <c r="N28" s="9">
        <f>ROUND((N26*N27),2)</f>
        <v>2145.0100000000002</v>
      </c>
    </row>
    <row r="29" spans="1:17" ht="15.75" thickTop="1">
      <c r="F29"/>
      <c r="G29"/>
      <c r="H29"/>
    </row>
    <row r="30" spans="1:17" ht="15.75" thickBot="1">
      <c r="F30"/>
      <c r="G30"/>
      <c r="H30"/>
      <c r="L30" s="148" t="s">
        <v>54</v>
      </c>
      <c r="M30" s="148"/>
      <c r="N30" s="148"/>
      <c r="O30" s="45"/>
      <c r="P30" s="45"/>
      <c r="Q30" s="45"/>
    </row>
    <row r="31" spans="1:17" ht="15.75" thickTop="1">
      <c r="A31" s="23"/>
      <c r="B31" s="4"/>
      <c r="L31" s="170" t="s">
        <v>55</v>
      </c>
      <c r="M31" s="171"/>
      <c r="N31" s="87">
        <v>0</v>
      </c>
    </row>
    <row r="32" spans="1:17">
      <c r="A32" s="23"/>
      <c r="G32" s="34"/>
      <c r="L32" s="172" t="s">
        <v>56</v>
      </c>
      <c r="M32" s="173"/>
      <c r="N32" s="43">
        <f>N31*3%</f>
        <v>0</v>
      </c>
    </row>
    <row r="33" spans="1:19" ht="15.75" thickBot="1">
      <c r="A33" s="23"/>
      <c r="F33" s="4"/>
      <c r="H33" s="4"/>
      <c r="L33" s="174" t="s">
        <v>57</v>
      </c>
      <c r="M33" s="175"/>
      <c r="N33" s="44">
        <f>ROUND((N32*(B3+B5+B6)),2)</f>
        <v>0</v>
      </c>
    </row>
    <row r="34" spans="1:19" ht="15.75" thickTop="1">
      <c r="A34" s="23"/>
    </row>
    <row r="36" spans="1:19" ht="15.75" thickBot="1"/>
    <row r="37" spans="1:19" ht="20.25" thickTop="1" thickBot="1">
      <c r="L37" s="162" t="s">
        <v>45</v>
      </c>
      <c r="M37" s="163"/>
      <c r="N37" s="163"/>
      <c r="O37" s="163"/>
      <c r="P37" s="163"/>
      <c r="Q37" s="163"/>
      <c r="R37" s="163"/>
      <c r="S37" s="164"/>
    </row>
    <row r="38" spans="1:19" ht="15.75" thickTop="1">
      <c r="L38" s="46" t="s">
        <v>22</v>
      </c>
      <c r="M38" s="47" t="s">
        <v>24</v>
      </c>
      <c r="N38" s="47" t="s">
        <v>25</v>
      </c>
      <c r="O38" s="47" t="s">
        <v>26</v>
      </c>
      <c r="P38" s="47" t="s">
        <v>27</v>
      </c>
      <c r="Q38" s="47" t="s">
        <v>28</v>
      </c>
      <c r="R38" s="47" t="s">
        <v>29</v>
      </c>
      <c r="S38" s="48" t="s">
        <v>30</v>
      </c>
    </row>
    <row r="39" spans="1:19">
      <c r="L39" s="49">
        <v>1</v>
      </c>
      <c r="M39" s="50">
        <v>43952</v>
      </c>
      <c r="N39" s="51">
        <v>140.22</v>
      </c>
      <c r="O39" s="52">
        <v>1.0512173452</v>
      </c>
      <c r="P39" s="51">
        <v>147.4</v>
      </c>
      <c r="Q39" s="53">
        <v>0.08</v>
      </c>
      <c r="R39" s="51">
        <v>11.79</v>
      </c>
      <c r="S39" s="54">
        <v>159.19</v>
      </c>
    </row>
    <row r="40" spans="1:19">
      <c r="L40" s="49">
        <v>2</v>
      </c>
      <c r="M40" s="50">
        <v>43983</v>
      </c>
      <c r="N40" s="51">
        <v>140.22</v>
      </c>
      <c r="O40" s="52">
        <v>1.0538519752</v>
      </c>
      <c r="P40" s="51">
        <v>147.77000000000001</v>
      </c>
      <c r="Q40" s="53">
        <v>7.0000000000000007E-2</v>
      </c>
      <c r="R40" s="51">
        <v>10.34</v>
      </c>
      <c r="S40" s="54">
        <v>158.11000000000001</v>
      </c>
    </row>
    <row r="41" spans="1:19">
      <c r="L41" s="49">
        <v>3</v>
      </c>
      <c r="M41" s="50">
        <v>44013</v>
      </c>
      <c r="N41" s="51">
        <v>140.22</v>
      </c>
      <c r="O41" s="52">
        <v>1.0506998755000001</v>
      </c>
      <c r="P41" s="51">
        <v>147.33000000000001</v>
      </c>
      <c r="Q41" s="53">
        <v>0.06</v>
      </c>
      <c r="R41" s="51">
        <v>8.84</v>
      </c>
      <c r="S41" s="54">
        <v>156.16999999999999</v>
      </c>
    </row>
    <row r="42" spans="1:19">
      <c r="L42" s="49">
        <v>4</v>
      </c>
      <c r="M42" s="50">
        <v>44044</v>
      </c>
      <c r="N42" s="51">
        <v>140.22</v>
      </c>
      <c r="O42" s="52">
        <v>1.0460970485000001</v>
      </c>
      <c r="P42" s="51">
        <v>146.68</v>
      </c>
      <c r="Q42" s="53">
        <v>0.05</v>
      </c>
      <c r="R42" s="51">
        <v>7.33</v>
      </c>
      <c r="S42" s="54">
        <v>154.01</v>
      </c>
    </row>
    <row r="43" spans="1:19">
      <c r="L43" s="49">
        <v>5</v>
      </c>
      <c r="M43" s="50">
        <v>44075</v>
      </c>
      <c r="N43" s="51">
        <v>140.22</v>
      </c>
      <c r="O43" s="52">
        <v>1.0423446079000001</v>
      </c>
      <c r="P43" s="51">
        <v>146.16</v>
      </c>
      <c r="Q43" s="53">
        <v>0.04</v>
      </c>
      <c r="R43" s="51">
        <v>5.85</v>
      </c>
      <c r="S43" s="54">
        <v>152.01</v>
      </c>
    </row>
    <row r="44" spans="1:19">
      <c r="L44" s="49">
        <v>6</v>
      </c>
      <c r="M44" s="50">
        <v>44105</v>
      </c>
      <c r="N44" s="51">
        <v>140.22</v>
      </c>
      <c r="O44" s="52">
        <v>1.0333544243999999</v>
      </c>
      <c r="P44" s="51">
        <v>144.9</v>
      </c>
      <c r="Q44" s="53">
        <v>0.03</v>
      </c>
      <c r="R44" s="51">
        <v>4.3499999999999996</v>
      </c>
      <c r="S44" s="54">
        <v>149.25</v>
      </c>
    </row>
    <row r="45" spans="1:19">
      <c r="L45" s="49">
        <v>7</v>
      </c>
      <c r="M45" s="50">
        <v>44136</v>
      </c>
      <c r="N45" s="51">
        <v>140.22</v>
      </c>
      <c r="O45" s="52">
        <v>1.0242386999999999</v>
      </c>
      <c r="P45" s="51">
        <v>143.62</v>
      </c>
      <c r="Q45" s="53">
        <v>0.02</v>
      </c>
      <c r="R45" s="51">
        <v>2.87</v>
      </c>
      <c r="S45" s="54">
        <v>146.49</v>
      </c>
    </row>
    <row r="46" spans="1:19">
      <c r="L46" s="49">
        <v>8</v>
      </c>
      <c r="M46" s="50">
        <v>44166</v>
      </c>
      <c r="N46" s="51">
        <v>140.22</v>
      </c>
      <c r="O46" s="52">
        <v>1.0145999999999999</v>
      </c>
      <c r="P46" s="51">
        <v>142.27000000000001</v>
      </c>
      <c r="Q46" s="53">
        <v>0.01</v>
      </c>
      <c r="R46" s="51">
        <v>1.42</v>
      </c>
      <c r="S46" s="54">
        <v>143.69</v>
      </c>
    </row>
    <row r="47" spans="1:19">
      <c r="L47" s="49">
        <v>9</v>
      </c>
      <c r="M47" s="50">
        <v>44166</v>
      </c>
      <c r="N47" s="51">
        <v>140.22</v>
      </c>
      <c r="O47" s="52">
        <v>1.0145999999999999</v>
      </c>
      <c r="P47" s="51">
        <v>142.27000000000001</v>
      </c>
      <c r="Q47" s="53">
        <v>0.01</v>
      </c>
      <c r="R47" s="51">
        <v>1.42</v>
      </c>
      <c r="S47" s="54">
        <v>143.69</v>
      </c>
    </row>
    <row r="48" spans="1:19" ht="15.75" thickBot="1">
      <c r="L48" s="55">
        <v>10</v>
      </c>
      <c r="M48" s="56">
        <v>44197</v>
      </c>
      <c r="N48" s="57">
        <v>140.22</v>
      </c>
      <c r="O48" s="58">
        <v>1</v>
      </c>
      <c r="P48" s="57">
        <v>140.22</v>
      </c>
      <c r="Q48" s="59">
        <v>0</v>
      </c>
      <c r="R48" s="57">
        <v>0</v>
      </c>
      <c r="S48" s="60">
        <v>140.22</v>
      </c>
    </row>
    <row r="49" spans="12:19" ht="16.5" thickTop="1" thickBot="1">
      <c r="L49" s="61" t="s">
        <v>23</v>
      </c>
      <c r="M49" s="62"/>
      <c r="N49" s="63">
        <f>SUM(N39:N48)</f>
        <v>1402.2</v>
      </c>
      <c r="O49" s="62"/>
      <c r="P49" s="63">
        <f>SUM(P39:P48)</f>
        <v>1448.6200000000001</v>
      </c>
      <c r="Q49" s="62"/>
      <c r="R49" s="63">
        <f>SUM(R39:R48)</f>
        <v>54.21</v>
      </c>
      <c r="S49" s="64">
        <f>SUM(S39:S48)</f>
        <v>1502.8300000000002</v>
      </c>
    </row>
    <row r="50" spans="12:19" ht="16.5" thickTop="1" thickBot="1">
      <c r="L50" s="65"/>
      <c r="M50" s="65"/>
      <c r="N50" s="65"/>
      <c r="O50" s="65"/>
      <c r="P50" s="65"/>
      <c r="Q50" s="65"/>
      <c r="R50" s="65"/>
      <c r="S50" s="65"/>
    </row>
    <row r="51" spans="12:19" ht="16.5" thickTop="1" thickBot="1">
      <c r="L51" s="65"/>
      <c r="M51" s="165" t="s">
        <v>43</v>
      </c>
      <c r="N51" s="166"/>
      <c r="O51" s="166"/>
      <c r="P51" s="166"/>
      <c r="Q51" s="167"/>
      <c r="R51" s="65"/>
      <c r="S51" s="65"/>
    </row>
    <row r="52" spans="12:19" ht="16.5" thickTop="1" thickBot="1">
      <c r="L52" s="65"/>
      <c r="M52" s="66" t="s">
        <v>35</v>
      </c>
      <c r="N52" s="159" t="s">
        <v>34</v>
      </c>
      <c r="O52" s="160"/>
      <c r="P52" s="161"/>
      <c r="Q52" s="67" t="s">
        <v>33</v>
      </c>
      <c r="R52" s="65"/>
      <c r="S52" s="65"/>
    </row>
    <row r="53" spans="12:19" ht="15.75" thickTop="1">
      <c r="L53" s="65"/>
      <c r="M53" s="68">
        <v>44228</v>
      </c>
      <c r="N53" s="69">
        <v>43952</v>
      </c>
      <c r="O53" s="70" t="s">
        <v>32</v>
      </c>
      <c r="P53" s="71">
        <v>44013</v>
      </c>
      <c r="Q53" s="72">
        <f>SUM(S39:S41)</f>
        <v>473.47</v>
      </c>
      <c r="R53" s="65"/>
      <c r="S53" s="65"/>
    </row>
    <row r="54" spans="12:19">
      <c r="L54" s="65"/>
      <c r="M54" s="73">
        <v>44256</v>
      </c>
      <c r="N54" s="74">
        <v>44044</v>
      </c>
      <c r="O54" s="75" t="s">
        <v>32</v>
      </c>
      <c r="P54" s="76">
        <v>44105</v>
      </c>
      <c r="Q54" s="77">
        <f>SUM(S42:S44)</f>
        <v>455.27</v>
      </c>
      <c r="R54" s="65"/>
      <c r="S54" s="65"/>
    </row>
    <row r="55" spans="12:19" ht="15.75" thickBot="1">
      <c r="L55" s="65"/>
      <c r="M55" s="78">
        <v>44287</v>
      </c>
      <c r="N55" s="79">
        <v>44136</v>
      </c>
      <c r="O55" s="80" t="s">
        <v>32</v>
      </c>
      <c r="P55" s="81">
        <v>44197</v>
      </c>
      <c r="Q55" s="82">
        <f>SUM(S45:S48)</f>
        <v>574.09</v>
      </c>
      <c r="R55" s="65"/>
      <c r="S55" s="65"/>
    </row>
    <row r="56" spans="12:19" ht="15.75" thickTop="1"/>
  </sheetData>
  <sheetProtection password="CF7A" sheet="1" objects="1" scenarios="1"/>
  <mergeCells count="40">
    <mergeCell ref="N52:P52"/>
    <mergeCell ref="L3:M3"/>
    <mergeCell ref="N8:N9"/>
    <mergeCell ref="O8:O9"/>
    <mergeCell ref="L37:S37"/>
    <mergeCell ref="M51:Q51"/>
    <mergeCell ref="P8:P9"/>
    <mergeCell ref="Q8:Q9"/>
    <mergeCell ref="L31:M31"/>
    <mergeCell ref="L32:M32"/>
    <mergeCell ref="L33:M33"/>
    <mergeCell ref="L30:N30"/>
    <mergeCell ref="L20:M20"/>
    <mergeCell ref="L25:N25"/>
    <mergeCell ref="L26:M26"/>
    <mergeCell ref="L27:M27"/>
    <mergeCell ref="A1:B1"/>
    <mergeCell ref="A13:B13"/>
    <mergeCell ref="J8:J9"/>
    <mergeCell ref="G8:G9"/>
    <mergeCell ref="I8:I9"/>
    <mergeCell ref="F8:F9"/>
    <mergeCell ref="E8:E9"/>
    <mergeCell ref="H8:H9"/>
    <mergeCell ref="E1:J1"/>
    <mergeCell ref="L28:M28"/>
    <mergeCell ref="F23:H23"/>
    <mergeCell ref="L1:Q1"/>
    <mergeCell ref="L8:M9"/>
    <mergeCell ref="E3:F3"/>
    <mergeCell ref="L23:N23"/>
    <mergeCell ref="L24:M24"/>
    <mergeCell ref="L21:M21"/>
    <mergeCell ref="L16:N16"/>
    <mergeCell ref="L17:M17"/>
    <mergeCell ref="L18:N18"/>
    <mergeCell ref="L19:M19"/>
    <mergeCell ref="F18:H18"/>
    <mergeCell ref="F17:G17"/>
    <mergeCell ref="F22:G22"/>
  </mergeCells>
  <conditionalFormatting sqref="E10:J14">
    <cfRule type="expression" dxfId="1" priority="2">
      <formula>$J10&lt;&gt;""</formula>
    </cfRule>
  </conditionalFormatting>
  <conditionalFormatting sqref="L10:Q13">
    <cfRule type="expression" dxfId="0" priority="3">
      <formula>$Q10&lt;&gt;""</formula>
    </cfRule>
  </conditionalFormatting>
  <dataValidations count="4">
    <dataValidation type="list" allowBlank="1" showInputMessage="1" showErrorMessage="1" errorTitle="Apenas selecione o Número" error="Apenas selecione o Número" sqref="N17">
      <formula1>"0,1,2,3,4,5"</formula1>
    </dataValidation>
    <dataValidation type="list" allowBlank="1" showInputMessage="1" showErrorMessage="1" errorTitle="Apenas selecione o número" error="Apenas selecione o número" promptTitle="Apenas selecione o número" sqref="N31">
      <formula1>"0,1,2,3,4,5,6,7,8,9,10"</formula1>
    </dataValidation>
    <dataValidation type="list" allowBlank="1" showInputMessage="1" showErrorMessage="1" errorTitle="Apenas selecione Sim ou Não" error="Apenas selecione Sim ou Não" sqref="N24 H17 H22">
      <formula1>"Sim, Não"</formula1>
    </dataValidation>
    <dataValidation type="list" allowBlank="1" showErrorMessage="1" error="Não altere nada, apenas escolha uma opção" sqref="B2">
      <formula1>"DASU-1, DASU-2,DASU-3,DASU-4,DASU-5,DASU-6,DASU-7,DASU-8,DASU-9,DASU-10"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A2" sqref="A2:A11"/>
    </sheetView>
  </sheetViews>
  <sheetFormatPr defaultRowHeight="15"/>
  <cols>
    <col min="1" max="1" width="10.5703125" customWidth="1"/>
    <col min="2" max="2" width="14.7109375" customWidth="1"/>
    <col min="3" max="3" width="12.140625" bestFit="1" customWidth="1"/>
    <col min="4" max="4" width="9.5703125" bestFit="1" customWidth="1"/>
    <col min="5" max="5" width="12.140625" bestFit="1" customWidth="1"/>
    <col min="7" max="7" width="9.5703125" bestFit="1" customWidth="1"/>
    <col min="8" max="8" width="12.140625" bestFit="1" customWidth="1"/>
  </cols>
  <sheetData>
    <row r="1" spans="1:4" ht="16.5" thickTop="1" thickBot="1">
      <c r="A1" s="122" t="s">
        <v>76</v>
      </c>
      <c r="B1" s="123" t="s">
        <v>77</v>
      </c>
    </row>
    <row r="2" spans="1:4">
      <c r="A2" s="120" t="s">
        <v>66</v>
      </c>
      <c r="B2" s="121">
        <v>4727.45</v>
      </c>
      <c r="C2" s="115"/>
    </row>
    <row r="3" spans="1:4">
      <c r="A3" s="116" t="s">
        <v>67</v>
      </c>
      <c r="B3" s="117">
        <v>5773.45</v>
      </c>
      <c r="C3" s="115"/>
      <c r="D3" s="36"/>
    </row>
    <row r="4" spans="1:4">
      <c r="A4" s="116" t="s">
        <v>68</v>
      </c>
      <c r="B4" s="117">
        <v>7164.66</v>
      </c>
      <c r="C4" s="115"/>
      <c r="D4" s="36"/>
    </row>
    <row r="5" spans="1:4">
      <c r="A5" s="116" t="s">
        <v>69</v>
      </c>
      <c r="B5" s="117">
        <v>9501.0400000000009</v>
      </c>
      <c r="C5" s="115"/>
    </row>
    <row r="6" spans="1:4">
      <c r="A6" s="116" t="s">
        <v>70</v>
      </c>
      <c r="B6" s="117">
        <v>12770.24</v>
      </c>
      <c r="C6" s="115"/>
    </row>
    <row r="7" spans="1:4">
      <c r="A7" s="116" t="s">
        <v>71</v>
      </c>
      <c r="B7" s="117">
        <v>16765.650000000001</v>
      </c>
      <c r="C7" s="115"/>
    </row>
    <row r="8" spans="1:4">
      <c r="A8" s="116" t="s">
        <v>72</v>
      </c>
      <c r="B8" s="117">
        <v>17081.11</v>
      </c>
      <c r="C8" s="115"/>
    </row>
    <row r="9" spans="1:4">
      <c r="A9" s="116" t="s">
        <v>73</v>
      </c>
      <c r="B9" s="117">
        <v>17563.78</v>
      </c>
      <c r="C9" s="115"/>
    </row>
    <row r="10" spans="1:4">
      <c r="A10" s="116" t="s">
        <v>74</v>
      </c>
      <c r="B10" s="117">
        <v>18976.939999999999</v>
      </c>
      <c r="C10" s="115"/>
    </row>
    <row r="11" spans="1:4" ht="15.75" thickBot="1">
      <c r="A11" s="118" t="s">
        <v>75</v>
      </c>
      <c r="B11" s="119">
        <v>21791.25</v>
      </c>
      <c r="C11" s="115"/>
    </row>
    <row r="12" spans="1:4" ht="16.5" thickTop="1" thickBot="1"/>
    <row r="13" spans="1:4" ht="16.5" thickTop="1" thickBot="1">
      <c r="A13" s="124" t="s">
        <v>78</v>
      </c>
      <c r="B13" s="125">
        <v>12770.19</v>
      </c>
    </row>
    <row r="14" spans="1:4" ht="15.75" thickTop="1"/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Cálculo Salário</vt:lpstr>
      <vt:lpstr>Informações Base</vt:lpstr>
      <vt:lpstr>Padrão_de_Vencimento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</cp:lastModifiedBy>
  <dcterms:created xsi:type="dcterms:W3CDTF">2020-11-16T19:09:46Z</dcterms:created>
  <dcterms:modified xsi:type="dcterms:W3CDTF">2022-06-30T16:42:34Z</dcterms:modified>
</cp:coreProperties>
</file>