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eta de artigos" sheetId="1" r:id="rId4"/>
    <sheet state="visible" name="Planejamento Experimental" sheetId="2" r:id="rId5"/>
    <sheet state="visible" name="Acid Washing" sheetId="3" r:id="rId6"/>
    <sheet state="visible" name="Dados" sheetId="4" r:id="rId7"/>
    <sheet state="visible" name="Experimental Results" sheetId="5" r:id="rId8"/>
    <sheet state="visible" name="Cost" sheetId="6" r:id="rId9"/>
  </sheets>
  <externalReferences>
    <externalReference r:id="rId10"/>
  </externalReferences>
  <definedNames/>
  <calcPr/>
  <extLst>
    <ext uri="GoogleSheetsCustomDataVersion1">
      <go:sheetsCustomData xmlns:go="http://customooxmlschemas.google.com/" r:id="rId11" roundtripDataSignature="AMtx7mhkqVq4/WTTbA3szbbjQtqZuv6Kl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65">
      <text>
        <t xml:space="preserve">======
ID#AAAAlyNMZgQ
Felipe Anchieta    (2022-12-19 16:20:34)
100-160</t>
      </text>
    </comment>
    <comment authorId="0" ref="V15">
      <text>
        <t xml:space="preserve">======
ID#AAAAlyNMZgM
Felipe Anchieta    (2022-12-19 16:20:34)
300–500 nm long nanotubes, with inner diameter and wall-thickness of ~ 3–5 nm and ~ 1–2 nm,</t>
      </text>
    </comment>
    <comment authorId="0" ref="M66">
      <text>
        <t xml:space="preserve">======
ID#AAAAlyNMZgE
Felipe Anchieta    (2022-12-19 16:20:34)
130-240</t>
      </text>
    </comment>
    <comment authorId="0" ref="V96">
      <text>
        <t xml:space="preserve">======
ID#AAAAlyNMZgI
Felipe Anchieta    (2022-12-19 16:20:34)
diameters of 8 to 12
nm and lengths of 50 to 300 nm</t>
      </text>
    </comment>
    <comment authorId="0" ref="V79">
      <text>
        <t xml:space="preserve">======
ID#AAAAlyNMZgA
Felipe Anchieta    (2022-12-19 16:20:34)
mixtures of nanosheets and short nanotubes with inner
diameters of ca. 7 nm, outer sizes of ca. 14 nm and a length
of 100 240 nm</t>
      </text>
    </comment>
    <comment authorId="0" ref="L61">
      <text>
        <t xml:space="preserve">======
ID#AAAAlyNMZf8
Felipe Anchieta    (2022-12-19 16:20:34)
Felipe Anchieta
5-15</t>
      </text>
    </comment>
    <comment authorId="0" ref="V95">
      <text>
        <t xml:space="preserve">======
ID#AAAAlyNMZfw
Felipe Anchieta    (2022-12-19 16:20:34)
diameters of 8~10 nm and lengths of 50~120 nm</t>
      </text>
    </comment>
    <comment authorId="0" ref="M64">
      <text>
        <t xml:space="preserve">======
ID#AAAAlyNMZf4
Felipe Anchieta    (2022-12-19 16:20:34)
100-180</t>
      </text>
    </comment>
    <comment authorId="0" ref="M61">
      <text>
        <t xml:space="preserve">======
ID#AAAAlyNMZf0
Felipe Anchieta    (2022-12-19 16:20:34)
180-250</t>
      </text>
    </comment>
    <comment authorId="0" ref="V80">
      <text>
        <t xml:space="preserve">======
ID#AAAAlyNMZfs
Felipe Anchieta    (2022-12-19 16:20:34)
built up of long
needles with a length of ca. 20 30 μm</t>
      </text>
    </comment>
    <comment authorId="0" ref="V14">
      <text>
        <t xml:space="preserve">======
ID#AAAAlyNMZfo
Felipe Anchieta    (2022-12-19 16:20:34)
The length and diameter of rods are noted to be within the range of ~350 nm–2 μm and ~35–165 nm.</t>
      </text>
    </comment>
    <comment authorId="0" ref="V92">
      <text>
        <t xml:space="preserve">======
ID#AAAAlyNMZfg
Felipe Anchieta    (2022-12-19 16:20:34)
diameters (8~10 nm) 
213 but shortened lengths (20~50 nm)</t>
      </text>
    </comment>
    <comment authorId="0" ref="L66">
      <text>
        <t xml:space="preserve">======
ID#AAAAlyNMZfk
Felipe Anchieta    (2022-12-19 16:20:34)
5-25</t>
      </text>
    </comment>
    <comment authorId="0" ref="L65">
      <text>
        <t xml:space="preserve">======
ID#AAAAlyNMZfc
Felipe Anchieta    (2022-12-19 16:20:34)
5-15</t>
      </text>
    </comment>
  </commentList>
  <extLst>
    <ext uri="GoogleSheetsCustomDataVersion1">
      <go:sheetsCustomData xmlns:go="http://customooxmlschemas.google.com/" r:id="rId1" roundtripDataSignature="AMtx7miqdzMiqJOUKpmU873pQ2VevijfsQ=="/>
    </ext>
  </extLst>
</comments>
</file>

<file path=xl/sharedStrings.xml><?xml version="1.0" encoding="utf-8"?>
<sst xmlns="http://schemas.openxmlformats.org/spreadsheetml/2006/main" count="900" uniqueCount="358">
  <si>
    <t>DOI</t>
  </si>
  <si>
    <t>Volume (mL)</t>
  </si>
  <si>
    <t>Total Volume (%)</t>
  </si>
  <si>
    <t>Weight TiO2 (g)</t>
  </si>
  <si>
    <t>mol TiO2</t>
  </si>
  <si>
    <t>% TiO2</t>
  </si>
  <si>
    <t>[TiO2] (g/mL)</t>
  </si>
  <si>
    <t>Proportion TiO2/NaOH</t>
  </si>
  <si>
    <t>Normalize Proportion TiO2/NaOH</t>
  </si>
  <si>
    <t>mol NaOH</t>
  </si>
  <si>
    <t>Vol NaOH</t>
  </si>
  <si>
    <t>[NaOH]</t>
  </si>
  <si>
    <t>Temperature (C)</t>
  </si>
  <si>
    <t>Time (h)</t>
  </si>
  <si>
    <t>Washed</t>
  </si>
  <si>
    <t>Washed Time</t>
  </si>
  <si>
    <t>Dried Temperature ©</t>
  </si>
  <si>
    <t>Dried Time (h)</t>
  </si>
  <si>
    <t>Calcinate Temperature</t>
  </si>
  <si>
    <t>Calcinate Time</t>
  </si>
  <si>
    <t>Morphology</t>
  </si>
  <si>
    <t>Size (nm)</t>
  </si>
  <si>
    <t>10.1016/j.jhazmat.2009.01.129</t>
  </si>
  <si>
    <t>x</t>
  </si>
  <si>
    <t>0.1 HCl</t>
  </si>
  <si>
    <t>Tube</t>
  </si>
  <si>
    <t>40-70</t>
  </si>
  <si>
    <t>10.1021/cg900381h</t>
  </si>
  <si>
    <t>Water</t>
  </si>
  <si>
    <t>9</t>
  </si>
  <si>
    <t>Wire</t>
  </si>
  <si>
    <t>50-300</t>
  </si>
  <si>
    <t>10.1021/jp908508z</t>
  </si>
  <si>
    <t>Belt</t>
  </si>
  <si>
    <t>10.1016/j.apcatb.2006.07.017</t>
  </si>
  <si>
    <t>Rod</t>
  </si>
  <si>
    <t>40-300</t>
  </si>
  <si>
    <t>10.1023/B:JMSC.0000033405.73881.7c</t>
  </si>
  <si>
    <t>10.1002/1521-4095(20020903)14:17&lt;1208::AID-ADMA1208&gt;3.0.CO;2-0</t>
  </si>
  <si>
    <t>10.1016/S0009-2614(02)01499-9</t>
  </si>
  <si>
    <t>10.1021/jp044282r</t>
  </si>
  <si>
    <t>100-300</t>
  </si>
  <si>
    <t>X</t>
  </si>
  <si>
    <t>8-12</t>
  </si>
  <si>
    <t>10.1016/j.molcata.2004.09.051</t>
  </si>
  <si>
    <t>8-10</t>
  </si>
  <si>
    <t>10.1007/s10562-009-0010-3</t>
  </si>
  <si>
    <t>1 HCl</t>
  </si>
  <si>
    <t>35-165</t>
  </si>
  <si>
    <t>10.1016/j.matlet.2009.01.041</t>
  </si>
  <si>
    <t>300-500</t>
  </si>
  <si>
    <t>10.1016/j.jpowsour.2005.03.057</t>
  </si>
  <si>
    <t>0.05 HCl</t>
  </si>
  <si>
    <t>20-40</t>
  </si>
  <si>
    <t>10.1021/cm800077e</t>
  </si>
  <si>
    <t>20-320</t>
  </si>
  <si>
    <t>10.1002/adfm.200400353</t>
  </si>
  <si>
    <t>8-22</t>
  </si>
  <si>
    <t>10.1002/adma.200400795</t>
  </si>
  <si>
    <t>40-120</t>
  </si>
  <si>
    <t>7-11</t>
  </si>
  <si>
    <t>10.1016/j.elecom.2005.06.012</t>
  </si>
  <si>
    <t>0.1 HNO3</t>
  </si>
  <si>
    <t>10.1016/j.cej.2011.01.007</t>
  </si>
  <si>
    <t>5-8</t>
  </si>
  <si>
    <t>10.1103/PhysRevLett.91.256103</t>
  </si>
  <si>
    <t>10.1016/j.solmat.2008.06.019</t>
  </si>
  <si>
    <t>10.1016/j.pnsc.2013.05.001</t>
  </si>
  <si>
    <t>10.1063/1.1537518</t>
  </si>
  <si>
    <t>8-15</t>
  </si>
  <si>
    <t>8-11</t>
  </si>
  <si>
    <t>10.1063/1.2796150</t>
  </si>
  <si>
    <t>10.1002/anie.200353571</t>
  </si>
  <si>
    <t>10.1016/j.molstruc.2019.127153</t>
  </si>
  <si>
    <t>50-100</t>
  </si>
  <si>
    <t>10.1016/j.watres.2008.12.022</t>
  </si>
  <si>
    <t>20-100</t>
  </si>
  <si>
    <t>10.1039/B406378C</t>
  </si>
  <si>
    <t>0.05 H2SO4</t>
  </si>
  <si>
    <t>10.1246/cl.2002.226</t>
  </si>
  <si>
    <t>10.1557/JMR.2004.0128</t>
  </si>
  <si>
    <t>10</t>
  </si>
  <si>
    <t>10.1021/ja0607483</t>
  </si>
  <si>
    <t>10.1021/ja0607484</t>
  </si>
  <si>
    <t>65-400</t>
  </si>
  <si>
    <t>10.1002/adfm.200701120</t>
  </si>
  <si>
    <t>20-50</t>
  </si>
  <si>
    <t>10.1088/0957-4484/21/25/255706</t>
  </si>
  <si>
    <t>200-400</t>
  </si>
  <si>
    <t>10.1016/j.jssc.2005.07.022</t>
  </si>
  <si>
    <t>10.1557/JMR.2005.0135</t>
  </si>
  <si>
    <t>10.1021/jp900369y</t>
  </si>
  <si>
    <t>50-200</t>
  </si>
  <si>
    <t>10.1016/j.mee.2015.03.041</t>
  </si>
  <si>
    <t>10-15</t>
  </si>
  <si>
    <t>10.1143/JJAP.51.06FG08</t>
  </si>
  <si>
    <t>8-14</t>
  </si>
  <si>
    <t>10.1016/j.jphotochem.2006.01.022</t>
  </si>
  <si>
    <t>7-12</t>
  </si>
  <si>
    <t>10.1021/am2008568</t>
  </si>
  <si>
    <t>10.1002/chem.200204394</t>
  </si>
  <si>
    <t>Alcohol</t>
  </si>
  <si>
    <t>8-20</t>
  </si>
  <si>
    <t>10.1016/j.matchemphys.2021.124520</t>
  </si>
  <si>
    <t>10.1039/C3NR01246H</t>
  </si>
  <si>
    <t>10-20</t>
  </si>
  <si>
    <t>10.1016/j.apcatb.2020.119177</t>
  </si>
  <si>
    <t>50-70</t>
  </si>
  <si>
    <t>10.1016/j.tsf.2010.08.104</t>
  </si>
  <si>
    <t>10.1021/la702839u</t>
  </si>
  <si>
    <t>10.1039/C1NR10081E</t>
  </si>
  <si>
    <t>10.1021/jp054320m</t>
  </si>
  <si>
    <t>10.1021/cm062413q</t>
  </si>
  <si>
    <t>10.1016/j.colsurfa.2004.04.030</t>
  </si>
  <si>
    <t>30-50</t>
  </si>
  <si>
    <t>10.1016/j.apcata.2004.11.021</t>
  </si>
  <si>
    <t>5-30</t>
  </si>
  <si>
    <t>5-10</t>
  </si>
  <si>
    <t>10.1021/ja903781h</t>
  </si>
  <si>
    <t>50-400</t>
  </si>
  <si>
    <t>10.1186/1743-8977-6-35</t>
  </si>
  <si>
    <t>60-300</t>
  </si>
  <si>
    <t>10.1557/PROC-1144-LL07-08</t>
  </si>
  <si>
    <t>Sphere</t>
  </si>
  <si>
    <t>10.1063/1.4980330</t>
  </si>
  <si>
    <t>10.1016/j.matlet.2010.08.082</t>
  </si>
  <si>
    <t>10.2478/s11532-007-0001-4</t>
  </si>
  <si>
    <t>10-70</t>
  </si>
  <si>
    <t>10.1007/s10853-010-5016-0</t>
  </si>
  <si>
    <t>10.1021/cm061721l</t>
  </si>
  <si>
    <t>10.1016/j.molstruc.2005.04.002</t>
  </si>
  <si>
    <t>10.1002/zaac.200801322</t>
  </si>
  <si>
    <t>20-90</t>
  </si>
  <si>
    <t>Flower</t>
  </si>
  <si>
    <t>Urchin</t>
  </si>
  <si>
    <t>10.1021/ic0501723</t>
  </si>
  <si>
    <t>10.1039/C8TA03616K</t>
  </si>
  <si>
    <t>10.1021/cg1004984</t>
  </si>
  <si>
    <t>120</t>
  </si>
  <si>
    <t>10.1016/j.molcata.2007.11.009</t>
  </si>
  <si>
    <t>10.1016/j.synthmet.2005.07.254</t>
  </si>
  <si>
    <t>10.1016/j.apsusc.2006.03.035</t>
  </si>
  <si>
    <t>10.1021/cm0518527</t>
  </si>
  <si>
    <t>7-10</t>
  </si>
  <si>
    <t>10.1021/cm0521875</t>
  </si>
  <si>
    <t>0.1 H2SO4</t>
  </si>
  <si>
    <t>10.1590/S0103-50532009000100025</t>
  </si>
  <si>
    <t>10.1021/es403079h</t>
  </si>
  <si>
    <t>10.1021/jp104345h</t>
  </si>
  <si>
    <t>10.1021/jp108659a</t>
  </si>
  <si>
    <t>50-120</t>
  </si>
  <si>
    <t> 10.1049/mnl.2011.0267 </t>
  </si>
  <si>
    <t>10.1016/j.solidstatesciences.2010.09.019</t>
  </si>
  <si>
    <t>20-30</t>
  </si>
  <si>
    <t>10.1016/j.cplett.2003.09.069</t>
  </si>
  <si>
    <t>10.1016/j.jtice.2008.12.007</t>
  </si>
  <si>
    <t>10.1016/j.jcis.2007.08.008</t>
  </si>
  <si>
    <t>10.1039/C4CE00801D</t>
  </si>
  <si>
    <t>0.01 HCl</t>
  </si>
  <si>
    <t>14-15</t>
  </si>
  <si>
    <t>10.1016/j.materresbull.2006.11.020</t>
  </si>
  <si>
    <t>10-30</t>
  </si>
  <si>
    <t>10.1080/01496395.2018.1444050</t>
  </si>
  <si>
    <t>4-10</t>
  </si>
  <si>
    <t>10.1016/j.elecom.2005.07.010</t>
  </si>
  <si>
    <t>10.1021/jp0567321</t>
  </si>
  <si>
    <t>10.1016/j.jphotochem.2008.09.014</t>
  </si>
  <si>
    <t>10.1016/j.jssc.2005.04.025</t>
  </si>
  <si>
    <t>10-50</t>
  </si>
  <si>
    <t>10.1016/j.jeurceramsoc.2005.01.058</t>
  </si>
  <si>
    <t>8</t>
  </si>
  <si>
    <t>10.1021/ic9025816</t>
  </si>
  <si>
    <t>10.1021/ic801508k</t>
  </si>
  <si>
    <t>0.2 HNO3</t>
  </si>
  <si>
    <t>10.1016/j.matchemphys.2006.02.002</t>
  </si>
  <si>
    <t>10.1039/B802896F</t>
  </si>
  <si>
    <t>10.1016/j.colsurfa.2010.11.032</t>
  </si>
  <si>
    <t>10-12</t>
  </si>
  <si>
    <t>10.1149/1.2162327</t>
  </si>
  <si>
    <t>10.1016/j.catcom.2007.11.016</t>
  </si>
  <si>
    <t>HCl</t>
  </si>
  <si>
    <t>25-30</t>
  </si>
  <si>
    <t>10.1039/B501883H</t>
  </si>
  <si>
    <t>10.1016/j.heliyon.2017.e00456</t>
  </si>
  <si>
    <t>10.1016/j.molcata.2006.01.003</t>
  </si>
  <si>
    <t>10.1021/jp047113f</t>
  </si>
  <si>
    <t>10.1088/0957-4484/16/9/086</t>
  </si>
  <si>
    <t>10.1021/jp104044j</t>
  </si>
  <si>
    <t>10-7</t>
  </si>
  <si>
    <t>10-100</t>
  </si>
  <si>
    <t>10.1088/0957-4484/19/27/275604</t>
  </si>
  <si>
    <t>10.1557/jmr.2004.19.2.417</t>
  </si>
  <si>
    <t>10.1016/j.cattod.2007.10.015</t>
  </si>
  <si>
    <t>6-10</t>
  </si>
  <si>
    <t>10.1016/j.jallcom.2009.10.030</t>
  </si>
  <si>
    <t>50</t>
  </si>
  <si>
    <t>Dados</t>
  </si>
  <si>
    <t>Condições</t>
  </si>
  <si>
    <t>Sem Réplicas</t>
  </si>
  <si>
    <t>x1=</t>
  </si>
  <si>
    <t>massa TiO2</t>
  </si>
  <si>
    <t>x11</t>
  </si>
  <si>
    <t>Massa</t>
  </si>
  <si>
    <t>Temperatur</t>
  </si>
  <si>
    <t>Tempo</t>
  </si>
  <si>
    <t>Sequência Experimental</t>
  </si>
  <si>
    <t>x1min</t>
  </si>
  <si>
    <t>g</t>
  </si>
  <si>
    <t>x13</t>
  </si>
  <si>
    <t>x1</t>
  </si>
  <si>
    <t>x2</t>
  </si>
  <si>
    <t>x3</t>
  </si>
  <si>
    <t>x4</t>
  </si>
  <si>
    <t>1</t>
  </si>
  <si>
    <t>x2max</t>
  </si>
  <si>
    <t>2</t>
  </si>
  <si>
    <t>NL1</t>
  </si>
  <si>
    <t>condições experimentais</t>
  </si>
  <si>
    <t>3</t>
  </si>
  <si>
    <t>4</t>
  </si>
  <si>
    <t>x2=</t>
  </si>
  <si>
    <t>concentracao de naoh</t>
  </si>
  <si>
    <t>x21</t>
  </si>
  <si>
    <t>5</t>
  </si>
  <si>
    <t>Teórico</t>
  </si>
  <si>
    <t>Real</t>
  </si>
  <si>
    <t>x2min</t>
  </si>
  <si>
    <t>mol/L</t>
  </si>
  <si>
    <t>x23</t>
  </si>
  <si>
    <t>6</t>
  </si>
  <si>
    <t>7</t>
  </si>
  <si>
    <t>NL2</t>
  </si>
  <si>
    <t>x3=</t>
  </si>
  <si>
    <t>temperatura</t>
  </si>
  <si>
    <t>x31</t>
  </si>
  <si>
    <t>Tempo Experimental</t>
  </si>
  <si>
    <t>x3min</t>
  </si>
  <si>
    <t>C</t>
  </si>
  <si>
    <t>x33</t>
  </si>
  <si>
    <t>horas</t>
  </si>
  <si>
    <t>x3max</t>
  </si>
  <si>
    <t>NL3</t>
  </si>
  <si>
    <t>Dias de experimento</t>
  </si>
  <si>
    <t>dias</t>
  </si>
  <si>
    <t>x4=</t>
  </si>
  <si>
    <t>tempo de reacao</t>
  </si>
  <si>
    <t>x41</t>
  </si>
  <si>
    <t xml:space="preserve">Hipoteses </t>
  </si>
  <si>
    <t>x4min</t>
  </si>
  <si>
    <t>h</t>
  </si>
  <si>
    <t>x43</t>
  </si>
  <si>
    <t>reator de 100 mL</t>
  </si>
  <si>
    <t>x4max</t>
  </si>
  <si>
    <t>80 mL volume reacional</t>
  </si>
  <si>
    <t>NL4</t>
  </si>
  <si>
    <t>Temperatura max 200 C</t>
  </si>
  <si>
    <t>massa TiO2 max = solubilidade em 100 C</t>
  </si>
  <si>
    <t>TiO2 (g)</t>
  </si>
  <si>
    <t>[NaOH] (mol.L-1)</t>
  </si>
  <si>
    <t>Temperatura ( C)</t>
  </si>
  <si>
    <t>Tempo (h)</t>
  </si>
  <si>
    <t>Calculadora da síntese Hidrotérmica</t>
  </si>
  <si>
    <t>Parâmetros entrada</t>
  </si>
  <si>
    <t>Parâmetros saída</t>
  </si>
  <si>
    <t>Massa (g)</t>
  </si>
  <si>
    <t>TiO2</t>
  </si>
  <si>
    <t>NaOH</t>
  </si>
  <si>
    <t>Na2Ti3O7</t>
  </si>
  <si>
    <t>H2Ti3O7</t>
  </si>
  <si>
    <t>Lavagem Ácida</t>
  </si>
  <si>
    <t>Água</t>
  </si>
  <si>
    <t>Composto</t>
  </si>
  <si>
    <t>Massa Molar (g/mol)</t>
  </si>
  <si>
    <t>Concentração (mol/L)</t>
  </si>
  <si>
    <t>Densidade (g/mL)</t>
  </si>
  <si>
    <t>H2O</t>
  </si>
  <si>
    <t>NaCl</t>
  </si>
  <si>
    <t>Isopropóxido de titânio (IV)</t>
  </si>
  <si>
    <t>Isopropanol</t>
  </si>
  <si>
    <t>Ácido Acético</t>
  </si>
  <si>
    <t>Range</t>
  </si>
  <si>
    <t>Variable</t>
  </si>
  <si>
    <t>Unit</t>
  </si>
  <si>
    <t>Temperature</t>
  </si>
  <si>
    <t>°C</t>
  </si>
  <si>
    <t>Time</t>
  </si>
  <si>
    <t>Arrange</t>
  </si>
  <si>
    <t>Arrange Plan22</t>
  </si>
  <si>
    <t>Arrange Kinetic</t>
  </si>
  <si>
    <t>Goal</t>
  </si>
  <si>
    <t>Sample</t>
  </si>
  <si>
    <t>Main Width (nm)</t>
  </si>
  <si>
    <t>Width Tubes (nm)</t>
  </si>
  <si>
    <t>Width Particles (nm)</t>
  </si>
  <si>
    <t>Width Rinbbons (nm)</t>
  </si>
  <si>
    <t>Length (nm)</t>
  </si>
  <si>
    <t>Aspect Ratio</t>
  </si>
  <si>
    <t>Crystallinity</t>
  </si>
  <si>
    <t>Absorbance</t>
  </si>
  <si>
    <t>Peak (nm)</t>
  </si>
  <si>
    <t>Bandgap (eV)</t>
  </si>
  <si>
    <t>TiO2 Produced (g)</t>
  </si>
  <si>
    <t>Yield (%)</t>
  </si>
  <si>
    <t>Cost (R$)</t>
  </si>
  <si>
    <t>Cost per gram (R$/g)</t>
  </si>
  <si>
    <t>Bulk comm</t>
  </si>
  <si>
    <t>-</t>
  </si>
  <si>
    <t>Nano comm</t>
  </si>
  <si>
    <t>Plan</t>
  </si>
  <si>
    <t>T</t>
  </si>
  <si>
    <t>R + S</t>
  </si>
  <si>
    <t>Add Paln</t>
  </si>
  <si>
    <t>R</t>
  </si>
  <si>
    <t>R + B</t>
  </si>
  <si>
    <t>R + S + B</t>
  </si>
  <si>
    <t>X² Plan</t>
  </si>
  <si>
    <t>W</t>
  </si>
  <si>
    <t>W + B</t>
  </si>
  <si>
    <t>Kinetic</t>
  </si>
  <si>
    <t>Base Cost</t>
  </si>
  <si>
    <t>Base Price</t>
  </si>
  <si>
    <t>Link</t>
  </si>
  <si>
    <t>R$/kWh</t>
  </si>
  <si>
    <t>R$/kg</t>
  </si>
  <si>
    <t>Bióxido de Titânio PURO (Dióxido) LojaSynth.com</t>
  </si>
  <si>
    <t>.</t>
  </si>
  <si>
    <t>Sodium hydroxide reagent grade, = 98 , pellets anhydrous 1310-73-2 (sigmaaldrich.com)</t>
  </si>
  <si>
    <t>R$</t>
  </si>
  <si>
    <t>Enel Brasil</t>
  </si>
  <si>
    <t>kW</t>
  </si>
  <si>
    <t>HB1</t>
  </si>
  <si>
    <t>HB6</t>
  </si>
  <si>
    <t>HB11</t>
  </si>
  <si>
    <t>quantidade</t>
  </si>
  <si>
    <t>total</t>
  </si>
  <si>
    <t>HB2</t>
  </si>
  <si>
    <t>colombia</t>
  </si>
  <si>
    <t>HB3</t>
  </si>
  <si>
    <t>dry</t>
  </si>
  <si>
    <t>HB4</t>
  </si>
  <si>
    <t>flor</t>
  </si>
  <si>
    <t>HB5</t>
  </si>
  <si>
    <t>HB7</t>
  </si>
  <si>
    <t>HB8</t>
  </si>
  <si>
    <t>HB9</t>
  </si>
  <si>
    <t>HB10</t>
  </si>
  <si>
    <t>HB32</t>
  </si>
  <si>
    <t>HB33</t>
  </si>
  <si>
    <t>HB42</t>
  </si>
  <si>
    <t>HB43</t>
  </si>
  <si>
    <t>HB34</t>
  </si>
  <si>
    <t>HB35</t>
  </si>
  <si>
    <t>HB36</t>
  </si>
  <si>
    <t>HB37</t>
  </si>
  <si>
    <t>HB38</t>
  </si>
  <si>
    <t>HB39</t>
  </si>
  <si>
    <t>HB40</t>
  </si>
  <si>
    <t>HB41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</si>
</sst>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00"/>
    <numFmt numFmtId="165" formatCode="0.000000"/>
    <numFmt numFmtId="166" formatCode="0.000E+00"/>
    <numFmt numFmtId="167" formatCode="0.0"/>
    <numFmt numFmtId="168" formatCode="_-&quot;R$&quot;\ * #,##0.00_-;\-&quot;R$&quot;\ * #,##0.00_-;_-&quot;R$&quot;\ * &quot;-&quot;??_-;_-@"/>
    <numFmt numFmtId="169" formatCode="0.0000"/>
  </numFmts>
  <fonts count="1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0"/>
      <name val="Calibri"/>
    </font>
    <font>
      <sz val="11.0"/>
      <color rgb="FFFF0000"/>
      <name val="Calibri"/>
    </font>
    <font>
      <sz val="11.0"/>
      <color rgb="FF00B05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b/>
      <sz val="11.0"/>
      <color theme="0"/>
      <name val="Calibri"/>
    </font>
    <font/>
    <font>
      <sz val="10.0"/>
      <color rgb="FF000000"/>
      <name val="Arial"/>
    </font>
    <font>
      <b/>
      <sz val="11.0"/>
      <color theme="1"/>
      <name val="Calibri"/>
    </font>
    <font>
      <b/>
      <sz val="10.0"/>
      <color rgb="FF000000"/>
      <name val="Arial"/>
    </font>
    <font>
      <sz val="12.0"/>
      <color theme="1"/>
      <name val="Arial"/>
    </font>
    <font>
      <u/>
      <sz val="11.0"/>
      <color theme="1"/>
      <name val="Calibri"/>
    </font>
    <font>
      <u/>
      <sz val="11.0"/>
      <color theme="10"/>
      <name val="Calibri"/>
    </font>
  </fonts>
  <fills count="26">
    <fill>
      <patternFill patternType="none"/>
    </fill>
    <fill>
      <patternFill patternType="lightGray"/>
    </fill>
    <fill>
      <patternFill patternType="solid">
        <fgColor rgb="FFFF5050"/>
        <bgColor rgb="FFFF5050"/>
      </patternFill>
    </fill>
    <fill>
      <patternFill patternType="solid">
        <fgColor rgb="FFFF9999"/>
        <bgColor rgb="FFFF9999"/>
      </patternFill>
    </fill>
    <fill>
      <patternFill patternType="solid">
        <fgColor rgb="FFFF0000"/>
        <bgColor rgb="FFFF0000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  <fill>
      <patternFill patternType="solid">
        <fgColor rgb="FFADB9CA"/>
        <bgColor rgb="FFADB9CA"/>
      </patternFill>
    </fill>
    <fill>
      <patternFill patternType="solid">
        <fgColor rgb="FFF7CAAC"/>
        <bgColor rgb="FFF7CAAC"/>
      </patternFill>
    </fill>
    <fill>
      <patternFill patternType="solid">
        <fgColor rgb="FFE2EFD9"/>
        <bgColor rgb="FFE2EFD9"/>
      </patternFill>
    </fill>
    <fill>
      <patternFill patternType="solid">
        <fgColor rgb="FF7F7F7F"/>
        <bgColor rgb="FF7F7F7F"/>
      </patternFill>
    </fill>
    <fill>
      <patternFill patternType="solid">
        <fgColor rgb="FFAEABAB"/>
        <bgColor rgb="FFAEABAB"/>
      </patternFill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595959"/>
        <bgColor rgb="FF595959"/>
      </patternFill>
    </fill>
    <fill>
      <patternFill patternType="solid">
        <fgColor rgb="FFDADADA"/>
        <bgColor rgb="FFDADADA"/>
      </patternFill>
    </fill>
    <fill>
      <patternFill patternType="solid">
        <fgColor rgb="FFF2F2F2"/>
        <bgColor rgb="FFF2F2F2"/>
      </patternFill>
    </fill>
    <fill>
      <patternFill patternType="solid">
        <fgColor rgb="FF8496B0"/>
        <bgColor rgb="FF8496B0"/>
      </patternFill>
    </fill>
    <fill>
      <patternFill patternType="solid">
        <fgColor rgb="FF96A5BC"/>
        <bgColor rgb="FF96A5BC"/>
      </patternFill>
    </fill>
    <fill>
      <patternFill patternType="solid">
        <fgColor rgb="FF7D91AB"/>
        <bgColor rgb="FF7D91AB"/>
      </patternFill>
    </fill>
    <fill>
      <patternFill patternType="solid">
        <fgColor rgb="FFC8C8C8"/>
        <bgColor rgb="FFC8C8C8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</fills>
  <borders count="16">
    <border/>
    <border>
      <left/>
      <right/>
      <top/>
      <bottom/>
    </border>
    <border>
      <right/>
      <top/>
      <bottom/>
    </border>
    <border>
      <left/>
      <top/>
      <bottom/>
    </border>
    <border>
      <top/>
      <bottom/>
    </border>
    <border>
      <left/>
      <right/>
      <top/>
    </border>
    <border>
      <left/>
      <right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2" numFmtId="11" xfId="0" applyBorder="1" applyFont="1" applyNumberFormat="1"/>
    <xf borderId="0" fillId="0" fontId="3" numFmtId="0" xfId="0" applyFont="1"/>
    <xf borderId="0" fillId="0" fontId="2" numFmtId="0" xfId="0" applyAlignment="1" applyFont="1">
      <alignment horizontal="center" vertical="center"/>
    </xf>
    <xf borderId="0" fillId="0" fontId="2" numFmtId="1" xfId="0" applyAlignment="1" applyFont="1" applyNumberFormat="1">
      <alignment horizontal="center" vertical="center"/>
    </xf>
    <xf borderId="1" fillId="4" fontId="2" numFmtId="0" xfId="0" applyAlignment="1" applyBorder="1" applyFill="1" applyFont="1">
      <alignment horizontal="center" vertical="center"/>
    </xf>
    <xf borderId="1" fillId="4" fontId="2" numFmtId="164" xfId="0" applyAlignment="1" applyBorder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3" fontId="2" numFmtId="164" xfId="0" applyAlignment="1" applyBorder="1" applyFont="1" applyNumberFormat="1">
      <alignment horizontal="center" vertical="center"/>
    </xf>
    <xf borderId="1" fillId="3" fontId="2" numFmtId="11" xfId="0" applyAlignment="1" applyBorder="1" applyFont="1" applyNumberFormat="1">
      <alignment horizontal="center" vertical="center"/>
    </xf>
    <xf borderId="1" fillId="3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1" fillId="2" fontId="2" numFmtId="49" xfId="0" applyAlignment="1" applyBorder="1" applyFont="1" applyNumberFormat="1">
      <alignment horizontal="center" vertical="center"/>
    </xf>
    <xf borderId="2" fillId="5" fontId="2" numFmtId="0" xfId="0" applyAlignment="1" applyBorder="1" applyFill="1" applyFont="1">
      <alignment horizontal="center"/>
    </xf>
    <xf borderId="0" fillId="0" fontId="4" numFmtId="0" xfId="0" applyAlignment="1" applyFont="1">
      <alignment horizontal="center" vertical="center"/>
    </xf>
    <xf borderId="1" fillId="3" fontId="2" numFmtId="166" xfId="0" applyAlignment="1" applyBorder="1" applyFont="1" applyNumberForma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1" fillId="4" fontId="2" numFmtId="49" xfId="0" applyAlignment="1" applyBorder="1" applyFont="1" applyNumberFormat="1">
      <alignment horizontal="center" vertical="center"/>
    </xf>
    <xf borderId="0" fillId="0" fontId="5" numFmtId="1" xfId="0" applyAlignment="1" applyFont="1" applyNumberFormat="1">
      <alignment horizontal="center" vertical="center"/>
    </xf>
    <xf borderId="1" fillId="6" fontId="6" numFmtId="0" xfId="0" applyAlignment="1" applyBorder="1" applyFill="1" applyFont="1">
      <alignment vertical="center"/>
    </xf>
    <xf borderId="0" fillId="0" fontId="7" numFmtId="0" xfId="0" applyAlignment="1" applyFont="1">
      <alignment horizontal="left" vertical="center"/>
    </xf>
    <xf borderId="3" fillId="7" fontId="8" numFmtId="0" xfId="0" applyAlignment="1" applyBorder="1" applyFill="1" applyFont="1">
      <alignment horizontal="center" vertical="center"/>
    </xf>
    <xf borderId="4" fillId="0" fontId="9" numFmtId="0" xfId="0" applyBorder="1" applyFont="1"/>
    <xf borderId="2" fillId="0" fontId="9" numFmtId="0" xfId="0" applyBorder="1" applyFont="1"/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1" fillId="7" fontId="8" numFmtId="0" xfId="0" applyAlignment="1" applyBorder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10" numFmtId="1" xfId="0" applyAlignment="1" applyFont="1" applyNumberFormat="1">
      <alignment horizontal="center" vertical="center"/>
    </xf>
    <xf borderId="1" fillId="8" fontId="2" numFmtId="0" xfId="0" applyAlignment="1" applyBorder="1" applyFill="1" applyFont="1">
      <alignment horizontal="center" vertical="center"/>
    </xf>
    <xf borderId="5" fillId="7" fontId="8" numFmtId="0" xfId="0" applyAlignment="1" applyBorder="1" applyFont="1">
      <alignment horizontal="center" vertical="center"/>
    </xf>
    <xf borderId="6" fillId="0" fontId="9" numFmtId="0" xfId="0" applyBorder="1" applyFont="1"/>
    <xf borderId="7" fillId="0" fontId="2" numFmtId="0" xfId="0" applyAlignment="1" applyBorder="1" applyFont="1">
      <alignment horizontal="center" vertical="center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0" fillId="0" fontId="11" numFmtId="0" xfId="0" applyAlignment="1" applyFont="1">
      <alignment horizontal="center" vertical="center"/>
    </xf>
    <xf borderId="10" fillId="0" fontId="11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10" fillId="0" fontId="10" numFmtId="1" xfId="0" applyAlignment="1" applyBorder="1" applyFont="1" applyNumberFormat="1">
      <alignment horizontal="center" vertical="center"/>
    </xf>
    <xf borderId="0" fillId="0" fontId="2" numFmtId="167" xfId="0" applyAlignment="1" applyFont="1" applyNumberFormat="1">
      <alignment horizontal="center" vertical="center"/>
    </xf>
    <xf borderId="0" fillId="0" fontId="2" numFmtId="1" xfId="0" applyAlignment="1" applyFont="1" applyNumberFormat="1">
      <alignment horizontal="center" vertical="center"/>
    </xf>
    <xf borderId="0" fillId="0" fontId="12" numFmtId="0" xfId="0" applyAlignment="1" applyFont="1">
      <alignment horizontal="center" vertical="center"/>
    </xf>
    <xf borderId="12" fillId="0" fontId="11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" fillId="7" fontId="2" numFmtId="0" xfId="0" applyAlignment="1" applyBorder="1" applyFont="1">
      <alignment horizontal="center" vertical="center"/>
    </xf>
    <xf borderId="0" fillId="0" fontId="13" numFmtId="0" xfId="0" applyAlignment="1" applyFont="1">
      <alignment horizontal="center" vertical="center"/>
    </xf>
    <xf borderId="1" fillId="9" fontId="13" numFmtId="0" xfId="0" applyAlignment="1" applyBorder="1" applyFill="1" applyFont="1">
      <alignment horizontal="center" vertical="center"/>
    </xf>
    <xf borderId="3" fillId="9" fontId="13" numFmtId="0" xfId="0" applyAlignment="1" applyBorder="1" applyFont="1">
      <alignment horizontal="center" vertical="center"/>
    </xf>
    <xf borderId="1" fillId="10" fontId="13" numFmtId="0" xfId="0" applyAlignment="1" applyBorder="1" applyFill="1" applyFont="1">
      <alignment horizontal="center" vertical="center"/>
    </xf>
    <xf borderId="1" fillId="11" fontId="13" numFmtId="0" xfId="0" applyAlignment="1" applyBorder="1" applyFill="1" applyFont="1">
      <alignment horizontal="center" vertical="center"/>
    </xf>
    <xf borderId="1" fillId="12" fontId="13" numFmtId="164" xfId="0" applyAlignment="1" applyBorder="1" applyFill="1" applyFont="1" applyNumberFormat="1">
      <alignment horizontal="center" vertical="center"/>
    </xf>
    <xf borderId="0" fillId="0" fontId="13" numFmtId="0" xfId="0" applyAlignment="1" applyFont="1">
      <alignment vertical="center"/>
    </xf>
    <xf borderId="0" fillId="0" fontId="13" numFmtId="0" xfId="0" applyAlignment="1" applyFont="1">
      <alignment horizontal="center" vertical="center"/>
    </xf>
    <xf borderId="0" fillId="0" fontId="13" numFmtId="2" xfId="0" applyAlignment="1" applyFont="1" applyNumberFormat="1">
      <alignment horizontal="center" vertical="center"/>
    </xf>
    <xf borderId="0" fillId="0" fontId="13" numFmtId="0" xfId="0" applyAlignment="1" applyFont="1">
      <alignment horizontal="center" shrinkToFit="0" vertical="center" wrapText="1"/>
    </xf>
    <xf borderId="3" fillId="7" fontId="11" numFmtId="0" xfId="0" applyAlignment="1" applyBorder="1" applyFont="1">
      <alignment horizontal="center" vertical="center"/>
    </xf>
    <xf borderId="1" fillId="13" fontId="8" numFmtId="0" xfId="0" applyAlignment="1" applyBorder="1" applyFill="1" applyFont="1">
      <alignment horizontal="center" vertical="center"/>
    </xf>
    <xf borderId="1" fillId="14" fontId="8" numFmtId="0" xfId="0" applyAlignment="1" applyBorder="1" applyFill="1" applyFont="1">
      <alignment horizontal="center" vertical="center"/>
    </xf>
    <xf borderId="1" fillId="15" fontId="2" numFmtId="0" xfId="0" applyAlignment="1" applyBorder="1" applyFill="1" applyFont="1">
      <alignment horizontal="center" vertical="center"/>
    </xf>
    <xf borderId="1" fillId="14" fontId="2" numFmtId="0" xfId="0" applyAlignment="1" applyBorder="1" applyFont="1">
      <alignment horizontal="center" vertical="center"/>
    </xf>
    <xf borderId="1" fillId="7" fontId="11" numFmtId="0" xfId="0" applyAlignment="1" applyBorder="1" applyFont="1">
      <alignment horizontal="center" vertical="center"/>
    </xf>
    <xf borderId="1" fillId="16" fontId="2" numFmtId="0" xfId="0" applyAlignment="1" applyBorder="1" applyFill="1" applyFont="1">
      <alignment horizontal="center" vertical="center"/>
    </xf>
    <xf borderId="1" fillId="17" fontId="8" numFmtId="0" xfId="0" applyAlignment="1" applyBorder="1" applyFill="1" applyFont="1">
      <alignment horizontal="center" vertical="center"/>
    </xf>
    <xf borderId="1" fillId="13" fontId="8" numFmtId="0" xfId="0" applyAlignment="1" applyBorder="1" applyFont="1">
      <alignment horizontal="center" vertical="center"/>
    </xf>
    <xf borderId="1" fillId="16" fontId="2" numFmtId="2" xfId="0" applyAlignment="1" applyBorder="1" applyFont="1" applyNumberFormat="1">
      <alignment horizontal="center" vertical="center"/>
    </xf>
    <xf borderId="1" fillId="16" fontId="2" numFmtId="168" xfId="0" applyAlignment="1" applyBorder="1" applyFont="1" applyNumberFormat="1">
      <alignment horizontal="center" vertical="center"/>
    </xf>
    <xf borderId="1" fillId="14" fontId="2" numFmtId="0" xfId="0" applyAlignment="1" applyBorder="1" applyFont="1">
      <alignment horizontal="center" vertical="center"/>
    </xf>
    <xf borderId="1" fillId="18" fontId="2" numFmtId="0" xfId="0" applyAlignment="1" applyBorder="1" applyFill="1" applyFont="1">
      <alignment horizontal="center" vertical="center"/>
    </xf>
    <xf borderId="1" fillId="14" fontId="2" numFmtId="2" xfId="0" applyAlignment="1" applyBorder="1" applyFont="1" applyNumberFormat="1">
      <alignment horizontal="center" vertical="center"/>
    </xf>
    <xf borderId="1" fillId="14" fontId="2" numFmtId="10" xfId="0" applyAlignment="1" applyBorder="1" applyFont="1" applyNumberFormat="1">
      <alignment horizontal="center" vertical="center"/>
    </xf>
    <xf borderId="1" fillId="14" fontId="2" numFmtId="168" xfId="0" applyAlignment="1" applyBorder="1" applyFont="1" applyNumberFormat="1">
      <alignment horizontal="center" vertical="center"/>
    </xf>
    <xf borderId="1" fillId="15" fontId="2" numFmtId="0" xfId="0" applyAlignment="1" applyBorder="1" applyFont="1">
      <alignment horizontal="center" vertical="center"/>
    </xf>
    <xf borderId="1" fillId="19" fontId="2" numFmtId="0" xfId="0" applyAlignment="1" applyBorder="1" applyFill="1" applyFont="1">
      <alignment horizontal="center" vertical="center"/>
    </xf>
    <xf borderId="1" fillId="15" fontId="2" numFmtId="2" xfId="0" applyAlignment="1" applyBorder="1" applyFont="1" applyNumberFormat="1">
      <alignment horizontal="center" vertical="center"/>
    </xf>
    <xf borderId="1" fillId="15" fontId="2" numFmtId="10" xfId="0" applyAlignment="1" applyBorder="1" applyFont="1" applyNumberFormat="1">
      <alignment horizontal="center" vertical="center"/>
    </xf>
    <xf borderId="1" fillId="15" fontId="2" numFmtId="168" xfId="0" applyAlignment="1" applyBorder="1" applyFont="1" applyNumberFormat="1">
      <alignment horizontal="center" vertical="center"/>
    </xf>
    <xf borderId="1" fillId="20" fontId="2" numFmtId="0" xfId="0" applyAlignment="1" applyBorder="1" applyFill="1" applyFont="1">
      <alignment horizontal="center" vertical="center"/>
    </xf>
    <xf borderId="1" fillId="21" fontId="2" numFmtId="0" xfId="0" applyAlignment="1" applyBorder="1" applyFill="1" applyFont="1">
      <alignment horizontal="center" vertical="center"/>
    </xf>
    <xf borderId="1" fillId="20" fontId="2" numFmtId="2" xfId="0" applyAlignment="1" applyBorder="1" applyFont="1" applyNumberFormat="1">
      <alignment horizontal="center" vertical="center"/>
    </xf>
    <xf borderId="1" fillId="20" fontId="2" numFmtId="168" xfId="0" applyAlignment="1" applyBorder="1" applyFont="1" applyNumberFormat="1">
      <alignment horizontal="center" vertical="center"/>
    </xf>
    <xf borderId="1" fillId="22" fontId="2" numFmtId="0" xfId="0" applyAlignment="1" applyBorder="1" applyFill="1" applyFont="1">
      <alignment horizontal="center" vertical="center"/>
    </xf>
    <xf borderId="1" fillId="15" fontId="2" numFmtId="169" xfId="0" applyAlignment="1" applyBorder="1" applyFont="1" applyNumberFormat="1">
      <alignment horizontal="center" vertical="center"/>
    </xf>
    <xf borderId="1" fillId="23" fontId="2" numFmtId="0" xfId="0" applyAlignment="1" applyBorder="1" applyFill="1" applyFont="1">
      <alignment horizontal="center" vertical="center"/>
    </xf>
    <xf borderId="1" fillId="24" fontId="2" numFmtId="0" xfId="0" applyAlignment="1" applyBorder="1" applyFill="1" applyFont="1">
      <alignment horizontal="center" vertical="center"/>
    </xf>
    <xf borderId="1" fillId="24" fontId="2" numFmtId="2" xfId="0" applyAlignment="1" applyBorder="1" applyFont="1" applyNumberFormat="1">
      <alignment horizontal="center" vertical="center"/>
    </xf>
    <xf borderId="1" fillId="24" fontId="2" numFmtId="168" xfId="0" applyAlignment="1" applyBorder="1" applyFont="1" applyNumberFormat="1">
      <alignment horizontal="center" vertical="center"/>
    </xf>
    <xf borderId="1" fillId="25" fontId="2" numFmtId="0" xfId="0" applyAlignment="1" applyBorder="1" applyFill="1" applyFont="1">
      <alignment horizontal="center" vertical="center"/>
    </xf>
    <xf borderId="1" fillId="25" fontId="2" numFmtId="2" xfId="0" applyAlignment="1" applyBorder="1" applyFont="1" applyNumberFormat="1">
      <alignment horizontal="center" vertical="center"/>
    </xf>
    <xf borderId="1" fillId="25" fontId="2" numFmtId="168" xfId="0" applyAlignment="1" applyBorder="1" applyFont="1" applyNumberFormat="1">
      <alignment horizontal="center" vertical="center"/>
    </xf>
    <xf borderId="15" fillId="7" fontId="8" numFmtId="0" xfId="0" applyAlignment="1" applyBorder="1" applyFont="1">
      <alignment horizontal="center" vertical="center"/>
    </xf>
    <xf borderId="15" fillId="13" fontId="8" numFmtId="0" xfId="0" applyAlignment="1" applyBorder="1" applyFont="1">
      <alignment horizontal="center" vertical="center"/>
    </xf>
    <xf borderId="15" fillId="16" fontId="2" numFmtId="0" xfId="0" applyAlignment="1" applyBorder="1" applyFont="1">
      <alignment horizontal="center" vertical="center"/>
    </xf>
    <xf borderId="1" fillId="15" fontId="2" numFmtId="168" xfId="0" applyAlignment="1" applyBorder="1" applyFont="1" applyNumberFormat="1">
      <alignment horizontal="center" vertical="center"/>
    </xf>
    <xf borderId="1" fillId="14" fontId="14" numFmtId="0" xfId="0" applyAlignment="1" applyBorder="1" applyFon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1" fillId="7" fontId="11" numFmtId="0" xfId="0" applyAlignment="1" applyBorder="1" applyFont="1">
      <alignment horizontal="center" vertical="center"/>
    </xf>
    <xf borderId="1" fillId="14" fontId="2" numFmtId="10" xfId="0" applyAlignment="1" applyBorder="1" applyFont="1" applyNumberFormat="1">
      <alignment horizontal="center" vertical="center"/>
    </xf>
    <xf borderId="1" fillId="14" fontId="2" numFmtId="168" xfId="0" applyAlignment="1" applyBorder="1" applyFont="1" applyNumberFormat="1">
      <alignment horizontal="center" vertical="center"/>
    </xf>
    <xf borderId="1" fillId="15" fontId="2" numFmtId="10" xfId="0" applyAlignment="1" applyBorder="1" applyFont="1" applyNumberFormat="1">
      <alignment horizontal="center" vertical="center"/>
    </xf>
    <xf borderId="1" fillId="20" fontId="2" numFmtId="0" xfId="0" applyAlignment="1" applyBorder="1" applyFont="1">
      <alignment horizontal="center" vertical="center"/>
    </xf>
    <xf borderId="1" fillId="20" fontId="2" numFmtId="10" xfId="0" applyAlignment="1" applyBorder="1" applyFont="1" applyNumberFormat="1">
      <alignment horizontal="center" vertical="center"/>
    </xf>
    <xf borderId="1" fillId="20" fontId="2" numFmtId="168" xfId="0" applyAlignment="1" applyBorder="1" applyFont="1" applyNumberFormat="1">
      <alignment horizontal="center" vertical="center"/>
    </xf>
    <xf borderId="1" fillId="24" fontId="2" numFmtId="0" xfId="0" applyAlignment="1" applyBorder="1" applyFont="1">
      <alignment horizontal="center" vertical="center"/>
    </xf>
    <xf borderId="1" fillId="24" fontId="2" numFmtId="10" xfId="0" applyAlignment="1" applyBorder="1" applyFont="1" applyNumberFormat="1">
      <alignment horizontal="center" vertical="center"/>
    </xf>
    <xf borderId="1" fillId="24" fontId="2" numFmtId="168" xfId="0" applyAlignment="1" applyBorder="1" applyFont="1" applyNumberFormat="1">
      <alignment horizontal="center" vertical="center"/>
    </xf>
    <xf borderId="0" fillId="0" fontId="15" numFmtId="0" xfId="0" applyFont="1"/>
    <xf borderId="15" fillId="25" fontId="2" numFmtId="0" xfId="0" applyAlignment="1" applyBorder="1" applyFont="1">
      <alignment horizontal="center" vertical="center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ECECEC"/>
          <bgColor rgb="FFECECEC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theme="4"/>
          <bgColor theme="4"/>
        </patternFill>
      </fill>
      <border/>
    </dxf>
  </dxfs>
  <tableStyles count="3">
    <tableStyle count="3" pivot="0" name="Coleta de artigos-style">
      <tableStyleElement dxfId="1" type="headerRow"/>
      <tableStyleElement dxfId="2" type="firstRowStripe"/>
      <tableStyleElement dxfId="3" type="secondRowStripe"/>
    </tableStyle>
    <tableStyle count="3" pivot="0" name="Dados-style">
      <tableStyleElement dxfId="4" type="headerRow"/>
      <tableStyleElement dxfId="5" type="firstRowStripe"/>
      <tableStyleElement dxfId="3" type="secondRowStripe"/>
    </tableStyle>
    <tableStyle count="3" pivot="0" name="Experimental Results-style">
      <tableStyleElement dxfId="6" type="headerRow"/>
      <tableStyleElement dxfId="3" type="firstRowStripe"/>
      <tableStyleElement dxfId="3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customschemas.google.com/relationships/workbookmetadata" Target="metadata"/><Relationship Id="rId10" Type="http://schemas.openxmlformats.org/officeDocument/2006/relationships/externalLink" Target="externalLinks/externalLink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161925</xdr:colOff>
      <xdr:row>5</xdr:row>
      <xdr:rowOff>85725</xdr:rowOff>
    </xdr:from>
    <xdr:ext cx="2676525" cy="352425"/>
    <xdr:sp>
      <xdr:nvSpPr>
        <xdr:cNvPr id="3" name="Shape 3"/>
        <xdr:cNvSpPr txBox="1"/>
      </xdr:nvSpPr>
      <xdr:spPr>
        <a:xfrm>
          <a:off x="4012500" y="3608550"/>
          <a:ext cx="2667000" cy="3429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just">
            <a:spcBef>
              <a:spcPts val="0"/>
            </a:spcBef>
            <a:spcAft>
              <a:spcPts val="0"/>
            </a:spcAft>
            <a:buClr>
              <a:srgbClr val="006699"/>
            </a:buClr>
            <a:buSzPts val="1600"/>
            <a:buFont typeface="Arial"/>
            <a:buNone/>
          </a:pPr>
          <a:r>
            <a:rPr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H</a:t>
          </a:r>
          <a:r>
            <a:rPr baseline="-25000"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2</a:t>
          </a:r>
          <a:r>
            <a:rPr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Ti</a:t>
          </a:r>
          <a:r>
            <a:rPr baseline="-25000"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3</a:t>
          </a:r>
          <a:r>
            <a:rPr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O</a:t>
          </a:r>
          <a:r>
            <a:rPr baseline="-25000"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7</a:t>
          </a:r>
          <a:r>
            <a:rPr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 → 3 TiO</a:t>
          </a:r>
          <a:r>
            <a:rPr baseline="-25000"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2</a:t>
          </a:r>
          <a:r>
            <a:rPr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 + H</a:t>
          </a:r>
          <a:r>
            <a:rPr baseline="-25000"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2</a:t>
          </a:r>
          <a:r>
            <a:rPr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O</a:t>
          </a:r>
          <a:endParaRPr sz="16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8</xdr:col>
      <xdr:colOff>161925</xdr:colOff>
      <xdr:row>3</xdr:row>
      <xdr:rowOff>28575</xdr:rowOff>
    </xdr:from>
    <xdr:ext cx="3800475" cy="333375"/>
    <xdr:sp>
      <xdr:nvSpPr>
        <xdr:cNvPr id="4" name="Shape 4"/>
        <xdr:cNvSpPr txBox="1"/>
      </xdr:nvSpPr>
      <xdr:spPr>
        <a:xfrm>
          <a:off x="3450525" y="3615873"/>
          <a:ext cx="3790950" cy="32825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just">
            <a:spcBef>
              <a:spcPts val="0"/>
            </a:spcBef>
            <a:spcAft>
              <a:spcPts val="0"/>
            </a:spcAft>
            <a:buClr>
              <a:srgbClr val="006699"/>
            </a:buClr>
            <a:buSzPts val="1600"/>
            <a:buFont typeface="Arial"/>
            <a:buNone/>
          </a:pPr>
          <a:r>
            <a:rPr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Na</a:t>
          </a:r>
          <a:r>
            <a:rPr baseline="-25000"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2</a:t>
          </a:r>
          <a:r>
            <a:rPr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Ti</a:t>
          </a:r>
          <a:r>
            <a:rPr baseline="-25000"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3</a:t>
          </a:r>
          <a:r>
            <a:rPr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O</a:t>
          </a:r>
          <a:r>
            <a:rPr baseline="-25000"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7</a:t>
          </a:r>
          <a:r>
            <a:rPr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  + 2 HCl → H</a:t>
          </a:r>
          <a:r>
            <a:rPr baseline="-25000"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2</a:t>
          </a:r>
          <a:r>
            <a:rPr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Ti</a:t>
          </a:r>
          <a:r>
            <a:rPr baseline="-25000"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3</a:t>
          </a:r>
          <a:r>
            <a:rPr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O</a:t>
          </a:r>
          <a:r>
            <a:rPr baseline="-25000"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7</a:t>
          </a:r>
          <a:r>
            <a:rPr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 + 2 NaCl</a:t>
          </a:r>
          <a:endParaRPr sz="16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8</xdr:col>
      <xdr:colOff>161925</xdr:colOff>
      <xdr:row>0</xdr:row>
      <xdr:rowOff>171450</xdr:rowOff>
    </xdr:from>
    <xdr:ext cx="3971925" cy="352425"/>
    <xdr:sp>
      <xdr:nvSpPr>
        <xdr:cNvPr id="5" name="Shape 5"/>
        <xdr:cNvSpPr txBox="1"/>
      </xdr:nvSpPr>
      <xdr:spPr>
        <a:xfrm>
          <a:off x="3362895" y="3608550"/>
          <a:ext cx="3966210" cy="3429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just">
            <a:spcBef>
              <a:spcPts val="0"/>
            </a:spcBef>
            <a:spcAft>
              <a:spcPts val="0"/>
            </a:spcAft>
            <a:buClr>
              <a:srgbClr val="006699"/>
            </a:buClr>
            <a:buSzPts val="1600"/>
            <a:buFont typeface="Arial"/>
            <a:buNone/>
          </a:pPr>
          <a:r>
            <a:rPr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3 TiO</a:t>
          </a:r>
          <a:r>
            <a:rPr baseline="-25000"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2</a:t>
          </a:r>
          <a:r>
            <a:rPr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  + 2 NaOH  →   Na</a:t>
          </a:r>
          <a:r>
            <a:rPr baseline="-25000"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2</a:t>
          </a:r>
          <a:r>
            <a:rPr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Ti</a:t>
          </a:r>
          <a:r>
            <a:rPr baseline="-25000"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3</a:t>
          </a:r>
          <a:r>
            <a:rPr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O</a:t>
          </a:r>
          <a:r>
            <a:rPr baseline="-25000"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7</a:t>
          </a:r>
          <a:r>
            <a:rPr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 + H</a:t>
          </a:r>
          <a:r>
            <a:rPr baseline="-25000"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2</a:t>
          </a:r>
          <a:r>
            <a:rPr lang="en-US" sz="1600">
              <a:solidFill>
                <a:srgbClr val="006699"/>
              </a:solidFill>
              <a:latin typeface="Arial"/>
              <a:ea typeface="Arial"/>
              <a:cs typeface="Arial"/>
              <a:sym typeface="Arial"/>
            </a:rPr>
            <a:t>O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38100</xdr:colOff>
      <xdr:row>3</xdr:row>
      <xdr:rowOff>95250</xdr:rowOff>
    </xdr:from>
    <xdr:ext cx="228600" cy="47625"/>
    <xdr:sp>
      <xdr:nvSpPr>
        <xdr:cNvPr id="6" name="Shape 6"/>
        <xdr:cNvSpPr/>
      </xdr:nvSpPr>
      <xdr:spPr>
        <a:xfrm>
          <a:off x="5231700" y="3760950"/>
          <a:ext cx="228600" cy="38100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15</xdr:col>
      <xdr:colOff>38100</xdr:colOff>
      <xdr:row>4</xdr:row>
      <xdr:rowOff>85725</xdr:rowOff>
    </xdr:from>
    <xdr:ext cx="638175" cy="66675"/>
    <xdr:sp>
      <xdr:nvSpPr>
        <xdr:cNvPr id="7" name="Shape 7"/>
        <xdr:cNvSpPr/>
      </xdr:nvSpPr>
      <xdr:spPr>
        <a:xfrm>
          <a:off x="5031675" y="3751425"/>
          <a:ext cx="628650" cy="57150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15</xdr:col>
      <xdr:colOff>38100</xdr:colOff>
      <xdr:row>5</xdr:row>
      <xdr:rowOff>47625</xdr:rowOff>
    </xdr:from>
    <xdr:ext cx="1104900" cy="161925"/>
    <xdr:sp>
      <xdr:nvSpPr>
        <xdr:cNvPr id="8" name="Shape 8"/>
        <xdr:cNvSpPr/>
      </xdr:nvSpPr>
      <xdr:spPr>
        <a:xfrm>
          <a:off x="4798313" y="3703800"/>
          <a:ext cx="1095375" cy="152400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15</xdr:col>
      <xdr:colOff>38100</xdr:colOff>
      <xdr:row>2</xdr:row>
      <xdr:rowOff>0</xdr:rowOff>
    </xdr:from>
    <xdr:ext cx="190500" cy="190500"/>
    <xdr:sp>
      <xdr:nvSpPr>
        <xdr:cNvPr id="9" name="Shape 9"/>
        <xdr:cNvSpPr/>
      </xdr:nvSpPr>
      <xdr:spPr>
        <a:xfrm>
          <a:off x="5250750" y="3689513"/>
          <a:ext cx="190500" cy="180975"/>
        </a:xfrm>
        <a:prstGeom prst="ellipse">
          <a:avLst/>
        </a:prstGeom>
        <a:solidFill>
          <a:srgbClr val="00B0F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38100</xdr:colOff>
      <xdr:row>3</xdr:row>
      <xdr:rowOff>95250</xdr:rowOff>
    </xdr:from>
    <xdr:ext cx="228600" cy="47625"/>
    <xdr:sp>
      <xdr:nvSpPr>
        <xdr:cNvPr id="6" name="Shape 6"/>
        <xdr:cNvSpPr/>
      </xdr:nvSpPr>
      <xdr:spPr>
        <a:xfrm>
          <a:off x="5231700" y="3760950"/>
          <a:ext cx="228600" cy="38100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38100</xdr:colOff>
      <xdr:row>4</xdr:row>
      <xdr:rowOff>85725</xdr:rowOff>
    </xdr:from>
    <xdr:ext cx="638175" cy="66675"/>
    <xdr:sp>
      <xdr:nvSpPr>
        <xdr:cNvPr id="7" name="Shape 7"/>
        <xdr:cNvSpPr/>
      </xdr:nvSpPr>
      <xdr:spPr>
        <a:xfrm>
          <a:off x="5031675" y="3751425"/>
          <a:ext cx="628650" cy="57150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38100</xdr:colOff>
      <xdr:row>5</xdr:row>
      <xdr:rowOff>47625</xdr:rowOff>
    </xdr:from>
    <xdr:ext cx="733425" cy="161925"/>
    <xdr:sp>
      <xdr:nvSpPr>
        <xdr:cNvPr id="10" name="Shape 10"/>
        <xdr:cNvSpPr/>
      </xdr:nvSpPr>
      <xdr:spPr>
        <a:xfrm>
          <a:off x="4984050" y="3703800"/>
          <a:ext cx="723900" cy="152400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38100</xdr:colOff>
      <xdr:row>2</xdr:row>
      <xdr:rowOff>0</xdr:rowOff>
    </xdr:from>
    <xdr:ext cx="190500" cy="190500"/>
    <xdr:sp>
      <xdr:nvSpPr>
        <xdr:cNvPr id="9" name="Shape 9"/>
        <xdr:cNvSpPr/>
      </xdr:nvSpPr>
      <xdr:spPr>
        <a:xfrm>
          <a:off x="5250750" y="3689513"/>
          <a:ext cx="190500" cy="180975"/>
        </a:xfrm>
        <a:prstGeom prst="ellipse">
          <a:avLst/>
        </a:prstGeom>
        <a:solidFill>
          <a:srgbClr val="00B0F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Meu%20Drive/8.%20Doutorado%20-%20PENt_COPPE_UFRJ/1.%20Tese/Literature%20Review/Coleta%20de%20artigos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ydrothermal"/>
      <sheetName val="Review"/>
      <sheetName val="Sol-Gel"/>
      <sheetName val="Exceptions"/>
      <sheetName val="Coleta de artigos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ref="A1:V128" displayName="Table_1" id="1">
  <tableColumns count="22">
    <tableColumn name="DOI" id="1"/>
    <tableColumn name="Volume (mL)" id="2"/>
    <tableColumn name="Total Volume (%)" id="3"/>
    <tableColumn name="Weight TiO2 (g)" id="4"/>
    <tableColumn name="mol TiO2" id="5"/>
    <tableColumn name="% TiO2" id="6"/>
    <tableColumn name="[TiO2] (g/mL)" id="7"/>
    <tableColumn name="Proportion TiO2/NaOH" id="8"/>
    <tableColumn name="Normalize Proportion TiO2/NaOH" id="9"/>
    <tableColumn name="mol NaOH" id="10"/>
    <tableColumn name="Vol NaOH" id="11"/>
    <tableColumn name="[NaOH]" id="12"/>
    <tableColumn name="Temperature (C)" id="13"/>
    <tableColumn name="Time (h)" id="14"/>
    <tableColumn name="Washed" id="15"/>
    <tableColumn name="Washed Time" id="16"/>
    <tableColumn name="Dried Temperature ©" id="17"/>
    <tableColumn name="Dried Time (h)" id="18"/>
    <tableColumn name="Calcinate Temperature" id="19"/>
    <tableColumn name="Calcinate Time" id="20"/>
    <tableColumn name="Morphology" id="21"/>
    <tableColumn name="Size (nm)" id="22"/>
  </tableColumns>
  <tableStyleInfo name="Coleta de artigos-style" showColumnStripes="0" showFirstColumn="1" showLastColumn="1" showRowStripes="1"/>
</table>
</file>

<file path=xl/tables/table2.xml><?xml version="1.0" encoding="utf-8"?>
<table xmlns="http://schemas.openxmlformats.org/spreadsheetml/2006/main" ref="B5:E15" displayName="Table_2" id="2">
  <tableColumns count="4">
    <tableColumn name="Composto" id="1"/>
    <tableColumn name="Massa Molar (g/mol)" id="2"/>
    <tableColumn name="Concentração (mol/L)" id="3"/>
    <tableColumn name="Densidade (g/mL)" id="4"/>
  </tableColumns>
  <tableStyleInfo name="Dados-style" showColumnStripes="0" showFirstColumn="1" showLastColumn="1" showRowStripes="1"/>
</table>
</file>

<file path=xl/tables/table3.xml><?xml version="1.0" encoding="utf-8"?>
<table xmlns="http://schemas.openxmlformats.org/spreadsheetml/2006/main" ref="B10:Y53" displayName="Table_3" id="3">
  <tableColumns count="24">
    <tableColumn name="Arrange" id="1"/>
    <tableColumn name="Arrange Plan22" id="2"/>
    <tableColumn name="Arrange Kinetic" id="3"/>
    <tableColumn name="Goal" id="4"/>
    <tableColumn name="Sample" id="5"/>
    <tableColumn name="TiO2" id="6"/>
    <tableColumn name="NaOH" id="7"/>
    <tableColumn name="Temperature" id="8"/>
    <tableColumn name="Time" id="9"/>
    <tableColumn name="Main Width (nm)" id="10"/>
    <tableColumn name="Width Tubes (nm)" id="11"/>
    <tableColumn name="Width Particles (nm)" id="12"/>
    <tableColumn name="Width Rinbbons (nm)" id="13"/>
    <tableColumn name="Length (nm)" id="14"/>
    <tableColumn name="Aspect Ratio" id="15"/>
    <tableColumn name="Morphology" id="16"/>
    <tableColumn name="Crystallinity" id="17"/>
    <tableColumn name="Absorbance" id="18"/>
    <tableColumn name="Peak (nm)" id="19"/>
    <tableColumn name="Bandgap (eV)" id="20"/>
    <tableColumn name="TiO2 Produced (g)" id="21"/>
    <tableColumn name="Yield (%)" id="22"/>
    <tableColumn name="Cost (R$)" id="23"/>
    <tableColumn name="Cost per gram (R$/g)" id="24"/>
  </tableColumns>
  <tableStyleInfo name="Experimental Resul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i.org/10.1016/j.mee.2015.03.041" TargetMode="External"/><Relationship Id="rId42" Type="http://schemas.openxmlformats.org/officeDocument/2006/relationships/hyperlink" Target="https://doi.org/10.1016/j.jphotochem.2006.01.022" TargetMode="External"/><Relationship Id="rId41" Type="http://schemas.openxmlformats.org/officeDocument/2006/relationships/hyperlink" Target="https://doi.org/10.1143/JJAP.51.06FG08" TargetMode="External"/><Relationship Id="rId44" Type="http://schemas.openxmlformats.org/officeDocument/2006/relationships/hyperlink" Target="https://doi.org/10.1016/j.matchemphys.2021.124520" TargetMode="External"/><Relationship Id="rId43" Type="http://schemas.openxmlformats.org/officeDocument/2006/relationships/hyperlink" Target="https://doi.org/10.1021/am2008568" TargetMode="External"/><Relationship Id="rId46" Type="http://schemas.openxmlformats.org/officeDocument/2006/relationships/hyperlink" Target="https://doi.org/10.1016/j.tsf.2010.08.104" TargetMode="External"/><Relationship Id="rId45" Type="http://schemas.openxmlformats.org/officeDocument/2006/relationships/hyperlink" Target="https://doi.org/10.1016/j.apcatb.2020.119177" TargetMode="External"/><Relationship Id="rId48" Type="http://schemas.openxmlformats.org/officeDocument/2006/relationships/hyperlink" Target="https://doi.org/10.1021/jp054320m" TargetMode="External"/><Relationship Id="rId47" Type="http://schemas.openxmlformats.org/officeDocument/2006/relationships/hyperlink" Target="https://doi.org/10.1021/la702839u" TargetMode="External"/><Relationship Id="rId49" Type="http://schemas.openxmlformats.org/officeDocument/2006/relationships/hyperlink" Target="https://doi.org/10.1021/cm062413q" TargetMode="External"/><Relationship Id="rId102" Type="http://schemas.openxmlformats.org/officeDocument/2006/relationships/table" Target="../tables/table1.xml"/><Relationship Id="rId100" Type="http://schemas.openxmlformats.org/officeDocument/2006/relationships/vmlDrawing" Target="../drawings/vmlDrawing1.vml"/><Relationship Id="rId31" Type="http://schemas.openxmlformats.org/officeDocument/2006/relationships/hyperlink" Target="https://doi.org/10.1016/j.molstruc.2019.127153" TargetMode="External"/><Relationship Id="rId30" Type="http://schemas.openxmlformats.org/officeDocument/2006/relationships/hyperlink" Target="https://doi.org/10.1016/j.pnsc.2013.05.001" TargetMode="External"/><Relationship Id="rId33" Type="http://schemas.openxmlformats.org/officeDocument/2006/relationships/hyperlink" Target="https://doi.org/10.1246/cl.2002.226" TargetMode="External"/><Relationship Id="rId32" Type="http://schemas.openxmlformats.org/officeDocument/2006/relationships/hyperlink" Target="https://doi.org/10.1016/j.watres.2008.12.021" TargetMode="External"/><Relationship Id="rId35" Type="http://schemas.openxmlformats.org/officeDocument/2006/relationships/hyperlink" Target="https://doi.org/10.1021/ja0607483" TargetMode="External"/><Relationship Id="rId34" Type="http://schemas.openxmlformats.org/officeDocument/2006/relationships/hyperlink" Target="https://doi.org/10.1557/JMR.2004.0128" TargetMode="External"/><Relationship Id="rId37" Type="http://schemas.openxmlformats.org/officeDocument/2006/relationships/hyperlink" Target="https://doi.org/10.1088/0957-4484/21/25/255706" TargetMode="External"/><Relationship Id="rId36" Type="http://schemas.openxmlformats.org/officeDocument/2006/relationships/hyperlink" Target="https://doi.org/10.1021/ja0607483" TargetMode="External"/><Relationship Id="rId39" Type="http://schemas.openxmlformats.org/officeDocument/2006/relationships/hyperlink" Target="https://doi.org/10.1021/jp900369y" TargetMode="External"/><Relationship Id="rId38" Type="http://schemas.openxmlformats.org/officeDocument/2006/relationships/hyperlink" Target="https://doi.org/10.1016/j.jssc.2005.07.022" TargetMode="External"/><Relationship Id="rId20" Type="http://schemas.openxmlformats.org/officeDocument/2006/relationships/hyperlink" Target="https://doi.org/10.1002/adfm.200400353" TargetMode="External"/><Relationship Id="rId22" Type="http://schemas.openxmlformats.org/officeDocument/2006/relationships/hyperlink" Target="https://doi.org/10.1016/j.elecom.2005.06.012" TargetMode="External"/><Relationship Id="rId21" Type="http://schemas.openxmlformats.org/officeDocument/2006/relationships/hyperlink" Target="https://doi.org/10.1002/adfm.200400353" TargetMode="External"/><Relationship Id="rId24" Type="http://schemas.openxmlformats.org/officeDocument/2006/relationships/hyperlink" Target="https://doi.org/10.1016/j.cej.2011.01.007" TargetMode="External"/><Relationship Id="rId23" Type="http://schemas.openxmlformats.org/officeDocument/2006/relationships/hyperlink" Target="https://doi.org/10.1002/adfm.200400353" TargetMode="External"/><Relationship Id="rId26" Type="http://schemas.openxmlformats.org/officeDocument/2006/relationships/hyperlink" Target="https://doi.org/10.1016/j.pnsc.2013.05.001" TargetMode="External"/><Relationship Id="rId25" Type="http://schemas.openxmlformats.org/officeDocument/2006/relationships/hyperlink" Target="https://doi.org/10.1016/j.solmat.2008.06.019" TargetMode="External"/><Relationship Id="rId28" Type="http://schemas.openxmlformats.org/officeDocument/2006/relationships/hyperlink" Target="https://doi.org/10.1002/adfm.200400353" TargetMode="External"/><Relationship Id="rId27" Type="http://schemas.openxmlformats.org/officeDocument/2006/relationships/hyperlink" Target="https://doi.org/10.1063/1.1537518" TargetMode="External"/><Relationship Id="rId29" Type="http://schemas.openxmlformats.org/officeDocument/2006/relationships/hyperlink" Target="https://doi.org/10.1021/cm800077e" TargetMode="External"/><Relationship Id="rId95" Type="http://schemas.openxmlformats.org/officeDocument/2006/relationships/hyperlink" Target="https://doi.org/10.1021/am2008568" TargetMode="External"/><Relationship Id="rId94" Type="http://schemas.openxmlformats.org/officeDocument/2006/relationships/hyperlink" Target="https://doi.org/10.1021/jp104044j" TargetMode="External"/><Relationship Id="rId97" Type="http://schemas.openxmlformats.org/officeDocument/2006/relationships/hyperlink" Target="https://doi.org/10.1016/j.cattod.2007.10.015" TargetMode="External"/><Relationship Id="rId96" Type="http://schemas.openxmlformats.org/officeDocument/2006/relationships/hyperlink" Target="https://doi.org/10.1088/0957-4484/19/27/275604" TargetMode="External"/><Relationship Id="rId11" Type="http://schemas.openxmlformats.org/officeDocument/2006/relationships/hyperlink" Target="https://doi.org/10.1021/jp044282r" TargetMode="External"/><Relationship Id="rId99" Type="http://schemas.openxmlformats.org/officeDocument/2006/relationships/drawing" Target="../drawings/drawing1.xml"/><Relationship Id="rId10" Type="http://schemas.openxmlformats.org/officeDocument/2006/relationships/hyperlink" Target="https://doi.org/10.1016/S0009-2614(02)01499-9" TargetMode="External"/><Relationship Id="rId98" Type="http://schemas.openxmlformats.org/officeDocument/2006/relationships/hyperlink" Target="https://doi.org/10.1016/j.jallcom.2009.10.030" TargetMode="External"/><Relationship Id="rId13" Type="http://schemas.openxmlformats.org/officeDocument/2006/relationships/hyperlink" Target="https://doi.org/10.1016/j.molcata.2004.09.051" TargetMode="External"/><Relationship Id="rId12" Type="http://schemas.openxmlformats.org/officeDocument/2006/relationships/hyperlink" Target="https://doi.org/10.1021/jp044282r" TargetMode="External"/><Relationship Id="rId91" Type="http://schemas.openxmlformats.org/officeDocument/2006/relationships/hyperlink" Target="https://doi.org/10.1016/j.heliyon.2017.e00456" TargetMode="External"/><Relationship Id="rId90" Type="http://schemas.openxmlformats.org/officeDocument/2006/relationships/hyperlink" Target="https://doi.org/10.1149/1.2162327" TargetMode="External"/><Relationship Id="rId93" Type="http://schemas.openxmlformats.org/officeDocument/2006/relationships/hyperlink" Target="https://doi.org/10.1021/jp047113f" TargetMode="External"/><Relationship Id="rId92" Type="http://schemas.openxmlformats.org/officeDocument/2006/relationships/hyperlink" Target="https://doi.org/10.1016/j.molcata.2006.01.003" TargetMode="External"/><Relationship Id="rId15" Type="http://schemas.openxmlformats.org/officeDocument/2006/relationships/hyperlink" Target="https://doi.org/10.1016/j.matlet.2009.01.041" TargetMode="External"/><Relationship Id="rId14" Type="http://schemas.openxmlformats.org/officeDocument/2006/relationships/hyperlink" Target="https://doi.org/10.1007/s10562-009-0010-3" TargetMode="External"/><Relationship Id="rId17" Type="http://schemas.openxmlformats.org/officeDocument/2006/relationships/hyperlink" Target="https://doi.org/10.1021/cm800077e" TargetMode="External"/><Relationship Id="rId16" Type="http://schemas.openxmlformats.org/officeDocument/2006/relationships/hyperlink" Target="https://doi.org/10.1016/j.jpowsour.2005.03.057" TargetMode="External"/><Relationship Id="rId19" Type="http://schemas.openxmlformats.org/officeDocument/2006/relationships/hyperlink" Target="https://doi.org/10.1002/adma.200400795" TargetMode="External"/><Relationship Id="rId18" Type="http://schemas.openxmlformats.org/officeDocument/2006/relationships/hyperlink" Target="https://doi.org/10.1002/adfm.200400353" TargetMode="External"/><Relationship Id="rId84" Type="http://schemas.openxmlformats.org/officeDocument/2006/relationships/hyperlink" Target="https://doi.org/10.1016/j.jeurceramsoc.2005.01.058" TargetMode="External"/><Relationship Id="rId83" Type="http://schemas.openxmlformats.org/officeDocument/2006/relationships/hyperlink" Target="https://doi.org/10.1016/j.jssc.2005.04.025" TargetMode="External"/><Relationship Id="rId86" Type="http://schemas.openxmlformats.org/officeDocument/2006/relationships/hyperlink" Target="https://doi.org/10.1016/j.matchemphys.2006.02.002" TargetMode="External"/><Relationship Id="rId85" Type="http://schemas.openxmlformats.org/officeDocument/2006/relationships/hyperlink" Target="https://doi.org/10.1021/ic9025816" TargetMode="External"/><Relationship Id="rId88" Type="http://schemas.openxmlformats.org/officeDocument/2006/relationships/hyperlink" Target="https://doi.org/10.1016/j.catcom.2007.11.016" TargetMode="External"/><Relationship Id="rId87" Type="http://schemas.openxmlformats.org/officeDocument/2006/relationships/hyperlink" Target="https://doi.org/10.1149/1.2162327" TargetMode="External"/><Relationship Id="rId89" Type="http://schemas.openxmlformats.org/officeDocument/2006/relationships/hyperlink" Target="https://doi.org/10.1039/B501883H" TargetMode="External"/><Relationship Id="rId80" Type="http://schemas.openxmlformats.org/officeDocument/2006/relationships/hyperlink" Target="https://doi.org/10.1080/01496395.2018.1444050" TargetMode="External"/><Relationship Id="rId82" Type="http://schemas.openxmlformats.org/officeDocument/2006/relationships/hyperlink" Target="https://doi.org/10.1016/j.jphotochem.2008.09.014" TargetMode="External"/><Relationship Id="rId81" Type="http://schemas.openxmlformats.org/officeDocument/2006/relationships/hyperlink" Target="https://doi.org/10.1016/j.elecom.2005.07.010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oi.org/10.1016/j.jhazmat.2009.01.129" TargetMode="External"/><Relationship Id="rId3" Type="http://schemas.openxmlformats.org/officeDocument/2006/relationships/hyperlink" Target="https://doi.org/10.1021/cg900381h" TargetMode="External"/><Relationship Id="rId4" Type="http://schemas.openxmlformats.org/officeDocument/2006/relationships/hyperlink" Target="https://doi.org/10.1021/cg900381h" TargetMode="External"/><Relationship Id="rId9" Type="http://schemas.openxmlformats.org/officeDocument/2006/relationships/hyperlink" Target="https://doi.org/10.1002/1521-4095(20020903)14:17%3C1208::AID-ADMA1208%3E3.0.CO;2-0" TargetMode="External"/><Relationship Id="rId5" Type="http://schemas.openxmlformats.org/officeDocument/2006/relationships/hyperlink" Target="https://doi.org/10.1021/jp908508z" TargetMode="External"/><Relationship Id="rId6" Type="http://schemas.openxmlformats.org/officeDocument/2006/relationships/hyperlink" Target="https://doi.org/10.1021/jp908508z" TargetMode="External"/><Relationship Id="rId7" Type="http://schemas.openxmlformats.org/officeDocument/2006/relationships/hyperlink" Target="https://doi.org/10.1016/j.apcatb.2006.07.017" TargetMode="External"/><Relationship Id="rId8" Type="http://schemas.openxmlformats.org/officeDocument/2006/relationships/hyperlink" Target="https://doi.org/10.1023/B:JMSC.0000033405.73881.7c" TargetMode="External"/><Relationship Id="rId73" Type="http://schemas.openxmlformats.org/officeDocument/2006/relationships/hyperlink" Target="https://doi.org/10.1049/mnl.2011.0267" TargetMode="External"/><Relationship Id="rId72" Type="http://schemas.openxmlformats.org/officeDocument/2006/relationships/hyperlink" Target="https://doi.org/10.1021/es403079h" TargetMode="External"/><Relationship Id="rId75" Type="http://schemas.openxmlformats.org/officeDocument/2006/relationships/hyperlink" Target="https://doi.org/10.1016/j.cplett.2003.09.069" TargetMode="External"/><Relationship Id="rId74" Type="http://schemas.openxmlformats.org/officeDocument/2006/relationships/hyperlink" Target="https://doi.org/10.1016/j.solidstatesciences.2010.09.019" TargetMode="External"/><Relationship Id="rId77" Type="http://schemas.openxmlformats.org/officeDocument/2006/relationships/hyperlink" Target="https://doi.org/10.1016/j.jcis.2007.08.008" TargetMode="External"/><Relationship Id="rId76" Type="http://schemas.openxmlformats.org/officeDocument/2006/relationships/hyperlink" Target="https://doi.org/10.1016/j.jtice.2008.12.007" TargetMode="External"/><Relationship Id="rId79" Type="http://schemas.openxmlformats.org/officeDocument/2006/relationships/hyperlink" Target="https://doi.org/10.1016/j.materresbull.2006.11.020" TargetMode="External"/><Relationship Id="rId78" Type="http://schemas.openxmlformats.org/officeDocument/2006/relationships/hyperlink" Target="https://doi.org/10.1039/C4CE00801D" TargetMode="External"/><Relationship Id="rId71" Type="http://schemas.openxmlformats.org/officeDocument/2006/relationships/hyperlink" Target="https://chemport.cas.org/cgi-bin/sdcgi?FID=LINK&amp;BTN=CROSSREF&amp;SID=1023565-0424197227-103&amp;APP=cp_scifinder&amp;CLI=scifinder&amp;URL=https%3A%2F%2Fdoi%2Eorg%2F10%2E1021%2Fjp108659a" TargetMode="External"/><Relationship Id="rId70" Type="http://schemas.openxmlformats.org/officeDocument/2006/relationships/hyperlink" Target="https://doi.org/10.1021/es403079h" TargetMode="External"/><Relationship Id="rId62" Type="http://schemas.openxmlformats.org/officeDocument/2006/relationships/hyperlink" Target="https://doi.org/10.1021/cm061721l" TargetMode="External"/><Relationship Id="rId61" Type="http://schemas.openxmlformats.org/officeDocument/2006/relationships/hyperlink" Target="https://doi.org/10.1007/s10853-010-5016-0" TargetMode="External"/><Relationship Id="rId64" Type="http://schemas.openxmlformats.org/officeDocument/2006/relationships/hyperlink" Target="https://doi.org/10.1021/ic0501723" TargetMode="External"/><Relationship Id="rId63" Type="http://schemas.openxmlformats.org/officeDocument/2006/relationships/hyperlink" Target="https://doi.org/10.1016/j.molstruc.2005.04.002" TargetMode="External"/><Relationship Id="rId66" Type="http://schemas.openxmlformats.org/officeDocument/2006/relationships/hyperlink" Target="https://doi.org/10.1016/j.molcata.2007.11.009" TargetMode="External"/><Relationship Id="rId65" Type="http://schemas.openxmlformats.org/officeDocument/2006/relationships/hyperlink" Target="https://doi.org/10.1021/cg1004984" TargetMode="External"/><Relationship Id="rId68" Type="http://schemas.openxmlformats.org/officeDocument/2006/relationships/hyperlink" Target="https://doi.org/10.1016/j.apsusc.2006.03.035" TargetMode="External"/><Relationship Id="rId67" Type="http://schemas.openxmlformats.org/officeDocument/2006/relationships/hyperlink" Target="https://doi.org/10.1016/j.synthmet.2005.07.254" TargetMode="External"/><Relationship Id="rId60" Type="http://schemas.openxmlformats.org/officeDocument/2006/relationships/hyperlink" Target="https://doi.org/10.2478/s11532-007-0001-4" TargetMode="External"/><Relationship Id="rId69" Type="http://schemas.openxmlformats.org/officeDocument/2006/relationships/hyperlink" Target="https://doi.org/10.1021/cm0518527" TargetMode="External"/><Relationship Id="rId51" Type="http://schemas.openxmlformats.org/officeDocument/2006/relationships/hyperlink" Target="https://doi.org/10.1016/j.colsurfa.2004.04.030" TargetMode="External"/><Relationship Id="rId50" Type="http://schemas.openxmlformats.org/officeDocument/2006/relationships/hyperlink" Target="https://doi.org/10.1016/j.colsurfa.2004.04.030" TargetMode="External"/><Relationship Id="rId53" Type="http://schemas.openxmlformats.org/officeDocument/2006/relationships/hyperlink" Target="https://doi.org/10.1016/j.colsurfa.2004.04.030" TargetMode="External"/><Relationship Id="rId52" Type="http://schemas.openxmlformats.org/officeDocument/2006/relationships/hyperlink" Target="https://doi.org/10.1016/j.apcata.2004.11.021" TargetMode="External"/><Relationship Id="rId55" Type="http://schemas.openxmlformats.org/officeDocument/2006/relationships/hyperlink" Target="https://doi.org/10.1016/j.colsurfa.2004.04.030" TargetMode="External"/><Relationship Id="rId54" Type="http://schemas.openxmlformats.org/officeDocument/2006/relationships/hyperlink" Target="https://doi.org/10.1016/j.colsurfa.2004.04.030" TargetMode="External"/><Relationship Id="rId57" Type="http://schemas.openxmlformats.org/officeDocument/2006/relationships/hyperlink" Target="https://doi.org/10.1557/PROC-1144-LL07-08" TargetMode="External"/><Relationship Id="rId56" Type="http://schemas.openxmlformats.org/officeDocument/2006/relationships/hyperlink" Target="https://doi.org/10.1186/1743-8977-6-35" TargetMode="External"/><Relationship Id="rId59" Type="http://schemas.openxmlformats.org/officeDocument/2006/relationships/hyperlink" Target="https://doi.org/10.1016/j.matlet.2010.08.082" TargetMode="External"/><Relationship Id="rId58" Type="http://schemas.openxmlformats.org/officeDocument/2006/relationships/hyperlink" Target="https://doi.org/10.1063/1.498033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ojasynth.com/reagentes-analiticosmaterias-primas/reagentes-analiticosmaterias-primas/bioxido-de-titanio-puro-dioxido" TargetMode="External"/><Relationship Id="rId2" Type="http://schemas.openxmlformats.org/officeDocument/2006/relationships/hyperlink" Target="https://www.sigmaaldrich.com/BR/pt/product/sigald/s5881" TargetMode="External"/><Relationship Id="rId3" Type="http://schemas.openxmlformats.org/officeDocument/2006/relationships/hyperlink" Target="https://www.enel.com.br/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3" width="6.29"/>
    <col customWidth="1" min="4" max="4" width="6.71"/>
    <col customWidth="1" min="5" max="5" width="16.71"/>
    <col customWidth="1" min="6" max="6" width="9.86"/>
    <col customWidth="1" min="7" max="7" width="11.71"/>
    <col customWidth="1" min="8" max="8" width="15.29"/>
    <col customWidth="1" min="9" max="10" width="22.57"/>
    <col customWidth="1" min="11" max="11" width="15.29"/>
    <col customWidth="1" min="12" max="12" width="12.71"/>
    <col customWidth="1" min="13" max="13" width="11.43"/>
    <col customWidth="1" min="14" max="14" width="17.43"/>
    <col customWidth="1" min="15" max="15" width="10.0"/>
    <col customWidth="1" min="16" max="16" width="10.29"/>
    <col customWidth="1" min="17" max="17" width="14.43"/>
    <col customWidth="1" min="18" max="18" width="21.29"/>
    <col customWidth="1" min="19" max="19" width="15.0"/>
    <col customWidth="1" min="20" max="20" width="22.86"/>
    <col customWidth="1" min="21" max="21" width="15.29"/>
    <col customWidth="1" min="22" max="22" width="13.29"/>
    <col customWidth="1" min="23" max="23" width="10.71"/>
    <col customWidth="1" min="24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</row>
    <row r="2" ht="14.25" customHeight="1">
      <c r="A2" s="5" t="s">
        <v>22</v>
      </c>
      <c r="B2" s="6" t="s">
        <v>23</v>
      </c>
      <c r="C2" s="7"/>
      <c r="D2" s="8"/>
      <c r="E2" s="9"/>
      <c r="F2" s="10"/>
      <c r="G2" s="11">
        <f>IFERROR('Coleta de artigos'!$D2/'Coleta de artigos'!$K2,0)</f>
        <v>0</v>
      </c>
      <c r="H2" s="12">
        <f>'Coleta de artigos'!$E2/'Coleta de artigos'!$J2</f>
        <v>0</v>
      </c>
      <c r="I2" s="12" t="str">
        <f>'Coleta de artigos'!$H2/LARGE(H2:H93,1)</f>
        <v>#DIV/0!</v>
      </c>
      <c r="J2" s="13">
        <f>'Coleta de artigos'!$K2*'Coleta de artigos'!$L2</f>
        <v>900</v>
      </c>
      <c r="K2" s="13">
        <v>90.0</v>
      </c>
      <c r="L2" s="8">
        <v>10.0</v>
      </c>
      <c r="M2" s="8">
        <v>130.0</v>
      </c>
      <c r="N2" s="8">
        <v>120.0</v>
      </c>
      <c r="O2" s="6" t="s">
        <v>24</v>
      </c>
      <c r="P2" s="6"/>
      <c r="Q2" s="6">
        <v>50.0</v>
      </c>
      <c r="R2" s="6">
        <v>3.0</v>
      </c>
      <c r="S2" s="6">
        <v>25.0</v>
      </c>
      <c r="T2" s="6"/>
      <c r="U2" s="14" t="s">
        <v>25</v>
      </c>
      <c r="V2" s="15" t="s">
        <v>26</v>
      </c>
    </row>
    <row r="3" ht="14.25" customHeight="1">
      <c r="A3" s="5" t="s">
        <v>27</v>
      </c>
      <c r="B3" s="6" t="s">
        <v>23</v>
      </c>
      <c r="C3" s="7"/>
      <c r="D3" s="8">
        <v>0.2</v>
      </c>
      <c r="E3" s="9">
        <f>'Coleta de artigos'!$D3/79.866</f>
        <v>0.002504194526</v>
      </c>
      <c r="F3" s="10"/>
      <c r="G3" s="11">
        <f>IFERROR('Coleta de artigos'!$D3/'Coleta de artigos'!$K3,0)</f>
        <v>0</v>
      </c>
      <c r="H3" s="12" t="str">
        <f>'Coleta de artigos'!$E3/'Coleta de artigos'!$J3</f>
        <v>#DIV/0!</v>
      </c>
      <c r="I3" s="12" t="str">
        <f>'Coleta de artigos'!$H3/LARGE(H3:H94,1)</f>
        <v>#DIV/0!</v>
      </c>
      <c r="J3" s="13"/>
      <c r="K3" s="13"/>
      <c r="L3" s="8">
        <v>8.0</v>
      </c>
      <c r="M3" s="8">
        <v>240.0</v>
      </c>
      <c r="N3" s="8">
        <v>2.0</v>
      </c>
      <c r="O3" s="6" t="s">
        <v>28</v>
      </c>
      <c r="P3" s="6"/>
      <c r="Q3" s="6"/>
      <c r="R3" s="6"/>
      <c r="S3" s="6">
        <v>25.0</v>
      </c>
      <c r="T3" s="6"/>
      <c r="U3" s="14" t="s">
        <v>25</v>
      </c>
      <c r="V3" s="15" t="s">
        <v>29</v>
      </c>
    </row>
    <row r="4" ht="14.25" customHeight="1">
      <c r="A4" s="5" t="s">
        <v>27</v>
      </c>
      <c r="B4" s="6" t="s">
        <v>23</v>
      </c>
      <c r="C4" s="7"/>
      <c r="D4" s="8">
        <v>0.2</v>
      </c>
      <c r="E4" s="9">
        <f>'Coleta de artigos'!$D4/79.866</f>
        <v>0.002504194526</v>
      </c>
      <c r="F4" s="10"/>
      <c r="G4" s="11">
        <f>IFERROR('Coleta de artigos'!$D4/'Coleta de artigos'!$K4,0)</f>
        <v>0</v>
      </c>
      <c r="H4" s="12" t="str">
        <f>'Coleta de artigos'!$E4/'Coleta de artigos'!$J4</f>
        <v>#DIV/0!</v>
      </c>
      <c r="I4" s="12" t="str">
        <f>'Coleta de artigos'!$H4/LARGE(H4:H93,1)</f>
        <v>#DIV/0!</v>
      </c>
      <c r="J4" s="13"/>
      <c r="K4" s="13"/>
      <c r="L4" s="8">
        <v>8.0</v>
      </c>
      <c r="M4" s="8">
        <v>240.0</v>
      </c>
      <c r="N4" s="8">
        <v>3.0</v>
      </c>
      <c r="O4" s="6" t="s">
        <v>28</v>
      </c>
      <c r="P4" s="6"/>
      <c r="Q4" s="6"/>
      <c r="R4" s="6"/>
      <c r="S4" s="6">
        <v>25.0</v>
      </c>
      <c r="T4" s="6"/>
      <c r="U4" s="14" t="s">
        <v>30</v>
      </c>
      <c r="V4" s="15" t="s">
        <v>31</v>
      </c>
      <c r="W4" s="16"/>
    </row>
    <row r="5" ht="14.25" customHeight="1">
      <c r="A5" s="5" t="s">
        <v>32</v>
      </c>
      <c r="B5" s="6" t="s">
        <v>23</v>
      </c>
      <c r="C5" s="7"/>
      <c r="D5" s="8">
        <v>0.5</v>
      </c>
      <c r="E5" s="9">
        <f>'Coleta de artigos'!$D5/79.866</f>
        <v>0.006260486315</v>
      </c>
      <c r="F5" s="10"/>
      <c r="G5" s="11">
        <f>IFERROR('Coleta de artigos'!$D5/'Coleta de artigos'!$K5,0)</f>
        <v>0</v>
      </c>
      <c r="H5" s="12" t="str">
        <f>'Coleta de artigos'!$E5/'Coleta de artigos'!$J5</f>
        <v>#DIV/0!</v>
      </c>
      <c r="I5" s="12" t="str">
        <f>'Coleta de artigos'!$H5/LARGE(H5:H96,1)</f>
        <v>#DIV/0!</v>
      </c>
      <c r="J5" s="13"/>
      <c r="K5" s="13"/>
      <c r="L5" s="8">
        <v>10.0</v>
      </c>
      <c r="M5" s="8">
        <v>220.0</v>
      </c>
      <c r="N5" s="8">
        <v>20.0</v>
      </c>
      <c r="O5" s="6" t="s">
        <v>24</v>
      </c>
      <c r="P5" s="6"/>
      <c r="Q5" s="6"/>
      <c r="R5" s="6"/>
      <c r="S5" s="6">
        <v>25.0</v>
      </c>
      <c r="T5" s="6"/>
      <c r="U5" s="14" t="s">
        <v>33</v>
      </c>
      <c r="V5" s="15">
        <v>60.0</v>
      </c>
    </row>
    <row r="6" ht="14.25" customHeight="1">
      <c r="A6" s="5" t="s">
        <v>32</v>
      </c>
      <c r="B6" s="6" t="s">
        <v>23</v>
      </c>
      <c r="C6" s="7"/>
      <c r="D6" s="8">
        <v>0.5</v>
      </c>
      <c r="E6" s="9">
        <f>'Coleta de artigos'!$D6/79.866</f>
        <v>0.006260486315</v>
      </c>
      <c r="F6" s="10"/>
      <c r="G6" s="11">
        <f>IFERROR('Coleta de artigos'!$D6/'Coleta de artigos'!$K6,0)</f>
        <v>0</v>
      </c>
      <c r="H6" s="12" t="str">
        <f>'Coleta de artigos'!$E6/'Coleta de artigos'!$J6</f>
        <v>#DIV/0!</v>
      </c>
      <c r="I6" s="12" t="str">
        <f>'Coleta de artigos'!$H6/LARGE(H6:H97,1)</f>
        <v>#DIV/0!</v>
      </c>
      <c r="J6" s="13"/>
      <c r="K6" s="13"/>
      <c r="L6" s="8">
        <v>7.5</v>
      </c>
      <c r="M6" s="8">
        <v>160.0</v>
      </c>
      <c r="N6" s="8">
        <v>20.0</v>
      </c>
      <c r="O6" s="6" t="s">
        <v>24</v>
      </c>
      <c r="P6" s="6"/>
      <c r="Q6" s="6"/>
      <c r="R6" s="6"/>
      <c r="S6" s="6">
        <v>25.0</v>
      </c>
      <c r="T6" s="6"/>
      <c r="U6" s="14" t="s">
        <v>25</v>
      </c>
      <c r="V6" s="15">
        <v>10.0</v>
      </c>
    </row>
    <row r="7" ht="14.25" customHeight="1">
      <c r="A7" s="5" t="s">
        <v>34</v>
      </c>
      <c r="B7" s="6">
        <v>50.0</v>
      </c>
      <c r="C7" s="17">
        <v>80.0</v>
      </c>
      <c r="D7" s="8">
        <v>1.0</v>
      </c>
      <c r="E7" s="9">
        <f>'Coleta de artigos'!$D7/79.866</f>
        <v>0.01252097263</v>
      </c>
      <c r="F7" s="10"/>
      <c r="G7" s="11">
        <f>IFERROR('Coleta de artigos'!$D7/'Coleta de artigos'!$K7,0)</f>
        <v>0</v>
      </c>
      <c r="H7" s="12" t="str">
        <f>'Coleta de artigos'!$E7/'Coleta de artigos'!$J7</f>
        <v>#DIV/0!</v>
      </c>
      <c r="I7" s="12" t="str">
        <f>'Coleta de artigos'!$H7/LARGE(H7:H98,1)</f>
        <v>#DIV/0!</v>
      </c>
      <c r="J7" s="13"/>
      <c r="K7" s="13"/>
      <c r="L7" s="8">
        <v>10.0</v>
      </c>
      <c r="M7" s="8">
        <v>200.0</v>
      </c>
      <c r="N7" s="8">
        <v>24.0</v>
      </c>
      <c r="O7" s="6" t="s">
        <v>28</v>
      </c>
      <c r="P7" s="6"/>
      <c r="Q7" s="6"/>
      <c r="R7" s="6"/>
      <c r="S7" s="6">
        <v>25.0</v>
      </c>
      <c r="T7" s="6"/>
      <c r="U7" s="14" t="s">
        <v>35</v>
      </c>
      <c r="V7" s="15" t="s">
        <v>36</v>
      </c>
    </row>
    <row r="8" ht="14.25" customHeight="1">
      <c r="A8" s="5" t="s">
        <v>37</v>
      </c>
      <c r="B8" s="6" t="s">
        <v>23</v>
      </c>
      <c r="C8" s="7"/>
      <c r="D8" s="8">
        <v>1.0</v>
      </c>
      <c r="E8" s="9">
        <f>'Coleta de artigos'!$D8/79.866</f>
        <v>0.01252097263</v>
      </c>
      <c r="F8" s="10"/>
      <c r="G8" s="11">
        <f>IFERROR('Coleta de artigos'!$D8/'Coleta de artigos'!$K8,0)</f>
        <v>0</v>
      </c>
      <c r="H8" s="12" t="str">
        <f>'Coleta de artigos'!$E8/'Coleta de artigos'!$J8</f>
        <v>#DIV/0!</v>
      </c>
      <c r="I8" s="12" t="str">
        <f>'Coleta de artigos'!$H8/LARGE(H8:H99,1)</f>
        <v>#DIV/0!</v>
      </c>
      <c r="J8" s="13"/>
      <c r="K8" s="13"/>
      <c r="L8" s="8">
        <v>10.0</v>
      </c>
      <c r="M8" s="8">
        <v>110.0</v>
      </c>
      <c r="N8" s="8">
        <v>168.0</v>
      </c>
      <c r="O8" s="6" t="s">
        <v>24</v>
      </c>
      <c r="P8" s="6"/>
      <c r="Q8" s="6">
        <v>110.0</v>
      </c>
      <c r="R8" s="6"/>
      <c r="S8" s="6">
        <v>25.0</v>
      </c>
      <c r="T8" s="6"/>
      <c r="U8" s="14" t="s">
        <v>25</v>
      </c>
      <c r="V8" s="15">
        <v>80.0</v>
      </c>
    </row>
    <row r="9" ht="14.25" customHeight="1">
      <c r="A9" s="5" t="s">
        <v>38</v>
      </c>
      <c r="B9" s="6" t="s">
        <v>23</v>
      </c>
      <c r="C9" s="7"/>
      <c r="D9" s="8">
        <v>1.0</v>
      </c>
      <c r="E9" s="9">
        <f>'Coleta de artigos'!$D9/79.866</f>
        <v>0.01252097263</v>
      </c>
      <c r="F9" s="10"/>
      <c r="G9" s="11">
        <f>IFERROR('Coleta de artigos'!$D9/'Coleta de artigos'!$K9,0)</f>
        <v>0</v>
      </c>
      <c r="H9" s="12" t="str">
        <f>'Coleta de artigos'!$E9/'Coleta de artigos'!$J9</f>
        <v>#DIV/0!</v>
      </c>
      <c r="I9" s="12" t="str">
        <f>'Coleta de artigos'!$H9/LARGE(H9:H100,1)</f>
        <v>#DIV/0!</v>
      </c>
      <c r="J9" s="13"/>
      <c r="K9" s="13"/>
      <c r="L9" s="8">
        <v>10.0</v>
      </c>
      <c r="M9" s="8">
        <v>130.0</v>
      </c>
      <c r="N9" s="8">
        <v>72.0</v>
      </c>
      <c r="O9" s="6" t="s">
        <v>28</v>
      </c>
      <c r="P9" s="6"/>
      <c r="Q9" s="6"/>
      <c r="R9" s="6"/>
      <c r="S9" s="6">
        <v>25.0</v>
      </c>
      <c r="T9" s="6"/>
      <c r="U9" s="14" t="s">
        <v>25</v>
      </c>
      <c r="V9" s="15">
        <v>9.0</v>
      </c>
    </row>
    <row r="10" ht="14.25" customHeight="1">
      <c r="A10" s="5" t="s">
        <v>39</v>
      </c>
      <c r="B10" s="6">
        <v>50.0</v>
      </c>
      <c r="C10" s="17">
        <v>80.0</v>
      </c>
      <c r="D10" s="8">
        <v>1.0</v>
      </c>
      <c r="E10" s="9">
        <f>'Coleta de artigos'!$D10/79.866</f>
        <v>0.01252097263</v>
      </c>
      <c r="F10" s="10"/>
      <c r="G10" s="11">
        <f>IFERROR('Coleta de artigos'!$D10/'Coleta de artigos'!$K10,0)</f>
        <v>0</v>
      </c>
      <c r="H10" s="12" t="str">
        <f>'Coleta de artigos'!$E10/'Coleta de artigos'!$J10</f>
        <v>#DIV/0!</v>
      </c>
      <c r="I10" s="12" t="str">
        <f>'Coleta de artigos'!$H10/LARGE(H10:H99,1)</f>
        <v>#DIV/0!</v>
      </c>
      <c r="J10" s="13"/>
      <c r="K10" s="13"/>
      <c r="L10" s="8">
        <v>10.0</v>
      </c>
      <c r="M10" s="8">
        <v>200.0</v>
      </c>
      <c r="N10" s="8">
        <v>24.0</v>
      </c>
      <c r="O10" s="6" t="s">
        <v>24</v>
      </c>
      <c r="P10" s="6">
        <v>24.0</v>
      </c>
      <c r="Q10" s="6">
        <v>70.0</v>
      </c>
      <c r="R10" s="6">
        <v>6.0</v>
      </c>
      <c r="S10" s="6">
        <v>25.0</v>
      </c>
      <c r="T10" s="6"/>
      <c r="U10" s="14" t="s">
        <v>30</v>
      </c>
      <c r="V10" s="15">
        <v>25.0</v>
      </c>
    </row>
    <row r="11" ht="14.25" customHeight="1">
      <c r="A11" s="5" t="s">
        <v>40</v>
      </c>
      <c r="B11" s="6" t="s">
        <v>23</v>
      </c>
      <c r="C11" s="7"/>
      <c r="D11" s="8">
        <v>2.0</v>
      </c>
      <c r="E11" s="9">
        <f>'Coleta de artigos'!$D11/79.866</f>
        <v>0.02504194526</v>
      </c>
      <c r="F11" s="10"/>
      <c r="G11" s="11">
        <f>IFERROR('Coleta de artigos'!$D11/'Coleta de artigos'!$K11,0)</f>
        <v>0</v>
      </c>
      <c r="H11" s="12" t="str">
        <f>'Coleta de artigos'!$E11/'Coleta de artigos'!$J11</f>
        <v>#DIV/0!</v>
      </c>
      <c r="I11" s="12" t="str">
        <f>'Coleta de artigos'!$H11/LARGE(H11:H102,1)</f>
        <v>#DIV/0!</v>
      </c>
      <c r="J11" s="13"/>
      <c r="K11" s="13"/>
      <c r="L11" s="8">
        <v>10.0</v>
      </c>
      <c r="M11" s="8">
        <v>190.0</v>
      </c>
      <c r="N11" s="8">
        <v>168.0</v>
      </c>
      <c r="O11" s="6" t="s">
        <v>24</v>
      </c>
      <c r="P11" s="6"/>
      <c r="Q11" s="6"/>
      <c r="R11" s="6"/>
      <c r="S11" s="6">
        <v>25.0</v>
      </c>
      <c r="T11" s="6"/>
      <c r="U11" s="14" t="s">
        <v>33</v>
      </c>
      <c r="V11" s="15" t="s">
        <v>41</v>
      </c>
    </row>
    <row r="12" ht="14.25" customHeight="1">
      <c r="A12" s="5" t="s">
        <v>40</v>
      </c>
      <c r="B12" s="6" t="s">
        <v>42</v>
      </c>
      <c r="C12" s="7"/>
      <c r="D12" s="8">
        <v>2.0</v>
      </c>
      <c r="E12" s="9">
        <f>'Coleta de artigos'!$D12/79.866</f>
        <v>0.02504194526</v>
      </c>
      <c r="F12" s="10"/>
      <c r="G12" s="11">
        <f>IFERROR('Coleta de artigos'!$D12/'Coleta de artigos'!$K12,0)</f>
        <v>0</v>
      </c>
      <c r="H12" s="12" t="str">
        <f>'Coleta de artigos'!$E12/'Coleta de artigos'!$J12</f>
        <v>#DIV/0!</v>
      </c>
      <c r="I12" s="12" t="str">
        <f>'Coleta de artigos'!$H12/LARGE(H12:H103,1)</f>
        <v>#DIV/0!</v>
      </c>
      <c r="J12" s="13"/>
      <c r="K12" s="13"/>
      <c r="L12" s="8">
        <v>10.0</v>
      </c>
      <c r="M12" s="8">
        <v>110.0</v>
      </c>
      <c r="N12" s="8">
        <v>12.0</v>
      </c>
      <c r="O12" s="6" t="s">
        <v>24</v>
      </c>
      <c r="P12" s="6"/>
      <c r="Q12" s="6"/>
      <c r="R12" s="6"/>
      <c r="S12" s="6">
        <v>25.0</v>
      </c>
      <c r="T12" s="6"/>
      <c r="U12" s="14" t="s">
        <v>25</v>
      </c>
      <c r="V12" s="15" t="s">
        <v>43</v>
      </c>
    </row>
    <row r="13" ht="14.25" customHeight="1">
      <c r="A13" s="5" t="s">
        <v>44</v>
      </c>
      <c r="B13" s="6" t="s">
        <v>23</v>
      </c>
      <c r="C13" s="7"/>
      <c r="D13" s="8">
        <v>2.5</v>
      </c>
      <c r="E13" s="9">
        <f>'Coleta de artigos'!$D13/79.866</f>
        <v>0.03130243157</v>
      </c>
      <c r="F13" s="10"/>
      <c r="G13" s="11">
        <f>IFERROR('Coleta de artigos'!$D13/'Coleta de artigos'!$K13,0)</f>
        <v>0</v>
      </c>
      <c r="H13" s="12" t="str">
        <f>'Coleta de artigos'!$E13/'Coleta de artigos'!$J13</f>
        <v>#DIV/0!</v>
      </c>
      <c r="I13" s="12" t="str">
        <f>'Coleta de artigos'!$H13/LARGE(H13:H104,1)</f>
        <v>#DIV/0!</v>
      </c>
      <c r="J13" s="13"/>
      <c r="K13" s="13"/>
      <c r="L13" s="8">
        <v>10.0</v>
      </c>
      <c r="M13" s="8">
        <v>110.0</v>
      </c>
      <c r="N13" s="8">
        <v>20.0</v>
      </c>
      <c r="O13" s="6" t="s">
        <v>24</v>
      </c>
      <c r="P13" s="6"/>
      <c r="Q13" s="6"/>
      <c r="R13" s="6"/>
      <c r="S13" s="6">
        <v>300.0</v>
      </c>
      <c r="T13" s="6">
        <v>1.0</v>
      </c>
      <c r="U13" s="14" t="s">
        <v>25</v>
      </c>
      <c r="V13" s="15" t="s">
        <v>45</v>
      </c>
    </row>
    <row r="14" ht="14.25" customHeight="1">
      <c r="A14" s="5" t="s">
        <v>46</v>
      </c>
      <c r="B14" s="6">
        <v>200.0</v>
      </c>
      <c r="C14" s="17">
        <v>84.0</v>
      </c>
      <c r="D14" s="8">
        <v>3.0</v>
      </c>
      <c r="E14" s="9">
        <f>'Coleta de artigos'!$D14/79.866</f>
        <v>0.03756291789</v>
      </c>
      <c r="F14" s="10"/>
      <c r="G14" s="11">
        <f>IFERROR('Coleta de artigos'!$D14/'Coleta de artigos'!$K14,0)</f>
        <v>0</v>
      </c>
      <c r="H14" s="12" t="str">
        <f>'Coleta de artigos'!$E14/'Coleta de artigos'!$J14</f>
        <v>#DIV/0!</v>
      </c>
      <c r="I14" s="12" t="str">
        <f>'Coleta de artigos'!$H14/LARGE(H14:H105,1)</f>
        <v>#DIV/0!</v>
      </c>
      <c r="J14" s="13"/>
      <c r="K14" s="13"/>
      <c r="L14" s="8">
        <v>10.0</v>
      </c>
      <c r="M14" s="8">
        <v>120.0</v>
      </c>
      <c r="N14" s="8">
        <v>30.0</v>
      </c>
      <c r="O14" s="6" t="s">
        <v>47</v>
      </c>
      <c r="P14" s="6">
        <v>2.0</v>
      </c>
      <c r="Q14" s="6">
        <v>110.0</v>
      </c>
      <c r="R14" s="6">
        <v>12.0</v>
      </c>
      <c r="S14" s="6">
        <v>400.0</v>
      </c>
      <c r="T14" s="6">
        <v>1.0</v>
      </c>
      <c r="U14" s="14" t="s">
        <v>35</v>
      </c>
      <c r="V14" s="15" t="s">
        <v>48</v>
      </c>
    </row>
    <row r="15" ht="14.25" customHeight="1">
      <c r="A15" s="5" t="s">
        <v>49</v>
      </c>
      <c r="B15" s="6">
        <v>200.0</v>
      </c>
      <c r="C15" s="17">
        <v>84.0</v>
      </c>
      <c r="D15" s="8">
        <v>3.0</v>
      </c>
      <c r="E15" s="9">
        <f>'Coleta de artigos'!$D15/79.866</f>
        <v>0.03756291789</v>
      </c>
      <c r="F15" s="10"/>
      <c r="G15" s="11">
        <f>IFERROR('Coleta de artigos'!$D15/'Coleta de artigos'!$K15,0)</f>
        <v>0</v>
      </c>
      <c r="H15" s="12" t="str">
        <f>'Coleta de artigos'!$E15/'Coleta de artigos'!$J15</f>
        <v>#DIV/0!</v>
      </c>
      <c r="I15" s="12" t="str">
        <f>'Coleta de artigos'!$H15/LARGE(H15:H106,1)</f>
        <v>#DIV/0!</v>
      </c>
      <c r="J15" s="13"/>
      <c r="K15" s="13"/>
      <c r="L15" s="8">
        <v>10.0</v>
      </c>
      <c r="M15" s="8">
        <v>150.0</v>
      </c>
      <c r="N15" s="8">
        <v>30.0</v>
      </c>
      <c r="O15" s="6" t="s">
        <v>47</v>
      </c>
      <c r="P15" s="6">
        <v>2.0</v>
      </c>
      <c r="Q15" s="6">
        <v>110.0</v>
      </c>
      <c r="R15" s="6">
        <v>12.0</v>
      </c>
      <c r="S15" s="6">
        <v>25.0</v>
      </c>
      <c r="T15" s="6">
        <v>1.0</v>
      </c>
      <c r="U15" s="14" t="s">
        <v>25</v>
      </c>
      <c r="V15" s="15" t="s">
        <v>50</v>
      </c>
    </row>
    <row r="16" ht="14.25" customHeight="1">
      <c r="A16" s="5" t="s">
        <v>51</v>
      </c>
      <c r="B16" s="6" t="s">
        <v>23</v>
      </c>
      <c r="C16" s="7"/>
      <c r="D16" s="8">
        <v>6.0</v>
      </c>
      <c r="E16" s="9">
        <f>'Coleta de artigos'!$D16/79.866</f>
        <v>0.07512583577</v>
      </c>
      <c r="F16" s="10"/>
      <c r="G16" s="11">
        <f>IFERROR('Coleta de artigos'!$D16/'Coleta de artigos'!$K16,0)</f>
        <v>0</v>
      </c>
      <c r="H16" s="12" t="str">
        <f>'Coleta de artigos'!$E16/'Coleta de artigos'!$J16</f>
        <v>#DIV/0!</v>
      </c>
      <c r="I16" s="12" t="str">
        <f>'Coleta de artigos'!$H16/LARGE(H16:H105,1)</f>
        <v>#DIV/0!</v>
      </c>
      <c r="J16" s="13"/>
      <c r="K16" s="13"/>
      <c r="L16" s="8">
        <v>15.0</v>
      </c>
      <c r="M16" s="8">
        <v>170.0</v>
      </c>
      <c r="N16" s="8">
        <v>72.0</v>
      </c>
      <c r="O16" s="6" t="s">
        <v>52</v>
      </c>
      <c r="P16" s="6">
        <v>2.0</v>
      </c>
      <c r="Q16" s="6">
        <v>80.0</v>
      </c>
      <c r="R16" s="6">
        <v>15.0</v>
      </c>
      <c r="S16" s="6">
        <v>400.0</v>
      </c>
      <c r="T16" s="6">
        <v>4.0</v>
      </c>
      <c r="U16" s="14" t="s">
        <v>30</v>
      </c>
      <c r="V16" s="15" t="s">
        <v>53</v>
      </c>
    </row>
    <row r="17" ht="14.25" customHeight="1">
      <c r="A17" s="5" t="s">
        <v>54</v>
      </c>
      <c r="B17" s="6" t="s">
        <v>23</v>
      </c>
      <c r="C17" s="7"/>
      <c r="D17" s="8"/>
      <c r="E17" s="9"/>
      <c r="F17" s="10"/>
      <c r="G17" s="11">
        <f>IFERROR('Coleta de artigos'!$D17/'Coleta de artigos'!$K17,0)</f>
        <v>0</v>
      </c>
      <c r="H17" s="12" t="str">
        <f>'Coleta de artigos'!$E17/'Coleta de artigos'!$J17</f>
        <v>#DIV/0!</v>
      </c>
      <c r="I17" s="12" t="str">
        <f>'Coleta de artigos'!$H17/LARGE(H17:H108,1)</f>
        <v>#DIV/0!</v>
      </c>
      <c r="J17" s="13"/>
      <c r="K17" s="13"/>
      <c r="L17" s="8">
        <v>7.5</v>
      </c>
      <c r="M17" s="8">
        <v>220.0</v>
      </c>
      <c r="N17" s="8">
        <v>20.0</v>
      </c>
      <c r="O17" s="6" t="s">
        <v>28</v>
      </c>
      <c r="P17" s="6"/>
      <c r="Q17" s="6"/>
      <c r="R17" s="6"/>
      <c r="S17" s="6">
        <v>25.0</v>
      </c>
      <c r="T17" s="6"/>
      <c r="U17" s="14" t="s">
        <v>33</v>
      </c>
      <c r="V17" s="15" t="s">
        <v>55</v>
      </c>
    </row>
    <row r="18" ht="14.25" customHeight="1">
      <c r="A18" s="5" t="s">
        <v>56</v>
      </c>
      <c r="B18" s="6" t="s">
        <v>23</v>
      </c>
      <c r="C18" s="7"/>
      <c r="D18" s="8"/>
      <c r="E18" s="9"/>
      <c r="F18" s="10"/>
      <c r="G18" s="11">
        <f>IFERROR('Coleta de artigos'!$D18/'Coleta de artigos'!$K18,0)</f>
        <v>0</v>
      </c>
      <c r="H18" s="12" t="str">
        <f>'Coleta de artigos'!$E18/'Coleta de artigos'!$J18</f>
        <v>#DIV/0!</v>
      </c>
      <c r="I18" s="12" t="str">
        <f>'Coleta de artigos'!$H18/LARGE(H18:H109,1)</f>
        <v>#DIV/0!</v>
      </c>
      <c r="J18" s="13"/>
      <c r="K18" s="13"/>
      <c r="L18" s="8">
        <v>10.0</v>
      </c>
      <c r="M18" s="8">
        <v>150.0</v>
      </c>
      <c r="N18" s="8">
        <v>48.0</v>
      </c>
      <c r="O18" s="6" t="s">
        <v>24</v>
      </c>
      <c r="P18" s="6"/>
      <c r="Q18" s="6"/>
      <c r="R18" s="6"/>
      <c r="S18" s="6">
        <v>500.0</v>
      </c>
      <c r="T18" s="6">
        <v>3.5</v>
      </c>
      <c r="U18" s="14" t="s">
        <v>35</v>
      </c>
      <c r="V18" s="15" t="s">
        <v>57</v>
      </c>
    </row>
    <row r="19" ht="14.25" customHeight="1">
      <c r="A19" s="5" t="s">
        <v>58</v>
      </c>
      <c r="B19" s="6" t="s">
        <v>23</v>
      </c>
      <c r="C19" s="7"/>
      <c r="D19" s="8"/>
      <c r="E19" s="9"/>
      <c r="F19" s="10"/>
      <c r="G19" s="11">
        <f>IFERROR('Coleta de artigos'!$D19/'Coleta de artigos'!$K19,0)</f>
        <v>0</v>
      </c>
      <c r="H19" s="12" t="str">
        <f>'Coleta de artigos'!$E19/'Coleta de artigos'!$J19</f>
        <v>#DIV/0!</v>
      </c>
      <c r="I19" s="12" t="str">
        <f>'Coleta de artigos'!$H19/LARGE(H19:H110,1)</f>
        <v>#DIV/0!</v>
      </c>
      <c r="J19" s="13"/>
      <c r="K19" s="13"/>
      <c r="L19" s="8">
        <v>15.0</v>
      </c>
      <c r="M19" s="8">
        <v>170.0</v>
      </c>
      <c r="N19" s="8">
        <v>72.0</v>
      </c>
      <c r="O19" s="6" t="s">
        <v>52</v>
      </c>
      <c r="P19" s="6">
        <v>2.0</v>
      </c>
      <c r="Q19" s="6">
        <v>80.0</v>
      </c>
      <c r="R19" s="6">
        <v>15.0</v>
      </c>
      <c r="S19" s="6">
        <v>400.0</v>
      </c>
      <c r="T19" s="6">
        <v>4.0</v>
      </c>
      <c r="U19" s="14" t="s">
        <v>35</v>
      </c>
      <c r="V19" s="15">
        <v>90.0</v>
      </c>
    </row>
    <row r="20" ht="14.25" customHeight="1">
      <c r="A20" s="5" t="s">
        <v>56</v>
      </c>
      <c r="B20" s="6" t="s">
        <v>23</v>
      </c>
      <c r="C20" s="7"/>
      <c r="D20" s="8"/>
      <c r="E20" s="9"/>
      <c r="F20" s="10"/>
      <c r="G20" s="11">
        <f>IFERROR('Coleta de artigos'!$D20/'Coleta de artigos'!$K20,0)</f>
        <v>0</v>
      </c>
      <c r="H20" s="12" t="str">
        <f>'Coleta de artigos'!$E20/'Coleta de artigos'!$J20</f>
        <v>#DIV/0!</v>
      </c>
      <c r="I20" s="12" t="str">
        <f>'Coleta de artigos'!$H20/LARGE(H20:H111,1)</f>
        <v>#DIV/0!</v>
      </c>
      <c r="J20" s="13"/>
      <c r="K20" s="13"/>
      <c r="L20" s="8">
        <v>10.0</v>
      </c>
      <c r="M20" s="8">
        <v>180.0</v>
      </c>
      <c r="N20" s="8">
        <v>48.0</v>
      </c>
      <c r="O20" s="6" t="s">
        <v>24</v>
      </c>
      <c r="P20" s="6"/>
      <c r="Q20" s="6"/>
      <c r="R20" s="6"/>
      <c r="S20" s="6">
        <v>500.0</v>
      </c>
      <c r="T20" s="6">
        <v>3.5</v>
      </c>
      <c r="U20" s="14" t="s">
        <v>35</v>
      </c>
      <c r="V20" s="15" t="s">
        <v>59</v>
      </c>
    </row>
    <row r="21" ht="14.25" customHeight="1">
      <c r="A21" s="5" t="s">
        <v>56</v>
      </c>
      <c r="B21" s="6" t="s">
        <v>23</v>
      </c>
      <c r="C21" s="7"/>
      <c r="D21" s="8"/>
      <c r="E21" s="9"/>
      <c r="F21" s="10"/>
      <c r="G21" s="11">
        <f>IFERROR('Coleta de artigos'!$D21/'Coleta de artigos'!$K21,0)</f>
        <v>0</v>
      </c>
      <c r="H21" s="12" t="str">
        <f>'Coleta de artigos'!$E21/'Coleta de artigos'!$J21</f>
        <v>#DIV/0!</v>
      </c>
      <c r="I21" s="12" t="str">
        <f>'Coleta de artigos'!$H21/LARGE(H21:H112,1)</f>
        <v>#DIV/0!</v>
      </c>
      <c r="J21" s="13"/>
      <c r="K21" s="13"/>
      <c r="L21" s="8">
        <v>10.0</v>
      </c>
      <c r="M21" s="8">
        <v>100.0</v>
      </c>
      <c r="N21" s="8">
        <v>48.0</v>
      </c>
      <c r="O21" s="6" t="s">
        <v>24</v>
      </c>
      <c r="P21" s="6"/>
      <c r="Q21" s="6"/>
      <c r="R21" s="6"/>
      <c r="S21" s="6">
        <v>25.0</v>
      </c>
      <c r="T21" s="6"/>
      <c r="U21" s="14" t="s">
        <v>25</v>
      </c>
      <c r="V21" s="15" t="s">
        <v>60</v>
      </c>
    </row>
    <row r="22" ht="14.25" customHeight="1">
      <c r="A22" s="5" t="s">
        <v>61</v>
      </c>
      <c r="B22" s="6" t="s">
        <v>23</v>
      </c>
      <c r="C22" s="7"/>
      <c r="D22" s="8"/>
      <c r="E22" s="9"/>
      <c r="F22" s="10"/>
      <c r="G22" s="11">
        <f>IFERROR('Coleta de artigos'!$D22/'Coleta de artigos'!$K22,0)</f>
        <v>0</v>
      </c>
      <c r="H22" s="12" t="str">
        <f>'Coleta de artigos'!$E22/'Coleta de artigos'!$J22</f>
        <v>#DIV/0!</v>
      </c>
      <c r="I22" s="12" t="str">
        <f>'Coleta de artigos'!$H22/LARGE(H22:H113,1)</f>
        <v>#DIV/0!</v>
      </c>
      <c r="J22" s="13"/>
      <c r="K22" s="13"/>
      <c r="L22" s="8">
        <v>10.0</v>
      </c>
      <c r="M22" s="8">
        <v>120.0</v>
      </c>
      <c r="N22" s="8">
        <v>24.0</v>
      </c>
      <c r="O22" s="6" t="s">
        <v>62</v>
      </c>
      <c r="P22" s="6">
        <v>8.0</v>
      </c>
      <c r="Q22" s="6">
        <v>80.0</v>
      </c>
      <c r="R22" s="6">
        <v>3.0</v>
      </c>
      <c r="S22" s="6">
        <v>350.0</v>
      </c>
      <c r="T22" s="6">
        <v>2.0</v>
      </c>
      <c r="U22" s="14" t="s">
        <v>25</v>
      </c>
      <c r="V22" s="15">
        <v>10.0</v>
      </c>
    </row>
    <row r="23" ht="14.25" customHeight="1">
      <c r="A23" s="5" t="s">
        <v>56</v>
      </c>
      <c r="B23" s="6" t="s">
        <v>23</v>
      </c>
      <c r="C23" s="7"/>
      <c r="D23" s="8"/>
      <c r="E23" s="9"/>
      <c r="F23" s="10"/>
      <c r="G23" s="11">
        <f>IFERROR('Coleta de artigos'!$D23/'Coleta de artigos'!$K23,0)</f>
        <v>0</v>
      </c>
      <c r="H23" s="12" t="str">
        <f>'Coleta de artigos'!$E23/'Coleta de artigos'!$J23</f>
        <v>#DIV/0!</v>
      </c>
      <c r="I23" s="12" t="str">
        <f>'Coleta de artigos'!$H23/LARGE(H23:H114,1)</f>
        <v>#DIV/0!</v>
      </c>
      <c r="J23" s="13"/>
      <c r="K23" s="13"/>
      <c r="L23" s="8">
        <v>10.0</v>
      </c>
      <c r="M23" s="8">
        <v>125.0</v>
      </c>
      <c r="N23" s="8">
        <v>48.0</v>
      </c>
      <c r="O23" s="6" t="s">
        <v>24</v>
      </c>
      <c r="P23" s="6"/>
      <c r="Q23" s="6"/>
      <c r="R23" s="6"/>
      <c r="S23" s="6">
        <v>25.0</v>
      </c>
      <c r="T23" s="6"/>
      <c r="U23" s="14" t="s">
        <v>25</v>
      </c>
      <c r="V23" s="15" t="s">
        <v>43</v>
      </c>
    </row>
    <row r="24" ht="14.25" customHeight="1">
      <c r="A24" s="5" t="s">
        <v>63</v>
      </c>
      <c r="B24" s="6" t="s">
        <v>42</v>
      </c>
      <c r="C24" s="7"/>
      <c r="D24" s="8"/>
      <c r="E24" s="9"/>
      <c r="F24" s="10"/>
      <c r="G24" s="11">
        <f>IFERROR('Coleta de artigos'!$D24/'Coleta de artigos'!$K24,0)</f>
        <v>0</v>
      </c>
      <c r="H24" s="12" t="str">
        <f>'Coleta de artigos'!$E24/'Coleta de artigos'!$J24</f>
        <v>#DIV/0!</v>
      </c>
      <c r="I24" s="12" t="str">
        <f>'Coleta de artigos'!$H24/LARGE(H24:H115,1)</f>
        <v>#DIV/0!</v>
      </c>
      <c r="J24" s="13"/>
      <c r="K24" s="13"/>
      <c r="L24" s="8">
        <v>10.0</v>
      </c>
      <c r="M24" s="8">
        <v>130.0</v>
      </c>
      <c r="N24" s="8">
        <v>24.0</v>
      </c>
      <c r="O24" s="6" t="s">
        <v>62</v>
      </c>
      <c r="P24" s="6"/>
      <c r="Q24" s="6">
        <v>100.0</v>
      </c>
      <c r="R24" s="6"/>
      <c r="S24" s="6">
        <v>400.0</v>
      </c>
      <c r="T24" s="6">
        <v>1.0</v>
      </c>
      <c r="U24" s="14" t="s">
        <v>25</v>
      </c>
      <c r="V24" s="15" t="s">
        <v>64</v>
      </c>
    </row>
    <row r="25" ht="14.25" customHeight="1">
      <c r="A25" s="5" t="s">
        <v>65</v>
      </c>
      <c r="B25" s="6" t="s">
        <v>23</v>
      </c>
      <c r="C25" s="7"/>
      <c r="D25" s="8"/>
      <c r="E25" s="9"/>
      <c r="F25" s="10"/>
      <c r="G25" s="11">
        <f>IFERROR('Coleta de artigos'!$D25/'Coleta de artigos'!$K25,0)</f>
        <v>0</v>
      </c>
      <c r="H25" s="12" t="str">
        <f>'Coleta de artigos'!$E25/'Coleta de artigos'!$J25</f>
        <v>#DIV/0!</v>
      </c>
      <c r="I25" s="12" t="str">
        <f>'Coleta de artigos'!$H25/LARGE(H25:H116,1)</f>
        <v>#DIV/0!</v>
      </c>
      <c r="J25" s="13"/>
      <c r="K25" s="13"/>
      <c r="L25" s="8">
        <v>10.0</v>
      </c>
      <c r="M25" s="8">
        <v>130.0</v>
      </c>
      <c r="N25" s="8">
        <v>24.0</v>
      </c>
      <c r="O25" s="6" t="s">
        <v>28</v>
      </c>
      <c r="P25" s="6"/>
      <c r="Q25" s="6"/>
      <c r="R25" s="6"/>
      <c r="S25" s="6">
        <v>25.0</v>
      </c>
      <c r="T25" s="6"/>
      <c r="U25" s="14" t="s">
        <v>25</v>
      </c>
      <c r="V25" s="15">
        <v>7.0</v>
      </c>
    </row>
    <row r="26" ht="14.25" customHeight="1">
      <c r="A26" s="5" t="s">
        <v>66</v>
      </c>
      <c r="B26" s="6" t="s">
        <v>23</v>
      </c>
      <c r="C26" s="7"/>
      <c r="D26" s="8"/>
      <c r="E26" s="9"/>
      <c r="F26" s="10"/>
      <c r="G26" s="11">
        <f>IFERROR('Coleta de artigos'!$D26/'Coleta de artigos'!$K26,0)</f>
        <v>0</v>
      </c>
      <c r="H26" s="12" t="str">
        <f>'Coleta de artigos'!$E26/'Coleta de artigos'!$J26</f>
        <v>#DIV/0!</v>
      </c>
      <c r="I26" s="12" t="str">
        <f>'Coleta de artigos'!$H26/LARGE(H26:H116,1)</f>
        <v>#DIV/0!</v>
      </c>
      <c r="J26" s="13"/>
      <c r="K26" s="13"/>
      <c r="L26" s="8">
        <v>10.0</v>
      </c>
      <c r="M26" s="8">
        <v>150.0</v>
      </c>
      <c r="N26" s="8">
        <v>48.0</v>
      </c>
      <c r="O26" s="6" t="s">
        <v>24</v>
      </c>
      <c r="P26" s="6">
        <v>1.0</v>
      </c>
      <c r="Q26" s="6">
        <v>25.0</v>
      </c>
      <c r="R26" s="6"/>
      <c r="S26" s="6">
        <v>600.0</v>
      </c>
      <c r="T26" s="6">
        <v>1.0</v>
      </c>
      <c r="U26" s="14" t="s">
        <v>25</v>
      </c>
      <c r="V26" s="15">
        <v>20.0</v>
      </c>
    </row>
    <row r="27" ht="14.25" customHeight="1">
      <c r="A27" s="5" t="s">
        <v>67</v>
      </c>
      <c r="B27" s="6" t="s">
        <v>23</v>
      </c>
      <c r="C27" s="7"/>
      <c r="D27" s="8"/>
      <c r="E27" s="9"/>
      <c r="F27" s="10"/>
      <c r="G27" s="11">
        <f>IFERROR('Coleta de artigos'!$D27/'Coleta de artigos'!$K27,0)</f>
        <v>0</v>
      </c>
      <c r="H27" s="12" t="str">
        <f>'Coleta de artigos'!$E27/'Coleta de artigos'!$J27</f>
        <v>#DIV/0!</v>
      </c>
      <c r="I27" s="12" t="str">
        <f>'Coleta de artigos'!$H27/LARGE(H27:H117,1)</f>
        <v>#DIV/0!</v>
      </c>
      <c r="J27" s="13"/>
      <c r="K27" s="13"/>
      <c r="L27" s="8">
        <v>15.0</v>
      </c>
      <c r="M27" s="8">
        <v>150.0</v>
      </c>
      <c r="N27" s="8">
        <v>72.0</v>
      </c>
      <c r="O27" s="6" t="s">
        <v>52</v>
      </c>
      <c r="P27" s="6"/>
      <c r="Q27" s="6"/>
      <c r="R27" s="6"/>
      <c r="S27" s="6">
        <v>400.0</v>
      </c>
      <c r="T27" s="6">
        <v>5.0</v>
      </c>
      <c r="U27" s="14" t="s">
        <v>25</v>
      </c>
      <c r="V27" s="15">
        <v>10.0</v>
      </c>
    </row>
    <row r="28" ht="14.25" customHeight="1">
      <c r="A28" s="5" t="s">
        <v>68</v>
      </c>
      <c r="B28" s="6" t="s">
        <v>23</v>
      </c>
      <c r="C28" s="7"/>
      <c r="D28" s="8"/>
      <c r="E28" s="9"/>
      <c r="F28" s="10"/>
      <c r="G28" s="11">
        <f>IFERROR('Coleta de artigos'!$D28/'Coleta de artigos'!$K28,0)</f>
        <v>0</v>
      </c>
      <c r="H28" s="12" t="str">
        <f>'Coleta de artigos'!$E28/'Coleta de artigos'!$J28</f>
        <v>#DIV/0!</v>
      </c>
      <c r="I28" s="12" t="str">
        <f>'Coleta de artigos'!$H28/LARGE(H28:H118,1)</f>
        <v>#DIV/0!</v>
      </c>
      <c r="J28" s="13"/>
      <c r="K28" s="13"/>
      <c r="L28" s="8">
        <v>10.0</v>
      </c>
      <c r="M28" s="8">
        <v>150.0</v>
      </c>
      <c r="N28" s="8">
        <v>12.0</v>
      </c>
      <c r="O28" s="6" t="s">
        <v>62</v>
      </c>
      <c r="P28" s="6"/>
      <c r="Q28" s="6"/>
      <c r="R28" s="6"/>
      <c r="S28" s="6">
        <v>25.0</v>
      </c>
      <c r="T28" s="6"/>
      <c r="U28" s="14" t="s">
        <v>25</v>
      </c>
      <c r="V28" s="15">
        <v>10.0</v>
      </c>
    </row>
    <row r="29" ht="14.25" customHeight="1">
      <c r="A29" s="5" t="s">
        <v>56</v>
      </c>
      <c r="B29" s="6" t="s">
        <v>23</v>
      </c>
      <c r="C29" s="7"/>
      <c r="D29" s="8"/>
      <c r="E29" s="9"/>
      <c r="F29" s="10"/>
      <c r="G29" s="11">
        <f>IFERROR('Coleta de artigos'!$D29/'Coleta de artigos'!$K29,0)</f>
        <v>0</v>
      </c>
      <c r="H29" s="12" t="str">
        <f>'Coleta de artigos'!$E29/'Coleta de artigos'!$J29</f>
        <v>#DIV/0!</v>
      </c>
      <c r="I29" s="12" t="str">
        <f>'Coleta de artigos'!$H29/LARGE(H29:H118,1)</f>
        <v>#DIV/0!</v>
      </c>
      <c r="J29" s="13"/>
      <c r="K29" s="13"/>
      <c r="L29" s="8">
        <v>10.0</v>
      </c>
      <c r="M29" s="8">
        <v>150.0</v>
      </c>
      <c r="N29" s="8">
        <v>48.0</v>
      </c>
      <c r="O29" s="6" t="s">
        <v>24</v>
      </c>
      <c r="P29" s="6"/>
      <c r="Q29" s="6"/>
      <c r="R29" s="6"/>
      <c r="S29" s="6">
        <v>25.0</v>
      </c>
      <c r="T29" s="6"/>
      <c r="U29" s="14" t="s">
        <v>25</v>
      </c>
      <c r="V29" s="15" t="s">
        <v>69</v>
      </c>
    </row>
    <row r="30" ht="14.25" customHeight="1">
      <c r="A30" s="5" t="s">
        <v>54</v>
      </c>
      <c r="B30" s="6" t="s">
        <v>23</v>
      </c>
      <c r="C30" s="7"/>
      <c r="D30" s="8"/>
      <c r="E30" s="9"/>
      <c r="F30" s="10"/>
      <c r="G30" s="11">
        <f>IFERROR('Coleta de artigos'!$D30/'Coleta de artigos'!$K30,0)</f>
        <v>0</v>
      </c>
      <c r="H30" s="12" t="str">
        <f>'Coleta de artigos'!$E30/'Coleta de artigos'!$J30</f>
        <v>#DIV/0!</v>
      </c>
      <c r="I30" s="12" t="str">
        <f>'Coleta de artigos'!$H30/LARGE(H30:H119,1)</f>
        <v>#DIV/0!</v>
      </c>
      <c r="J30" s="13"/>
      <c r="K30" s="13"/>
      <c r="L30" s="8">
        <v>9.0</v>
      </c>
      <c r="M30" s="8">
        <v>160.0</v>
      </c>
      <c r="N30" s="8">
        <v>20.0</v>
      </c>
      <c r="O30" s="6" t="s">
        <v>28</v>
      </c>
      <c r="P30" s="6"/>
      <c r="Q30" s="6"/>
      <c r="R30" s="6"/>
      <c r="S30" s="6">
        <v>25.0</v>
      </c>
      <c r="T30" s="6"/>
      <c r="U30" s="14" t="s">
        <v>25</v>
      </c>
      <c r="V30" s="15" t="s">
        <v>70</v>
      </c>
    </row>
    <row r="31" ht="14.25" customHeight="1">
      <c r="A31" s="5" t="s">
        <v>71</v>
      </c>
      <c r="B31" s="6">
        <v>100.0</v>
      </c>
      <c r="C31" s="17">
        <v>80.0</v>
      </c>
      <c r="D31" s="8"/>
      <c r="E31" s="9"/>
      <c r="F31" s="10"/>
      <c r="G31" s="11">
        <f>IFERROR('Coleta de artigos'!$D31/'Coleta de artigos'!$K31,0)</f>
        <v>0</v>
      </c>
      <c r="H31" s="12" t="str">
        <f>'Coleta de artigos'!$E31/'Coleta de artigos'!$J31</f>
        <v>#DIV/0!</v>
      </c>
      <c r="I31" s="12" t="str">
        <f>'Coleta de artigos'!$H31/LARGE(H31:H120,1)</f>
        <v>#DIV/0!</v>
      </c>
      <c r="J31" s="13"/>
      <c r="K31" s="13"/>
      <c r="L31" s="8">
        <v>10.0</v>
      </c>
      <c r="M31" s="8">
        <v>150.0</v>
      </c>
      <c r="N31" s="8">
        <v>48.0</v>
      </c>
      <c r="O31" s="6" t="s">
        <v>28</v>
      </c>
      <c r="P31" s="6"/>
      <c r="Q31" s="6">
        <v>80.0</v>
      </c>
      <c r="R31" s="6"/>
      <c r="S31" s="6">
        <v>600.0</v>
      </c>
      <c r="T31" s="6">
        <v>0.5</v>
      </c>
      <c r="U31" s="14" t="s">
        <v>30</v>
      </c>
      <c r="V31" s="15">
        <v>10.0</v>
      </c>
    </row>
    <row r="32" ht="14.25" customHeight="1">
      <c r="A32" s="5" t="s">
        <v>72</v>
      </c>
      <c r="B32" s="6" t="s">
        <v>23</v>
      </c>
      <c r="C32" s="7"/>
      <c r="D32" s="8"/>
      <c r="E32" s="9"/>
      <c r="F32" s="10"/>
      <c r="G32" s="11">
        <f>IFERROR('Coleta de artigos'!$D32/'Coleta de artigos'!$K32,0)</f>
        <v>0</v>
      </c>
      <c r="H32" s="12" t="str">
        <f>'Coleta de artigos'!$E32/'Coleta de artigos'!$J32</f>
        <v>#DIV/0!</v>
      </c>
      <c r="I32" s="12" t="str">
        <f>'Coleta de artigos'!$H32/LARGE(H32:H121,1)</f>
        <v>#DIV/0!</v>
      </c>
      <c r="J32" s="13"/>
      <c r="K32" s="13"/>
      <c r="L32" s="8">
        <v>10.0</v>
      </c>
      <c r="M32" s="8">
        <v>150.0</v>
      </c>
      <c r="N32" s="8">
        <v>72.0</v>
      </c>
      <c r="O32" s="6" t="s">
        <v>52</v>
      </c>
      <c r="P32" s="6">
        <v>2.0</v>
      </c>
      <c r="Q32" s="6">
        <v>80.0</v>
      </c>
      <c r="R32" s="6">
        <v>15.0</v>
      </c>
      <c r="S32" s="6">
        <v>25.0</v>
      </c>
      <c r="T32" s="6"/>
      <c r="U32" s="14" t="s">
        <v>30</v>
      </c>
      <c r="V32" s="15" t="s">
        <v>53</v>
      </c>
    </row>
    <row r="33" ht="14.25" customHeight="1">
      <c r="A33" s="5" t="s">
        <v>72</v>
      </c>
      <c r="B33" s="6" t="s">
        <v>23</v>
      </c>
      <c r="C33" s="7"/>
      <c r="D33" s="8"/>
      <c r="E33" s="9"/>
      <c r="F33" s="10"/>
      <c r="G33" s="11">
        <f>IFERROR('Coleta de artigos'!$D33/'Coleta de artigos'!$K33,0)</f>
        <v>0</v>
      </c>
      <c r="H33" s="12" t="str">
        <f>'Coleta de artigos'!$E33/'Coleta de artigos'!$J33</f>
        <v>#DIV/0!</v>
      </c>
      <c r="I33" s="12" t="str">
        <f>'Coleta de artigos'!$H33/LARGE(H33:H122,1)</f>
        <v>#DIV/0!</v>
      </c>
      <c r="J33" s="13"/>
      <c r="K33" s="13"/>
      <c r="L33" s="8">
        <v>15.0</v>
      </c>
      <c r="M33" s="8">
        <v>170.0</v>
      </c>
      <c r="N33" s="8">
        <v>72.0</v>
      </c>
      <c r="O33" s="6" t="s">
        <v>52</v>
      </c>
      <c r="P33" s="6">
        <v>2.0</v>
      </c>
      <c r="Q33" s="6">
        <v>80.0</v>
      </c>
      <c r="R33" s="6">
        <v>15.0</v>
      </c>
      <c r="S33" s="6">
        <v>400.0</v>
      </c>
      <c r="T33" s="6">
        <v>4.0</v>
      </c>
      <c r="U33" s="14" t="s">
        <v>30</v>
      </c>
      <c r="V33" s="15" t="s">
        <v>53</v>
      </c>
    </row>
    <row r="34" ht="14.25" customHeight="1">
      <c r="A34" s="5" t="s">
        <v>67</v>
      </c>
      <c r="B34" s="6" t="s">
        <v>23</v>
      </c>
      <c r="C34" s="7"/>
      <c r="D34" s="8"/>
      <c r="E34" s="9"/>
      <c r="F34" s="10"/>
      <c r="G34" s="11">
        <f>IFERROR('Coleta de artigos'!$D34/'Coleta de artigos'!$K34,0)</f>
        <v>0</v>
      </c>
      <c r="H34" s="12" t="str">
        <f>'Coleta de artigos'!$E34/'Coleta de artigos'!$J34</f>
        <v>#DIV/0!</v>
      </c>
      <c r="I34" s="12" t="str">
        <f>'Coleta de artigos'!$H34/LARGE(H34:H123,1)</f>
        <v>#DIV/0!</v>
      </c>
      <c r="J34" s="13"/>
      <c r="K34" s="13"/>
      <c r="L34" s="8">
        <v>15.0</v>
      </c>
      <c r="M34" s="8">
        <v>170.0</v>
      </c>
      <c r="N34" s="8">
        <v>72.0</v>
      </c>
      <c r="O34" s="6" t="s">
        <v>52</v>
      </c>
      <c r="P34" s="6"/>
      <c r="Q34" s="6"/>
      <c r="R34" s="6"/>
      <c r="S34" s="6">
        <v>400.0</v>
      </c>
      <c r="T34" s="6">
        <v>4.0</v>
      </c>
      <c r="U34" s="14" t="s">
        <v>30</v>
      </c>
      <c r="V34" s="15" t="s">
        <v>53</v>
      </c>
    </row>
    <row r="35" ht="14.25" customHeight="1">
      <c r="A35" s="5" t="s">
        <v>73</v>
      </c>
      <c r="B35" s="6" t="s">
        <v>23</v>
      </c>
      <c r="C35" s="7"/>
      <c r="D35" s="8"/>
      <c r="E35" s="9"/>
      <c r="F35" s="10"/>
      <c r="G35" s="11">
        <f>IFERROR('Coleta de artigos'!$D35/'Coleta de artigos'!$K35,0)</f>
        <v>0</v>
      </c>
      <c r="H35" s="12" t="str">
        <f>'Coleta de artigos'!$E35/'Coleta de artigos'!$J35</f>
        <v>#DIV/0!</v>
      </c>
      <c r="I35" s="12" t="str">
        <f>'Coleta de artigos'!$H35/LARGE(H35:H124,1)</f>
        <v>#DIV/0!</v>
      </c>
      <c r="J35" s="13"/>
      <c r="K35" s="13"/>
      <c r="L35" s="8">
        <v>10.0</v>
      </c>
      <c r="M35" s="8">
        <v>180.0</v>
      </c>
      <c r="N35" s="8">
        <v>48.0</v>
      </c>
      <c r="O35" s="6" t="s">
        <v>24</v>
      </c>
      <c r="P35" s="6"/>
      <c r="Q35" s="6">
        <v>110.0</v>
      </c>
      <c r="R35" s="6">
        <v>12.0</v>
      </c>
      <c r="S35" s="6">
        <v>800.0</v>
      </c>
      <c r="T35" s="6">
        <v>3.0</v>
      </c>
      <c r="U35" s="14" t="s">
        <v>30</v>
      </c>
      <c r="V35" s="15" t="s">
        <v>74</v>
      </c>
    </row>
    <row r="36" ht="14.25" customHeight="1">
      <c r="A36" s="5" t="s">
        <v>75</v>
      </c>
      <c r="B36" s="6" t="s">
        <v>23</v>
      </c>
      <c r="C36" s="7"/>
      <c r="D36" s="8"/>
      <c r="E36" s="9"/>
      <c r="F36" s="10"/>
      <c r="G36" s="11">
        <f>IFERROR('Coleta de artigos'!$D36/'Coleta de artigos'!$K36,0)</f>
        <v>0</v>
      </c>
      <c r="H36" s="12" t="str">
        <f>'Coleta de artigos'!$E36/'Coleta de artigos'!$J36</f>
        <v>#DIV/0!</v>
      </c>
      <c r="I36" s="12" t="str">
        <f>'Coleta de artigos'!$H36/LARGE(H36:H125,1)</f>
        <v>#DIV/0!</v>
      </c>
      <c r="J36" s="13"/>
      <c r="K36" s="13"/>
      <c r="L36" s="8">
        <v>10.0</v>
      </c>
      <c r="M36" s="8">
        <v>180.0</v>
      </c>
      <c r="N36" s="8">
        <v>48.0</v>
      </c>
      <c r="O36" s="6" t="s">
        <v>24</v>
      </c>
      <c r="P36" s="6"/>
      <c r="Q36" s="6"/>
      <c r="R36" s="6"/>
      <c r="S36" s="6">
        <v>600.0</v>
      </c>
      <c r="T36" s="6"/>
      <c r="U36" s="14" t="s">
        <v>30</v>
      </c>
      <c r="V36" s="15" t="s">
        <v>76</v>
      </c>
    </row>
    <row r="37" ht="14.25" customHeight="1">
      <c r="A37" s="5" t="s">
        <v>77</v>
      </c>
      <c r="B37" s="6" t="s">
        <v>23</v>
      </c>
      <c r="C37" s="7"/>
      <c r="D37" s="8">
        <v>0.25</v>
      </c>
      <c r="E37" s="9">
        <f>'Coleta de artigos'!$D37/79.866</f>
        <v>0.003130243157</v>
      </c>
      <c r="F37" s="10">
        <f>'Coleta de artigos'!$E37/('Coleta de artigos'!$E37+'Coleta de artigos'!$J37)*100</f>
        <v>0.0001043413297</v>
      </c>
      <c r="G37" s="11">
        <f>IFERROR('Coleta de artigos'!$D37/'Coleta de artigos'!$K37,0)</f>
        <v>0.0008333333333</v>
      </c>
      <c r="H37" s="12">
        <f>'Coleta de artigos'!$E37/'Coleta de artigos'!$J37</f>
        <v>0.000001043414386</v>
      </c>
      <c r="I37" s="12" t="str">
        <f>'Coleta de artigos'!$H37/LARGE(H37:H126,1)</f>
        <v>#ERROR!</v>
      </c>
      <c r="J37" s="13">
        <f>'Coleta de artigos'!$K37*'Coleta de artigos'!$L37</f>
        <v>3000</v>
      </c>
      <c r="K37" s="13">
        <v>300.0</v>
      </c>
      <c r="L37" s="8">
        <v>10.0</v>
      </c>
      <c r="M37" s="8">
        <v>140.0</v>
      </c>
      <c r="N37" s="8">
        <v>22.0</v>
      </c>
      <c r="O37" s="6" t="s">
        <v>78</v>
      </c>
      <c r="P37" s="6">
        <v>0.5</v>
      </c>
      <c r="Q37" s="6">
        <v>50.0</v>
      </c>
      <c r="R37" s="6"/>
      <c r="S37" s="6">
        <v>25.0</v>
      </c>
      <c r="T37" s="6"/>
      <c r="U37" s="14" t="s">
        <v>25</v>
      </c>
      <c r="V37" s="15">
        <v>10.0</v>
      </c>
    </row>
    <row r="38" ht="14.25" customHeight="1">
      <c r="A38" s="5" t="s">
        <v>79</v>
      </c>
      <c r="B38" s="6" t="s">
        <v>23</v>
      </c>
      <c r="C38" s="7"/>
      <c r="D38" s="8">
        <v>0.1</v>
      </c>
      <c r="E38" s="9">
        <f>'Coleta de artigos'!$D38/79.866</f>
        <v>0.001252097263</v>
      </c>
      <c r="F38" s="10">
        <f>'Coleta de artigos'!$E38/('Coleta de artigos'!$E38+'Coleta de artigos'!$J38)*100</f>
        <v>0.0003577407953</v>
      </c>
      <c r="G38" s="11">
        <f>IFERROR('Coleta de artigos'!$D38/'Coleta de artigos'!$K38,0)</f>
        <v>0.002857142857</v>
      </c>
      <c r="H38" s="12">
        <f>'Coleta de artigos'!$E38/'Coleta de artigos'!$J38</f>
        <v>0.000003577420751</v>
      </c>
      <c r="I38" s="12" t="str">
        <f>'Coleta de artigos'!$H38/LARGE(H38:H127,1)</f>
        <v>#ERROR!</v>
      </c>
      <c r="J38" s="13">
        <f>'Coleta de artigos'!$K38*'Coleta de artigos'!$L38</f>
        <v>350</v>
      </c>
      <c r="K38" s="13">
        <v>35.0</v>
      </c>
      <c r="L38" s="8">
        <v>10.0</v>
      </c>
      <c r="M38" s="8">
        <v>110.0</v>
      </c>
      <c r="N38" s="8">
        <v>20.0</v>
      </c>
      <c r="O38" s="6" t="s">
        <v>24</v>
      </c>
      <c r="P38" s="6"/>
      <c r="Q38" s="6"/>
      <c r="R38" s="6"/>
      <c r="S38" s="6">
        <v>25.0</v>
      </c>
      <c r="T38" s="6"/>
      <c r="U38" s="14" t="s">
        <v>25</v>
      </c>
      <c r="V38" s="15">
        <v>20.0</v>
      </c>
    </row>
    <row r="39" ht="14.25" customHeight="1">
      <c r="A39" s="5" t="s">
        <v>80</v>
      </c>
      <c r="B39" s="6" t="s">
        <v>23</v>
      </c>
      <c r="C39" s="7"/>
      <c r="D39" s="8">
        <v>0.15</v>
      </c>
      <c r="E39" s="9">
        <f>'Coleta de artigos'!$D39/79.866</f>
        <v>0.001878145894</v>
      </c>
      <c r="F39" s="10">
        <f>'Coleta de artigos'!$E39/('Coleta de artigos'!$E39+'Coleta de artigos'!$J39)*100</f>
        <v>0.0003756277679</v>
      </c>
      <c r="G39" s="11">
        <f>IFERROR('Coleta de artigos'!$D39/'Coleta de artigos'!$K39,0)</f>
        <v>0.003</v>
      </c>
      <c r="H39" s="12">
        <f>'Coleta de artigos'!$E39/'Coleta de artigos'!$J39</f>
        <v>0.000003756291789</v>
      </c>
      <c r="I39" s="12" t="str">
        <f>'Coleta de artigos'!$H39/LARGE(H39:H128,1)</f>
        <v>#ERROR!</v>
      </c>
      <c r="J39" s="13">
        <f>'Coleta de artigos'!$K39*'Coleta de artigos'!$L39</f>
        <v>500</v>
      </c>
      <c r="K39" s="13">
        <v>50.0</v>
      </c>
      <c r="L39" s="8">
        <v>10.0</v>
      </c>
      <c r="M39" s="8">
        <v>110.0</v>
      </c>
      <c r="N39" s="8">
        <v>72.0</v>
      </c>
      <c r="O39" s="6" t="s">
        <v>24</v>
      </c>
      <c r="P39" s="6"/>
      <c r="Q39" s="6">
        <v>60.0</v>
      </c>
      <c r="R39" s="6">
        <v>12.0</v>
      </c>
      <c r="S39" s="6">
        <v>25.0</v>
      </c>
      <c r="T39" s="6"/>
      <c r="U39" s="14" t="s">
        <v>25</v>
      </c>
      <c r="V39" s="15" t="s">
        <v>81</v>
      </c>
    </row>
    <row r="40" ht="14.25" customHeight="1">
      <c r="A40" s="5" t="s">
        <v>82</v>
      </c>
      <c r="B40" s="6">
        <v>23.0</v>
      </c>
      <c r="C40" s="17">
        <v>80.0</v>
      </c>
      <c r="D40" s="8">
        <v>0.05</v>
      </c>
      <c r="E40" s="9">
        <f>'Coleta de artigos'!$D40/79.866</f>
        <v>0.0006260486315</v>
      </c>
      <c r="F40" s="10">
        <f>'Coleta de artigos'!$E40/('Coleta de artigos'!$E40+'Coleta de artigos'!$J40)*100</f>
        <v>0.0003912788637</v>
      </c>
      <c r="G40" s="11">
        <f>IFERROR('Coleta de artigos'!$D40/'Coleta de artigos'!$K40,0)</f>
        <v>0.003125</v>
      </c>
      <c r="H40" s="12">
        <f>'Coleta de artigos'!$E40/'Coleta de artigos'!$J40</f>
        <v>0.000003912803947</v>
      </c>
      <c r="I40" s="12" t="str">
        <f>'Coleta de artigos'!$H40/LARGE(I129:I133,1)</f>
        <v>#NUM!</v>
      </c>
      <c r="J40" s="13">
        <f>'Coleta de artigos'!$K40*'Coleta de artigos'!$L40</f>
        <v>160</v>
      </c>
      <c r="K40" s="13">
        <v>16.0</v>
      </c>
      <c r="L40" s="8">
        <v>10.0</v>
      </c>
      <c r="M40" s="8">
        <v>120.0</v>
      </c>
      <c r="N40" s="8">
        <v>24.0</v>
      </c>
      <c r="O40" s="6" t="s">
        <v>24</v>
      </c>
      <c r="P40" s="6"/>
      <c r="Q40" s="6">
        <v>120.0</v>
      </c>
      <c r="R40" s="6">
        <v>12.0</v>
      </c>
      <c r="S40" s="6">
        <v>25.0</v>
      </c>
      <c r="T40" s="6"/>
      <c r="U40" s="14" t="s">
        <v>25</v>
      </c>
      <c r="V40" s="15">
        <v>10.0</v>
      </c>
    </row>
    <row r="41" ht="14.25" customHeight="1">
      <c r="A41" s="5" t="s">
        <v>83</v>
      </c>
      <c r="B41" s="6">
        <v>23.0</v>
      </c>
      <c r="C41" s="17">
        <v>80.0</v>
      </c>
      <c r="D41" s="8">
        <v>0.05</v>
      </c>
      <c r="E41" s="9">
        <f>'Coleta de artigos'!$D41/79.866</f>
        <v>0.0006260486315</v>
      </c>
      <c r="F41" s="10">
        <f>'Coleta de artigos'!$E41/('Coleta de artigos'!$E41+'Coleta de artigos'!$J41)*100</f>
        <v>0.0003912788637</v>
      </c>
      <c r="G41" s="11">
        <f>IFERROR('Coleta de artigos'!$D41/'Coleta de artigos'!$K41,0)</f>
        <v>0.003125</v>
      </c>
      <c r="H41" s="12">
        <f>'Coleta de artigos'!$E41/'Coleta de artigos'!$J41</f>
        <v>0.000003912803947</v>
      </c>
      <c r="I41" s="12" t="str">
        <f>'Coleta de artigos'!$H41/LARGE(I129:I134,1)</f>
        <v>#NUM!</v>
      </c>
      <c r="J41" s="13">
        <f>'Coleta de artigos'!$K41*'Coleta de artigos'!$L41</f>
        <v>160</v>
      </c>
      <c r="K41" s="13">
        <v>16.0</v>
      </c>
      <c r="L41" s="8">
        <v>10.0</v>
      </c>
      <c r="M41" s="8">
        <v>180.0</v>
      </c>
      <c r="N41" s="8">
        <v>24.0</v>
      </c>
      <c r="O41" s="6" t="s">
        <v>24</v>
      </c>
      <c r="P41" s="6"/>
      <c r="Q41" s="6">
        <v>120.0</v>
      </c>
      <c r="R41" s="6">
        <v>12.0</v>
      </c>
      <c r="S41" s="6">
        <v>25.0</v>
      </c>
      <c r="T41" s="6"/>
      <c r="U41" s="14" t="s">
        <v>30</v>
      </c>
      <c r="V41" s="15" t="s">
        <v>84</v>
      </c>
    </row>
    <row r="42" ht="14.25" customHeight="1">
      <c r="A42" s="5" t="s">
        <v>85</v>
      </c>
      <c r="B42" s="6" t="s">
        <v>23</v>
      </c>
      <c r="C42" s="7"/>
      <c r="D42" s="8">
        <v>0.1</v>
      </c>
      <c r="E42" s="9">
        <f>'Coleta de artigos'!$D42/79.866</f>
        <v>0.001252097263</v>
      </c>
      <c r="F42" s="10">
        <f>'Coleta de artigos'!$E42/('Coleta de artigos'!$E42+'Coleta de artigos'!$J42)*100</f>
        <v>0.0006260447121</v>
      </c>
      <c r="G42" s="11">
        <f>IFERROR('Coleta de artigos'!$D42/'Coleta de artigos'!$K42,0)</f>
        <v>0.005</v>
      </c>
      <c r="H42" s="12">
        <f>'Coleta de artigos'!$E42/'Coleta de artigos'!$J42</f>
        <v>0.000006260486315</v>
      </c>
      <c r="I42" s="12" t="str">
        <f>'Coleta de artigos'!$H42/LARGE(I129:I135,1)</f>
        <v>#NUM!</v>
      </c>
      <c r="J42" s="13">
        <f>'Coleta de artigos'!$K42*'Coleta de artigos'!$L42</f>
        <v>200</v>
      </c>
      <c r="K42" s="13">
        <v>20.0</v>
      </c>
      <c r="L42" s="8">
        <v>10.0</v>
      </c>
      <c r="M42" s="8">
        <v>200.0</v>
      </c>
      <c r="N42" s="8">
        <v>48.0</v>
      </c>
      <c r="O42" s="6" t="s">
        <v>24</v>
      </c>
      <c r="P42" s="6">
        <v>24.0</v>
      </c>
      <c r="Q42" s="6"/>
      <c r="R42" s="6"/>
      <c r="S42" s="6">
        <v>500.0</v>
      </c>
      <c r="T42" s="6">
        <v>1.0</v>
      </c>
      <c r="U42" s="14" t="s">
        <v>33</v>
      </c>
      <c r="V42" s="15" t="s">
        <v>86</v>
      </c>
    </row>
    <row r="43" ht="14.25" customHeight="1">
      <c r="A43" s="5" t="s">
        <v>87</v>
      </c>
      <c r="B43" s="6" t="s">
        <v>23</v>
      </c>
      <c r="C43" s="7"/>
      <c r="D43" s="8">
        <v>0.1</v>
      </c>
      <c r="E43" s="9">
        <f>'Coleta de artigos'!$D43/79.866</f>
        <v>0.001252097263</v>
      </c>
      <c r="F43" s="10">
        <f>'Coleta de artigos'!$E43/('Coleta de artigos'!$E43+'Coleta de artigos'!$J43)*100</f>
        <v>0.0006260447121</v>
      </c>
      <c r="G43" s="11">
        <f>IFERROR('Coleta de artigos'!$D43/'Coleta de artigos'!$K43,0)</f>
        <v>0.005</v>
      </c>
      <c r="H43" s="12">
        <f>'Coleta de artigos'!$E43/'Coleta de artigos'!$J43</f>
        <v>0.000006260486315</v>
      </c>
      <c r="I43" s="12" t="str">
        <f>'Coleta de artigos'!$H43/LARGE(I129:I136,1)</f>
        <v>#NUM!</v>
      </c>
      <c r="J43" s="13">
        <f>'Coleta de artigos'!$K43*'Coleta de artigos'!$L43</f>
        <v>200</v>
      </c>
      <c r="K43" s="13">
        <v>20.0</v>
      </c>
      <c r="L43" s="8">
        <v>10.0</v>
      </c>
      <c r="M43" s="8">
        <v>200.0</v>
      </c>
      <c r="N43" s="8">
        <v>48.0</v>
      </c>
      <c r="O43" s="6" t="s">
        <v>24</v>
      </c>
      <c r="P43" s="6">
        <v>24.0</v>
      </c>
      <c r="Q43" s="6"/>
      <c r="R43" s="6"/>
      <c r="S43" s="6">
        <v>700.0</v>
      </c>
      <c r="T43" s="6">
        <v>8.0</v>
      </c>
      <c r="U43" s="14" t="s">
        <v>30</v>
      </c>
      <c r="V43" s="15" t="s">
        <v>88</v>
      </c>
    </row>
    <row r="44" ht="14.25" customHeight="1">
      <c r="A44" s="5" t="s">
        <v>89</v>
      </c>
      <c r="B44" s="6" t="s">
        <v>23</v>
      </c>
      <c r="C44" s="7"/>
      <c r="D44" s="8">
        <v>0.3</v>
      </c>
      <c r="E44" s="9">
        <f>'Coleta de artigos'!$D44/79.866</f>
        <v>0.003756291789</v>
      </c>
      <c r="F44" s="10">
        <f>'Coleta de artigos'!$E44/('Coleta de artigos'!$E44+'Coleta de artigos'!$J44)*100</f>
        <v>0.0007512527139</v>
      </c>
      <c r="G44" s="11">
        <f>IFERROR('Coleta de artigos'!$D44/'Coleta de artigos'!$K44,0)</f>
        <v>0.006</v>
      </c>
      <c r="H44" s="12">
        <f>'Coleta de artigos'!$E44/'Coleta de artigos'!$J44</f>
        <v>0.000007512583577</v>
      </c>
      <c r="I44" s="12" t="str">
        <f>'Coleta de artigos'!$H44/LARGE(I129:I137,1)</f>
        <v>#NUM!</v>
      </c>
      <c r="J44" s="13">
        <f>'Coleta de artigos'!$K44*'Coleta de artigos'!$L44</f>
        <v>500</v>
      </c>
      <c r="K44" s="13">
        <v>50.0</v>
      </c>
      <c r="L44" s="8">
        <v>10.0</v>
      </c>
      <c r="M44" s="8">
        <v>150.0</v>
      </c>
      <c r="N44" s="8">
        <v>72.0</v>
      </c>
      <c r="O44" s="6" t="s">
        <v>24</v>
      </c>
      <c r="P44" s="6"/>
      <c r="Q44" s="6"/>
      <c r="R44" s="6"/>
      <c r="S44" s="6">
        <v>700.0</v>
      </c>
      <c r="T44" s="6">
        <v>4.0</v>
      </c>
      <c r="U44" s="14" t="s">
        <v>30</v>
      </c>
      <c r="V44" s="15" t="s">
        <v>86</v>
      </c>
    </row>
    <row r="45" ht="14.25" customHeight="1">
      <c r="A45" s="5" t="s">
        <v>90</v>
      </c>
      <c r="B45" s="6" t="s">
        <v>23</v>
      </c>
      <c r="C45" s="7"/>
      <c r="D45" s="8">
        <v>0.3</v>
      </c>
      <c r="E45" s="9">
        <f>'Coleta de artigos'!$D45/79.866</f>
        <v>0.003756291789</v>
      </c>
      <c r="F45" s="10">
        <f>'Coleta de artigos'!$E45/('Coleta de artigos'!$E45+'Coleta de artigos'!$J45)*100</f>
        <v>0.0007512527139</v>
      </c>
      <c r="G45" s="11">
        <f>IFERROR('Coleta de artigos'!$D45/'Coleta de artigos'!$K45,0)</f>
        <v>0.006</v>
      </c>
      <c r="H45" s="12">
        <f>'Coleta de artigos'!$E45/'Coleta de artigos'!$J45</f>
        <v>0.000007512583577</v>
      </c>
      <c r="I45" s="12" t="str">
        <f>'Coleta de artigos'!$H45/LARGE(I129:I138,1)</f>
        <v>#NUM!</v>
      </c>
      <c r="J45" s="13">
        <f>'Coleta de artigos'!$K45*'Coleta de artigos'!$L45</f>
        <v>500</v>
      </c>
      <c r="K45" s="13">
        <v>50.0</v>
      </c>
      <c r="L45" s="8">
        <v>10.0</v>
      </c>
      <c r="M45" s="8">
        <v>150.0</v>
      </c>
      <c r="N45" s="8">
        <v>50.0</v>
      </c>
      <c r="O45" s="6" t="s">
        <v>47</v>
      </c>
      <c r="P45" s="6"/>
      <c r="Q45" s="6"/>
      <c r="R45" s="6"/>
      <c r="S45" s="6">
        <v>25.0</v>
      </c>
      <c r="T45" s="6"/>
      <c r="U45" s="14" t="s">
        <v>30</v>
      </c>
      <c r="V45" s="15" t="s">
        <v>86</v>
      </c>
    </row>
    <row r="46" ht="14.25" customHeight="1">
      <c r="A46" s="5" t="s">
        <v>91</v>
      </c>
      <c r="B46" s="6" t="s">
        <v>23</v>
      </c>
      <c r="C46" s="7"/>
      <c r="D46" s="8">
        <v>0.5</v>
      </c>
      <c r="E46" s="9">
        <f>'Coleta de artigos'!$D46/79.866</f>
        <v>0.006260486315</v>
      </c>
      <c r="F46" s="10">
        <f>'Coleta de artigos'!$E46/('Coleta de artigos'!$E46+'Coleta de artigos'!$J46)*100</f>
        <v>0.0008943471892</v>
      </c>
      <c r="G46" s="11">
        <f>IFERROR('Coleta de artigos'!$D46/'Coleta de artigos'!$K46,0)</f>
        <v>0.007142857143</v>
      </c>
      <c r="H46" s="12">
        <f>'Coleta de artigos'!$E46/'Coleta de artigos'!$J46</f>
        <v>0.000008943551878</v>
      </c>
      <c r="I46" s="12" t="str">
        <f>'Coleta de artigos'!$H46/LARGE(I129:I139,1)</f>
        <v>#NUM!</v>
      </c>
      <c r="J46" s="13">
        <f>'Coleta de artigos'!$K46*'Coleta de artigos'!$L46</f>
        <v>700</v>
      </c>
      <c r="K46" s="13">
        <v>70.0</v>
      </c>
      <c r="L46" s="8">
        <v>10.0</v>
      </c>
      <c r="M46" s="8">
        <v>200.0</v>
      </c>
      <c r="N46" s="8">
        <v>72.0</v>
      </c>
      <c r="O46" s="6" t="s">
        <v>24</v>
      </c>
      <c r="P46" s="6">
        <v>24.0</v>
      </c>
      <c r="Q46" s="6"/>
      <c r="R46" s="6"/>
      <c r="S46" s="6">
        <v>25.0</v>
      </c>
      <c r="T46" s="6"/>
      <c r="U46" s="14" t="s">
        <v>33</v>
      </c>
      <c r="V46" s="15" t="s">
        <v>92</v>
      </c>
    </row>
    <row r="47" ht="14.25" customHeight="1">
      <c r="A47" s="5" t="s">
        <v>93</v>
      </c>
      <c r="B47" s="6">
        <v>100.0</v>
      </c>
      <c r="C47" s="17">
        <v>65.0</v>
      </c>
      <c r="D47" s="8">
        <v>0.5</v>
      </c>
      <c r="E47" s="9">
        <f>'Coleta de artigos'!$D47/79.866</f>
        <v>0.006260486315</v>
      </c>
      <c r="F47" s="10">
        <f>'Coleta de artigos'!$E47/('Coleta de artigos'!$E47+'Coleta de artigos'!$J47)*100</f>
        <v>0.001252081586</v>
      </c>
      <c r="G47" s="11">
        <f>IFERROR('Coleta de artigos'!$D47/'Coleta de artigos'!$K47,0)</f>
        <v>0.01</v>
      </c>
      <c r="H47" s="12">
        <f>'Coleta de artigos'!$E47/'Coleta de artigos'!$J47</f>
        <v>0.00001252097263</v>
      </c>
      <c r="I47" s="12" t="str">
        <f>'Coleta de artigos'!$H47/LARGE(I129:I140,1)</f>
        <v>#NUM!</v>
      </c>
      <c r="J47" s="13">
        <f>'Coleta de artigos'!$K47*'Coleta de artigos'!$L47</f>
        <v>500</v>
      </c>
      <c r="K47" s="13">
        <v>50.0</v>
      </c>
      <c r="L47" s="8">
        <v>10.0</v>
      </c>
      <c r="M47" s="8">
        <v>150.0</v>
      </c>
      <c r="N47" s="8">
        <v>6.0</v>
      </c>
      <c r="O47" s="6" t="s">
        <v>24</v>
      </c>
      <c r="P47" s="6"/>
      <c r="Q47" s="6">
        <v>40.0</v>
      </c>
      <c r="R47" s="6">
        <v>24.0</v>
      </c>
      <c r="S47" s="6">
        <v>25.0</v>
      </c>
      <c r="T47" s="6"/>
      <c r="U47" s="14" t="s">
        <v>30</v>
      </c>
      <c r="V47" s="15" t="s">
        <v>94</v>
      </c>
    </row>
    <row r="48" ht="14.25" customHeight="1">
      <c r="A48" s="5" t="s">
        <v>95</v>
      </c>
      <c r="B48" s="6">
        <v>100.0</v>
      </c>
      <c r="C48" s="17">
        <v>80.0</v>
      </c>
      <c r="D48" s="8">
        <v>0.8</v>
      </c>
      <c r="E48" s="9">
        <f>'Coleta de artigos'!$D48/79.866</f>
        <v>0.0100167781</v>
      </c>
      <c r="F48" s="10">
        <f>'Coleta de artigos'!$E48/('Coleta de artigos'!$E48+'Coleta de artigos'!$J48)*100</f>
        <v>0.001252081586</v>
      </c>
      <c r="G48" s="11">
        <f>IFERROR('Coleta de artigos'!$D48/'Coleta de artigos'!$K48,0)</f>
        <v>0.01</v>
      </c>
      <c r="H48" s="12">
        <f>'Coleta de artigos'!$E48/'Coleta de artigos'!$J48</f>
        <v>0.00001252097263</v>
      </c>
      <c r="I48" s="12" t="str">
        <f>'Coleta de artigos'!$H48/LARGE(I129:I141,1)</f>
        <v>#NUM!</v>
      </c>
      <c r="J48" s="13">
        <f>'Coleta de artigos'!$K48*'Coleta de artigos'!$L48</f>
        <v>800</v>
      </c>
      <c r="K48" s="13">
        <v>80.0</v>
      </c>
      <c r="L48" s="8">
        <v>10.0</v>
      </c>
      <c r="M48" s="8">
        <v>150.0</v>
      </c>
      <c r="N48" s="8">
        <v>6.0</v>
      </c>
      <c r="O48" s="6" t="s">
        <v>24</v>
      </c>
      <c r="P48" s="6"/>
      <c r="Q48" s="6">
        <v>40.0</v>
      </c>
      <c r="R48" s="6">
        <v>12.0</v>
      </c>
      <c r="S48" s="6">
        <v>25.0</v>
      </c>
      <c r="T48" s="6"/>
      <c r="U48" s="14" t="s">
        <v>30</v>
      </c>
      <c r="V48" s="15" t="s">
        <v>96</v>
      </c>
    </row>
    <row r="49" ht="14.25" customHeight="1">
      <c r="A49" s="5" t="s">
        <v>97</v>
      </c>
      <c r="B49" s="6">
        <v>200.0</v>
      </c>
      <c r="C49" s="7">
        <f>'Coleta de artigos'!$K49/'Coleta de artigos'!$B49*100</f>
        <v>70</v>
      </c>
      <c r="D49" s="8">
        <v>1.5</v>
      </c>
      <c r="E49" s="9">
        <f>'Coleta de artigos'!$D49/79.866</f>
        <v>0.01878145894</v>
      </c>
      <c r="F49" s="10">
        <f>'Coleta de artigos'!$E49/('Coleta de artigos'!$E49+'Coleta de artigos'!$J49)*100</f>
        <v>0.001341514785</v>
      </c>
      <c r="G49" s="11">
        <f>IFERROR('Coleta de artigos'!$D49/'Coleta de artigos'!$K49,0)</f>
        <v>0.01071428571</v>
      </c>
      <c r="H49" s="12">
        <f>'Coleta de artigos'!$E49/'Coleta de artigos'!$J49</f>
        <v>0.00001341532782</v>
      </c>
      <c r="I49" s="12" t="str">
        <f>'Coleta de artigos'!$H49/LARGE(I129:I142,1)</f>
        <v>#NUM!</v>
      </c>
      <c r="J49" s="13">
        <f>'Coleta de artigos'!$K49*'Coleta de artigos'!$L49</f>
        <v>1400</v>
      </c>
      <c r="K49" s="13">
        <v>140.0</v>
      </c>
      <c r="L49" s="8">
        <v>10.0</v>
      </c>
      <c r="M49" s="8">
        <v>150.0</v>
      </c>
      <c r="N49" s="8">
        <v>48.0</v>
      </c>
      <c r="O49" s="6" t="s">
        <v>24</v>
      </c>
      <c r="P49" s="6"/>
      <c r="Q49" s="6">
        <v>80.0</v>
      </c>
      <c r="R49" s="6">
        <v>8.0</v>
      </c>
      <c r="S49" s="6">
        <v>25.0</v>
      </c>
      <c r="T49" s="6"/>
      <c r="U49" s="14" t="s">
        <v>25</v>
      </c>
      <c r="V49" s="15" t="s">
        <v>98</v>
      </c>
    </row>
    <row r="50" ht="14.25" customHeight="1">
      <c r="A50" s="5" t="s">
        <v>99</v>
      </c>
      <c r="B50" s="6"/>
      <c r="C50" s="6"/>
      <c r="D50" s="8">
        <v>0.5</v>
      </c>
      <c r="E50" s="9" t="str">
        <f>[1]!Tabela2[[#This Row],[Weight TiO2 (g)]]/79.866</f>
        <v>#ERROR!</v>
      </c>
      <c r="F50" s="10" t="str">
        <f>[1]!Tabela2[[#This Row],[mol TiO2]]/([1]!Tabela2[[#This Row],[mol TiO2]]+[1]!Tabela2[[#This Row],[mol NaOH]])*100</f>
        <v>#ERROR!</v>
      </c>
      <c r="G50" s="18" t="str">
        <f>[1]!Tabela2[[#This Row],[Weight TiO2 (g)]]/[1]!Tabela2[[#This Row],[Vol NaOH]]</f>
        <v>#ERROR!</v>
      </c>
      <c r="H50" s="18" t="str">
        <f>[1]!Tabela2[[#This Row],[mol TiO2]]/[1]!Tabela2[[#This Row],[mol NaOH]]</f>
        <v>#ERROR!</v>
      </c>
      <c r="I50" s="18"/>
      <c r="J50" s="13" t="str">
        <f>[1]!Tabela2[[#This Row],[Vol NaOH]]*[1]!Tabela2[[#This Row],['[NaOH']]]</f>
        <v>#ERROR!</v>
      </c>
      <c r="K50" s="13">
        <v>20.0</v>
      </c>
      <c r="L50" s="8">
        <v>10.0</v>
      </c>
      <c r="M50" s="8">
        <v>150.0</v>
      </c>
      <c r="N50" s="8">
        <v>72.0</v>
      </c>
      <c r="O50" s="6" t="s">
        <v>24</v>
      </c>
      <c r="P50" s="6"/>
      <c r="Q50" s="6"/>
      <c r="R50" s="6"/>
      <c r="S50" s="6"/>
      <c r="T50" s="6"/>
      <c r="U50" s="6" t="s">
        <v>25</v>
      </c>
      <c r="V50" s="19" t="s">
        <v>29</v>
      </c>
    </row>
    <row r="51" ht="14.25" customHeight="1">
      <c r="A51" s="5" t="s">
        <v>100</v>
      </c>
      <c r="B51" s="6" t="s">
        <v>23</v>
      </c>
      <c r="C51" s="7"/>
      <c r="D51" s="8">
        <v>0.5</v>
      </c>
      <c r="E51" s="9">
        <f>'Coleta de artigos'!$D51/79.866</f>
        <v>0.006260486315</v>
      </c>
      <c r="F51" s="10">
        <f>'Coleta de artigos'!$E51/('Coleta de artigos'!$E51+'Coleta de artigos'!$J51)*100</f>
        <v>0.001565097083</v>
      </c>
      <c r="G51" s="11">
        <f>IFERROR('Coleta de artigos'!$D51/'Coleta de artigos'!$K51,0)</f>
        <v>0.0125</v>
      </c>
      <c r="H51" s="12">
        <f>'Coleta de artigos'!$E51/'Coleta de artigos'!$J51</f>
        <v>0.00001565121579</v>
      </c>
      <c r="I51" s="12" t="str">
        <f>'Coleta de artigos'!$H51/LARGE(I129:I144,1)</f>
        <v>#NUM!</v>
      </c>
      <c r="J51" s="13">
        <f>'Coleta de artigos'!$K51*'Coleta de artigos'!$L51</f>
        <v>400</v>
      </c>
      <c r="K51" s="13">
        <v>40.0</v>
      </c>
      <c r="L51" s="8">
        <v>10.0</v>
      </c>
      <c r="M51" s="8">
        <v>25.0</v>
      </c>
      <c r="N51" s="8">
        <v>48.0</v>
      </c>
      <c r="O51" s="6" t="s">
        <v>101</v>
      </c>
      <c r="P51" s="6"/>
      <c r="Q51" s="6">
        <v>80.0</v>
      </c>
      <c r="R51" s="6">
        <v>4.0</v>
      </c>
      <c r="S51" s="6">
        <v>25.0</v>
      </c>
      <c r="T51" s="6"/>
      <c r="U51" s="14" t="s">
        <v>25</v>
      </c>
      <c r="V51" s="15" t="s">
        <v>102</v>
      </c>
    </row>
    <row r="52" ht="14.25" customHeight="1">
      <c r="A52" s="5" t="s">
        <v>103</v>
      </c>
      <c r="B52" s="6">
        <v>100.0</v>
      </c>
      <c r="C52" s="17">
        <v>80.0</v>
      </c>
      <c r="D52" s="8">
        <v>1.0</v>
      </c>
      <c r="E52" s="9">
        <f>'Coleta de artigos'!$D52/79.866</f>
        <v>0.01252097263</v>
      </c>
      <c r="F52" s="10">
        <f>'Coleta de artigos'!$E52/('Coleta de artigos'!$E52+'Coleta de artigos'!$J52)*100</f>
        <v>0.001565097083</v>
      </c>
      <c r="G52" s="11">
        <f>IFERROR('Coleta de artigos'!$D52/'Coleta de artigos'!$K52,0)</f>
        <v>0.0125</v>
      </c>
      <c r="H52" s="12">
        <f>'Coleta de artigos'!$E52/'Coleta de artigos'!$J52</f>
        <v>0.00001565121579</v>
      </c>
      <c r="I52" s="12" t="str">
        <f>'Coleta de artigos'!$H52/LARGE(I129:I145,1)</f>
        <v>#NUM!</v>
      </c>
      <c r="J52" s="13">
        <f>'Coleta de artigos'!$K52*'Coleta de artigos'!$L52</f>
        <v>800</v>
      </c>
      <c r="K52" s="13">
        <v>80.0</v>
      </c>
      <c r="L52" s="8">
        <v>10.0</v>
      </c>
      <c r="M52" s="8">
        <v>170.0</v>
      </c>
      <c r="N52" s="8">
        <v>48.0</v>
      </c>
      <c r="O52" s="6" t="s">
        <v>24</v>
      </c>
      <c r="P52" s="6">
        <v>10.0</v>
      </c>
      <c r="Q52" s="6">
        <v>100.0</v>
      </c>
      <c r="R52" s="6">
        <v>8.0</v>
      </c>
      <c r="S52" s="6">
        <v>500.0</v>
      </c>
      <c r="T52" s="6">
        <v>2.0</v>
      </c>
      <c r="U52" s="14" t="s">
        <v>30</v>
      </c>
      <c r="V52" s="15" t="s">
        <v>76</v>
      </c>
    </row>
    <row r="53" ht="14.25" customHeight="1">
      <c r="A53" s="5" t="s">
        <v>104</v>
      </c>
      <c r="B53" s="6" t="s">
        <v>23</v>
      </c>
      <c r="C53" s="7"/>
      <c r="D53" s="8">
        <v>2.5</v>
      </c>
      <c r="E53" s="9">
        <f>'Coleta de artigos'!$D53/79.866</f>
        <v>0.03130243157</v>
      </c>
      <c r="F53" s="10">
        <f>'Coleta de artigos'!$E53/('Coleta de artigos'!$E53+'Coleta de artigos'!$J53)*100</f>
        <v>0.001565097083</v>
      </c>
      <c r="G53" s="11">
        <f>IFERROR('Coleta de artigos'!$D53/'Coleta de artigos'!$K53,0)</f>
        <v>0.0125</v>
      </c>
      <c r="H53" s="12">
        <f>'Coleta de artigos'!$E53/'Coleta de artigos'!$J53</f>
        <v>0.00001565121579</v>
      </c>
      <c r="I53" s="12" t="str">
        <f>'Coleta de artigos'!$H53/LARGE(I129:I146,1)</f>
        <v>#NUM!</v>
      </c>
      <c r="J53" s="13">
        <f>'Coleta de artigos'!$K53*'Coleta de artigos'!$L53</f>
        <v>2000</v>
      </c>
      <c r="K53" s="13">
        <v>200.0</v>
      </c>
      <c r="L53" s="8">
        <v>10.0</v>
      </c>
      <c r="M53" s="8">
        <v>120.0</v>
      </c>
      <c r="N53" s="8">
        <v>48.0</v>
      </c>
      <c r="O53" s="6" t="s">
        <v>24</v>
      </c>
      <c r="P53" s="6"/>
      <c r="Q53" s="6">
        <v>100.0</v>
      </c>
      <c r="R53" s="6">
        <v>3.0</v>
      </c>
      <c r="S53" s="6">
        <v>25.0</v>
      </c>
      <c r="T53" s="6"/>
      <c r="U53" s="14" t="s">
        <v>25</v>
      </c>
      <c r="V53" s="15">
        <v>10.0</v>
      </c>
    </row>
    <row r="54" ht="14.25" customHeight="1">
      <c r="A54" s="5" t="s">
        <v>104</v>
      </c>
      <c r="B54" s="6" t="s">
        <v>23</v>
      </c>
      <c r="C54" s="7"/>
      <c r="D54" s="8">
        <v>2.5</v>
      </c>
      <c r="E54" s="9">
        <f>'Coleta de artigos'!$D54/79.866</f>
        <v>0.03130243157</v>
      </c>
      <c r="F54" s="10">
        <f>'Coleta de artigos'!$E54/('Coleta de artigos'!$E54+'Coleta de artigos'!$J54)*100</f>
        <v>0.001565097083</v>
      </c>
      <c r="G54" s="11">
        <f>IFERROR('Coleta de artigos'!$D54/'Coleta de artigos'!$K54,0)</f>
        <v>0.0125</v>
      </c>
      <c r="H54" s="12">
        <f>'Coleta de artigos'!$E54/'Coleta de artigos'!$J54</f>
        <v>0.00001565121579</v>
      </c>
      <c r="I54" s="12" t="str">
        <f>'Coleta de artigos'!$H54/LARGE(I129:I147,1)</f>
        <v>#NUM!</v>
      </c>
      <c r="J54" s="13">
        <f>'Coleta de artigos'!$K54*'Coleta de artigos'!$L54</f>
        <v>2000</v>
      </c>
      <c r="K54" s="13">
        <v>200.0</v>
      </c>
      <c r="L54" s="8">
        <v>10.0</v>
      </c>
      <c r="M54" s="8">
        <v>200.0</v>
      </c>
      <c r="N54" s="8">
        <v>48.0</v>
      </c>
      <c r="O54" s="6" t="s">
        <v>24</v>
      </c>
      <c r="P54" s="6"/>
      <c r="Q54" s="6">
        <v>100.0</v>
      </c>
      <c r="R54" s="6">
        <v>3.0</v>
      </c>
      <c r="S54" s="6">
        <v>25.0</v>
      </c>
      <c r="T54" s="6"/>
      <c r="U54" s="14" t="s">
        <v>30</v>
      </c>
      <c r="V54" s="15" t="s">
        <v>105</v>
      </c>
    </row>
    <row r="55" ht="14.25" customHeight="1">
      <c r="A55" s="5" t="s">
        <v>106</v>
      </c>
      <c r="B55" s="6" t="s">
        <v>23</v>
      </c>
      <c r="C55" s="7"/>
      <c r="D55" s="8">
        <v>1.0</v>
      </c>
      <c r="E55" s="9">
        <f>'Coleta de artigos'!$D55/79.866</f>
        <v>0.01252097263</v>
      </c>
      <c r="F55" s="10">
        <f>'Coleta de artigos'!$E55/('Coleta de artigos'!$E55+'Coleta de artigos'!$J55)*100</f>
        <v>0.001669435147</v>
      </c>
      <c r="G55" s="11">
        <f>IFERROR('Coleta de artigos'!$D55/'Coleta de artigos'!$K55,0)</f>
        <v>0.01333333333</v>
      </c>
      <c r="H55" s="12">
        <f>'Coleta de artigos'!$E55/'Coleta de artigos'!$J55</f>
        <v>0.00001669463017</v>
      </c>
      <c r="I55" s="12" t="str">
        <f>'Coleta de artigos'!$H55/LARGE(I129:I148,1)</f>
        <v>#NUM!</v>
      </c>
      <c r="J55" s="13">
        <f>'Coleta de artigos'!$K55*'Coleta de artigos'!$L55</f>
        <v>750</v>
      </c>
      <c r="K55" s="13">
        <v>75.0</v>
      </c>
      <c r="L55" s="8">
        <v>10.0</v>
      </c>
      <c r="M55" s="8">
        <v>250.0</v>
      </c>
      <c r="N55" s="8">
        <v>72.0</v>
      </c>
      <c r="O55" s="6" t="s">
        <v>24</v>
      </c>
      <c r="P55" s="6"/>
      <c r="Q55" s="6"/>
      <c r="R55" s="6"/>
      <c r="S55" s="6">
        <v>500.0</v>
      </c>
      <c r="T55" s="6">
        <v>2.0</v>
      </c>
      <c r="U55" s="14" t="s">
        <v>30</v>
      </c>
      <c r="V55" s="15" t="s">
        <v>107</v>
      </c>
    </row>
    <row r="56" ht="14.25" customHeight="1">
      <c r="A56" s="5" t="s">
        <v>108</v>
      </c>
      <c r="B56" s="6" t="s">
        <v>23</v>
      </c>
      <c r="C56" s="7"/>
      <c r="D56" s="8">
        <v>1.0</v>
      </c>
      <c r="E56" s="9">
        <f>'Coleta de artigos'!$D56/79.866</f>
        <v>0.01252097263</v>
      </c>
      <c r="F56" s="10">
        <f>'Coleta de artigos'!$E56/('Coleta de artigos'!$E56+'Coleta de artigos'!$J56)*100</f>
        <v>0.001788678381</v>
      </c>
      <c r="G56" s="11">
        <f>IFERROR('Coleta de artigos'!$D56/'Coleta de artigos'!$K56,0)</f>
        <v>0.01428571429</v>
      </c>
      <c r="H56" s="12">
        <f>'Coleta de artigos'!$E56/'Coleta de artigos'!$J56</f>
        <v>0.00001788710376</v>
      </c>
      <c r="I56" s="12" t="str">
        <f>'Coleta de artigos'!$H56/LARGE(I129:I149,1)</f>
        <v>#NUM!</v>
      </c>
      <c r="J56" s="13">
        <f>'Coleta de artigos'!$K56*'Coleta de artigos'!$L56</f>
        <v>700</v>
      </c>
      <c r="K56" s="13">
        <v>70.0</v>
      </c>
      <c r="L56" s="8">
        <v>10.0</v>
      </c>
      <c r="M56" s="8">
        <v>180.0</v>
      </c>
      <c r="N56" s="8">
        <v>48.0</v>
      </c>
      <c r="O56" s="6" t="s">
        <v>28</v>
      </c>
      <c r="P56" s="6"/>
      <c r="Q56" s="6"/>
      <c r="R56" s="6"/>
      <c r="S56" s="6">
        <v>500.0</v>
      </c>
      <c r="T56" s="6">
        <v>0.5</v>
      </c>
      <c r="U56" s="14" t="s">
        <v>33</v>
      </c>
      <c r="V56" s="15" t="s">
        <v>74</v>
      </c>
    </row>
    <row r="57" ht="14.25" customHeight="1">
      <c r="A57" s="5" t="s">
        <v>109</v>
      </c>
      <c r="B57" s="6" t="s">
        <v>23</v>
      </c>
      <c r="C57" s="7"/>
      <c r="D57" s="8">
        <v>1.0</v>
      </c>
      <c r="E57" s="9">
        <f>'Coleta de artigos'!$D57/79.866</f>
        <v>0.01252097263</v>
      </c>
      <c r="F57" s="10">
        <f>'Coleta de artigos'!$E57/('Coleta de artigos'!$E57+'Coleta de artigos'!$J57)*100</f>
        <v>0.001788678381</v>
      </c>
      <c r="G57" s="11">
        <f>IFERROR('Coleta de artigos'!$D57/'Coleta de artigos'!$K57,0)</f>
        <v>0.01428571429</v>
      </c>
      <c r="H57" s="12">
        <f>'Coleta de artigos'!$E57/'Coleta de artigos'!$J57</f>
        <v>0.00001788710376</v>
      </c>
      <c r="I57" s="12" t="str">
        <f>'Coleta de artigos'!$H57/LARGE(I129:I150,1)</f>
        <v>#NUM!</v>
      </c>
      <c r="J57" s="13">
        <f>'Coleta de artigos'!$K57*'Coleta de artigos'!$L57</f>
        <v>700</v>
      </c>
      <c r="K57" s="13">
        <v>70.0</v>
      </c>
      <c r="L57" s="8">
        <v>10.0</v>
      </c>
      <c r="M57" s="8">
        <v>130.0</v>
      </c>
      <c r="N57" s="8">
        <v>24.0</v>
      </c>
      <c r="O57" s="6" t="s">
        <v>62</v>
      </c>
      <c r="P57" s="6"/>
      <c r="Q57" s="6"/>
      <c r="R57" s="6"/>
      <c r="S57" s="6">
        <v>25.0</v>
      </c>
      <c r="T57" s="6"/>
      <c r="U57" s="14" t="s">
        <v>25</v>
      </c>
      <c r="V57" s="15" t="s">
        <v>94</v>
      </c>
    </row>
    <row r="58" ht="14.25" customHeight="1">
      <c r="A58" s="5" t="s">
        <v>110</v>
      </c>
      <c r="B58" s="6" t="s">
        <v>23</v>
      </c>
      <c r="C58" s="7"/>
      <c r="D58" s="8">
        <v>1.0</v>
      </c>
      <c r="E58" s="9">
        <f>'Coleta de artigos'!$D58/79.866</f>
        <v>0.01252097263</v>
      </c>
      <c r="F58" s="10">
        <f>'Coleta de artigos'!$E58/('Coleta de artigos'!$E58+'Coleta de artigos'!$J58)*100</f>
        <v>0.001788678381</v>
      </c>
      <c r="G58" s="11">
        <f>IFERROR('Coleta de artigos'!$D58/'Coleta de artigos'!$K58,0)</f>
        <v>0.01428571429</v>
      </c>
      <c r="H58" s="12">
        <f>'Coleta de artigos'!$E58/'Coleta de artigos'!$J58</f>
        <v>0.00001788710376</v>
      </c>
      <c r="I58" s="12" t="str">
        <f>'Coleta de artigos'!$H58/LARGE(I129:I151,1)</f>
        <v>#NUM!</v>
      </c>
      <c r="J58" s="13">
        <f>'Coleta de artigos'!$K58*'Coleta de artigos'!$L58</f>
        <v>700</v>
      </c>
      <c r="K58" s="13">
        <v>70.0</v>
      </c>
      <c r="L58" s="8">
        <v>10.0</v>
      </c>
      <c r="M58" s="8">
        <v>130.0</v>
      </c>
      <c r="N58" s="8">
        <v>48.0</v>
      </c>
      <c r="O58" s="6" t="s">
        <v>24</v>
      </c>
      <c r="P58" s="6"/>
      <c r="Q58" s="6">
        <v>100.0</v>
      </c>
      <c r="R58" s="6">
        <v>12.0</v>
      </c>
      <c r="S58" s="6">
        <v>25.0</v>
      </c>
      <c r="T58" s="6"/>
      <c r="U58" s="14" t="s">
        <v>25</v>
      </c>
      <c r="V58" s="15">
        <v>9.0</v>
      </c>
    </row>
    <row r="59" ht="14.25" customHeight="1">
      <c r="A59" s="5" t="s">
        <v>111</v>
      </c>
      <c r="B59" s="6" t="s">
        <v>23</v>
      </c>
      <c r="C59" s="7"/>
      <c r="D59" s="8">
        <v>2.0</v>
      </c>
      <c r="E59" s="9">
        <f>'Coleta de artigos'!$D59/79.866</f>
        <v>0.02504194526</v>
      </c>
      <c r="F59" s="10">
        <f>'Coleta de artigos'!$E59/('Coleta de artigos'!$E59+'Coleta de artigos'!$J59)*100</f>
        <v>0.001788678381</v>
      </c>
      <c r="G59" s="11">
        <f>IFERROR('Coleta de artigos'!$D59/'Coleta de artigos'!$K59,0)</f>
        <v>0.01428571429</v>
      </c>
      <c r="H59" s="12">
        <f>'Coleta de artigos'!$E59/'Coleta de artigos'!$J59</f>
        <v>0.00001788710376</v>
      </c>
      <c r="I59" s="12" t="str">
        <f>'Coleta de artigos'!$H59/LARGE(I129:I152,1)</f>
        <v>#NUM!</v>
      </c>
      <c r="J59" s="13">
        <f>'Coleta de artigos'!$K59*'Coleta de artigos'!$L59</f>
        <v>1400</v>
      </c>
      <c r="K59" s="13">
        <v>140.0</v>
      </c>
      <c r="L59" s="8">
        <v>10.0</v>
      </c>
      <c r="M59" s="8">
        <v>130.0</v>
      </c>
      <c r="N59" s="8">
        <v>72.0</v>
      </c>
      <c r="O59" s="6" t="s">
        <v>28</v>
      </c>
      <c r="P59" s="6"/>
      <c r="Q59" s="6"/>
      <c r="R59" s="6"/>
      <c r="S59" s="6">
        <v>25.0</v>
      </c>
      <c r="T59" s="6"/>
      <c r="U59" s="14" t="s">
        <v>25</v>
      </c>
      <c r="V59" s="15">
        <v>10.0</v>
      </c>
    </row>
    <row r="60" ht="14.25" customHeight="1">
      <c r="A60" s="5" t="s">
        <v>112</v>
      </c>
      <c r="B60" s="6" t="s">
        <v>23</v>
      </c>
      <c r="C60" s="7"/>
      <c r="D60" s="8">
        <v>2.0</v>
      </c>
      <c r="E60" s="9">
        <f>'Coleta de artigos'!$D60/79.866</f>
        <v>0.02504194526</v>
      </c>
      <c r="F60" s="10">
        <f>'Coleta de artigos'!$E60/('Coleta de artigos'!$E60+'Coleta de artigos'!$J60)*100</f>
        <v>0.001788678381</v>
      </c>
      <c r="G60" s="11">
        <f>IFERROR('Coleta de artigos'!$D60/'Coleta de artigos'!$K60,0)</f>
        <v>0.01428571429</v>
      </c>
      <c r="H60" s="12">
        <f>'Coleta de artigos'!$E60/'Coleta de artigos'!$J60</f>
        <v>0.00001788710376</v>
      </c>
      <c r="I60" s="12" t="str">
        <f>'Coleta de artigos'!$H60/LARGE(I129:I153,1)</f>
        <v>#NUM!</v>
      </c>
      <c r="J60" s="13">
        <f>'Coleta de artigos'!$K60*'Coleta de artigos'!$L60</f>
        <v>1400</v>
      </c>
      <c r="K60" s="13">
        <v>140.0</v>
      </c>
      <c r="L60" s="8">
        <v>10.0</v>
      </c>
      <c r="M60" s="8">
        <v>130.0</v>
      </c>
      <c r="N60" s="8">
        <v>24.0</v>
      </c>
      <c r="O60" s="6" t="s">
        <v>24</v>
      </c>
      <c r="P60" s="6"/>
      <c r="Q60" s="6">
        <v>70.0</v>
      </c>
      <c r="R60" s="6"/>
      <c r="S60" s="6">
        <v>25.0</v>
      </c>
      <c r="T60" s="6"/>
      <c r="U60" s="14" t="s">
        <v>30</v>
      </c>
      <c r="V60" s="15">
        <v>50.0</v>
      </c>
    </row>
    <row r="61" ht="14.25" customHeight="1">
      <c r="A61" s="5" t="s">
        <v>113</v>
      </c>
      <c r="B61" s="6" t="s">
        <v>42</v>
      </c>
      <c r="C61" s="7"/>
      <c r="D61" s="8">
        <v>0.3</v>
      </c>
      <c r="E61" s="9">
        <f>'Coleta de artigos'!$D61/79.866</f>
        <v>0.003756291789</v>
      </c>
      <c r="F61" s="10">
        <f>'Coleta de artigos'!$E61/('Coleta de artigos'!$E61+'Coleta de artigos'!$J61)*100</f>
        <v>0.001878110621</v>
      </c>
      <c r="G61" s="11">
        <f>IFERROR('Coleta de artigos'!$D61/'Coleta de artigos'!$K61,0)</f>
        <v>0.015</v>
      </c>
      <c r="H61" s="12">
        <f>'Coleta de artigos'!$E61/'Coleta de artigos'!$J61</f>
        <v>0.00001878145894</v>
      </c>
      <c r="I61" s="12" t="str">
        <f>'Coleta de artigos'!$H61/LARGE(I129:I154,1)</f>
        <v>#NUM!</v>
      </c>
      <c r="J61" s="13">
        <f>'Coleta de artigos'!$K61*'Coleta de artigos'!$L61</f>
        <v>200</v>
      </c>
      <c r="K61" s="13">
        <v>20.0</v>
      </c>
      <c r="L61" s="20" t="s">
        <v>81</v>
      </c>
      <c r="M61" s="8">
        <v>220.0</v>
      </c>
      <c r="N61" s="8">
        <v>24.0</v>
      </c>
      <c r="O61" s="6" t="s">
        <v>24</v>
      </c>
      <c r="P61" s="6"/>
      <c r="Q61" s="6">
        <v>60.0</v>
      </c>
      <c r="R61" s="6"/>
      <c r="S61" s="6">
        <v>550.0</v>
      </c>
      <c r="T61" s="6">
        <v>2.0</v>
      </c>
      <c r="U61" s="14" t="s">
        <v>33</v>
      </c>
      <c r="V61" s="15" t="s">
        <v>114</v>
      </c>
    </row>
    <row r="62" ht="14.25" customHeight="1">
      <c r="A62" s="5" t="s">
        <v>113</v>
      </c>
      <c r="B62" s="6" t="s">
        <v>42</v>
      </c>
      <c r="C62" s="7"/>
      <c r="D62" s="8">
        <v>0.3</v>
      </c>
      <c r="E62" s="9">
        <f>'Coleta de artigos'!$D62/79.866</f>
        <v>0.003756291789</v>
      </c>
      <c r="F62" s="10">
        <f>'Coleta de artigos'!$E62/('Coleta de artigos'!$E62+'Coleta de artigos'!$J62)*100</f>
        <v>0.001878110621</v>
      </c>
      <c r="G62" s="11">
        <f>IFERROR('Coleta de artigos'!$D62/'Coleta de artigos'!$K62,0)</f>
        <v>0.015</v>
      </c>
      <c r="H62" s="12">
        <f>'Coleta de artigos'!$E62/'Coleta de artigos'!$J62</f>
        <v>0.00001878145894</v>
      </c>
      <c r="I62" s="12" t="str">
        <f>'Coleta de artigos'!$H62/LARGE(I129:I155,1)</f>
        <v>#NUM!</v>
      </c>
      <c r="J62" s="13">
        <f>'Coleta de artigos'!$K62*'Coleta de artigos'!$L62</f>
        <v>200</v>
      </c>
      <c r="K62" s="13">
        <v>20.0</v>
      </c>
      <c r="L62" s="8">
        <v>10.0</v>
      </c>
      <c r="M62" s="8">
        <v>170.0</v>
      </c>
      <c r="N62" s="8">
        <v>24.0</v>
      </c>
      <c r="O62" s="6" t="s">
        <v>24</v>
      </c>
      <c r="P62" s="6"/>
      <c r="Q62" s="6">
        <v>60.0</v>
      </c>
      <c r="R62" s="6"/>
      <c r="S62" s="6">
        <v>550.0</v>
      </c>
      <c r="T62" s="6">
        <v>2.0</v>
      </c>
      <c r="U62" s="14" t="s">
        <v>35</v>
      </c>
      <c r="V62" s="15">
        <v>10.0</v>
      </c>
    </row>
    <row r="63" ht="14.25" customHeight="1">
      <c r="A63" s="5" t="s">
        <v>115</v>
      </c>
      <c r="B63" s="6" t="s">
        <v>23</v>
      </c>
      <c r="C63" s="7"/>
      <c r="D63" s="8">
        <v>0.3</v>
      </c>
      <c r="E63" s="9">
        <f>'Coleta de artigos'!$D63/79.866</f>
        <v>0.003756291789</v>
      </c>
      <c r="F63" s="10">
        <f>'Coleta de artigos'!$E63/('Coleta de artigos'!$E63+'Coleta de artigos'!$J63)*100</f>
        <v>0.001878110621</v>
      </c>
      <c r="G63" s="11">
        <f>IFERROR('Coleta de artigos'!$D63/'Coleta de artigos'!$K63,0)</f>
        <v>0.015</v>
      </c>
      <c r="H63" s="12">
        <f>'Coleta de artigos'!$E63/'Coleta de artigos'!$J63</f>
        <v>0.00001878145894</v>
      </c>
      <c r="I63" s="12" t="str">
        <f>'Coleta de artigos'!$H63/LARGE(I129:I156,1)</f>
        <v>#NUM!</v>
      </c>
      <c r="J63" s="13">
        <f>'Coleta de artigos'!$K63*'Coleta de artigos'!$L63</f>
        <v>200</v>
      </c>
      <c r="K63" s="13">
        <v>20.0</v>
      </c>
      <c r="L63" s="8">
        <v>10.0</v>
      </c>
      <c r="M63" s="8">
        <v>130.0</v>
      </c>
      <c r="N63" s="8">
        <v>24.0</v>
      </c>
      <c r="O63" s="6" t="s">
        <v>24</v>
      </c>
      <c r="P63" s="6"/>
      <c r="Q63" s="6">
        <v>80.0</v>
      </c>
      <c r="R63" s="6"/>
      <c r="S63" s="6">
        <v>25.0</v>
      </c>
      <c r="T63" s="6"/>
      <c r="U63" s="14" t="s">
        <v>25</v>
      </c>
      <c r="V63" s="15" t="s">
        <v>45</v>
      </c>
    </row>
    <row r="64" ht="14.25" customHeight="1">
      <c r="A64" s="5" t="s">
        <v>113</v>
      </c>
      <c r="B64" s="6" t="s">
        <v>42</v>
      </c>
      <c r="C64" s="7"/>
      <c r="D64" s="8">
        <v>0.3</v>
      </c>
      <c r="E64" s="9">
        <f>'Coleta de artigos'!$D64/79.866</f>
        <v>0.003756291789</v>
      </c>
      <c r="F64" s="10">
        <f>'Coleta de artigos'!$E64/('Coleta de artigos'!$E64+'Coleta de artigos'!$J64)*100</f>
        <v>0.001878110621</v>
      </c>
      <c r="G64" s="11">
        <f>IFERROR('Coleta de artigos'!$D64/'Coleta de artigos'!$K64,0)</f>
        <v>0.015</v>
      </c>
      <c r="H64" s="12">
        <f>'Coleta de artigos'!$E64/'Coleta de artigos'!$J64</f>
        <v>0.00001878145894</v>
      </c>
      <c r="I64" s="12" t="str">
        <f>'Coleta de artigos'!$H64/LARGE(I129:I157,1)</f>
        <v>#NUM!</v>
      </c>
      <c r="J64" s="13">
        <f>'Coleta de artigos'!$K64*'Coleta de artigos'!$L64</f>
        <v>200</v>
      </c>
      <c r="K64" s="13">
        <v>20.0</v>
      </c>
      <c r="L64" s="8">
        <v>10.0</v>
      </c>
      <c r="M64" s="8">
        <v>170.0</v>
      </c>
      <c r="N64" s="8">
        <v>24.0</v>
      </c>
      <c r="O64" s="6" t="s">
        <v>24</v>
      </c>
      <c r="P64" s="6"/>
      <c r="Q64" s="6">
        <v>60.0</v>
      </c>
      <c r="R64" s="6"/>
      <c r="S64" s="6">
        <v>350.0</v>
      </c>
      <c r="T64" s="6">
        <v>2.0</v>
      </c>
      <c r="U64" s="14" t="s">
        <v>25</v>
      </c>
      <c r="V64" s="15">
        <v>10.0</v>
      </c>
    </row>
    <row r="65" ht="14.25" customHeight="1">
      <c r="A65" s="5" t="s">
        <v>113</v>
      </c>
      <c r="B65" s="6" t="s">
        <v>42</v>
      </c>
      <c r="C65" s="7"/>
      <c r="D65" s="8">
        <v>0.3</v>
      </c>
      <c r="E65" s="9">
        <f>'Coleta de artigos'!$D65/79.866</f>
        <v>0.003756291789</v>
      </c>
      <c r="F65" s="10">
        <f>'Coleta de artigos'!$E65/('Coleta de artigos'!$E65+'Coleta de artigos'!$J65)*100</f>
        <v>0.001878110621</v>
      </c>
      <c r="G65" s="11">
        <f>IFERROR('Coleta de artigos'!$D65/'Coleta de artigos'!$K65,0)</f>
        <v>0.015</v>
      </c>
      <c r="H65" s="12">
        <f>'Coleta de artigos'!$E65/'Coleta de artigos'!$J65</f>
        <v>0.00001878145894</v>
      </c>
      <c r="I65" s="12" t="str">
        <f>'Coleta de artigos'!$H65/LARGE(I129:I158,1)</f>
        <v>#NUM!</v>
      </c>
      <c r="J65" s="13">
        <f>'Coleta de artigos'!$K65*'Coleta de artigos'!$L65</f>
        <v>200</v>
      </c>
      <c r="K65" s="13">
        <v>20.0</v>
      </c>
      <c r="L65" s="20" t="s">
        <v>81</v>
      </c>
      <c r="M65" s="8">
        <v>150.0</v>
      </c>
      <c r="N65" s="8">
        <v>24.0</v>
      </c>
      <c r="O65" s="6" t="s">
        <v>24</v>
      </c>
      <c r="P65" s="6"/>
      <c r="Q65" s="6">
        <v>60.0</v>
      </c>
      <c r="R65" s="6"/>
      <c r="S65" s="6">
        <v>550.0</v>
      </c>
      <c r="T65" s="6">
        <v>2.0</v>
      </c>
      <c r="U65" s="14" t="s">
        <v>30</v>
      </c>
      <c r="V65" s="15" t="s">
        <v>116</v>
      </c>
    </row>
    <row r="66" ht="14.25" customHeight="1">
      <c r="A66" s="5" t="s">
        <v>113</v>
      </c>
      <c r="B66" s="6" t="s">
        <v>42</v>
      </c>
      <c r="C66" s="7"/>
      <c r="D66" s="8">
        <v>0.3</v>
      </c>
      <c r="E66" s="9">
        <f>'Coleta de artigos'!$D66/79.866</f>
        <v>0.003756291789</v>
      </c>
      <c r="F66" s="10">
        <f>'Coleta de artigos'!$E66/('Coleta de artigos'!$E66+'Coleta de artigos'!$J66)*100</f>
        <v>0.001878110621</v>
      </c>
      <c r="G66" s="11">
        <f>IFERROR('Coleta de artigos'!$D66/'Coleta de artigos'!$K66,0)</f>
        <v>0.015</v>
      </c>
      <c r="H66" s="12">
        <f>'Coleta de artigos'!$E66/'Coleta de artigos'!$J66</f>
        <v>0.00001878145894</v>
      </c>
      <c r="I66" s="12" t="str">
        <f>'Coleta de artigos'!$H66/LARGE(I129:I159,1)</f>
        <v>#NUM!</v>
      </c>
      <c r="J66" s="13">
        <f>'Coleta de artigos'!$K66*'Coleta de artigos'!$L66</f>
        <v>200</v>
      </c>
      <c r="K66" s="13">
        <v>20.0</v>
      </c>
      <c r="L66" s="8">
        <v>10.0</v>
      </c>
      <c r="M66" s="8">
        <v>170.0</v>
      </c>
      <c r="N66" s="8">
        <v>24.0</v>
      </c>
      <c r="O66" s="6" t="s">
        <v>24</v>
      </c>
      <c r="P66" s="6"/>
      <c r="Q66" s="6">
        <v>60.0</v>
      </c>
      <c r="R66" s="6"/>
      <c r="S66" s="6">
        <v>600.0</v>
      </c>
      <c r="T66" s="6">
        <v>2.0</v>
      </c>
      <c r="U66" s="14" t="s">
        <v>30</v>
      </c>
      <c r="V66" s="15" t="s">
        <v>117</v>
      </c>
    </row>
    <row r="67" ht="14.25" customHeight="1">
      <c r="A67" s="5" t="s">
        <v>118</v>
      </c>
      <c r="B67" s="6">
        <v>100.0</v>
      </c>
      <c r="C67" s="7">
        <f>'Coleta de artigos'!$K67/'Coleta de artigos'!$B67*100</f>
        <v>80</v>
      </c>
      <c r="D67" s="8">
        <v>1.2</v>
      </c>
      <c r="E67" s="9">
        <f>'Coleta de artigos'!$D67/79.866</f>
        <v>0.01502516715</v>
      </c>
      <c r="F67" s="10">
        <f>'Coleta de artigos'!$E67/('Coleta de artigos'!$E67+'Coleta de artigos'!$J67)*100</f>
        <v>0.001878110621</v>
      </c>
      <c r="G67" s="11">
        <f>IFERROR('Coleta de artigos'!$D67/'Coleta de artigos'!$K67,0)</f>
        <v>0.015</v>
      </c>
      <c r="H67" s="12">
        <f>'Coleta de artigos'!$E67/'Coleta de artigos'!$J67</f>
        <v>0.00001878145894</v>
      </c>
      <c r="I67" s="12" t="str">
        <f>'Coleta de artigos'!$H67/LARGE(I129:I160,1)</f>
        <v>#NUM!</v>
      </c>
      <c r="J67" s="13">
        <f>'Coleta de artigos'!$K67*'Coleta de artigos'!$L67</f>
        <v>800</v>
      </c>
      <c r="K67" s="13">
        <v>80.0</v>
      </c>
      <c r="L67" s="8">
        <v>10.0</v>
      </c>
      <c r="M67" s="8">
        <v>200.0</v>
      </c>
      <c r="N67" s="8">
        <v>24.0</v>
      </c>
      <c r="O67" s="6" t="s">
        <v>24</v>
      </c>
      <c r="P67" s="6"/>
      <c r="Q67" s="6">
        <v>80.0</v>
      </c>
      <c r="R67" s="6">
        <v>12.0</v>
      </c>
      <c r="S67" s="6">
        <v>700.0</v>
      </c>
      <c r="T67" s="6">
        <v>0.5</v>
      </c>
      <c r="U67" s="14" t="s">
        <v>33</v>
      </c>
      <c r="V67" s="15" t="s">
        <v>119</v>
      </c>
    </row>
    <row r="68" ht="14.25" customHeight="1">
      <c r="A68" s="5" t="s">
        <v>120</v>
      </c>
      <c r="B68" s="6">
        <v>100.0</v>
      </c>
      <c r="C68" s="17">
        <v>80.0</v>
      </c>
      <c r="D68" s="8">
        <v>1.2</v>
      </c>
      <c r="E68" s="9">
        <f>'Coleta de artigos'!$D68/79.866</f>
        <v>0.01502516715</v>
      </c>
      <c r="F68" s="10">
        <f>'Coleta de artigos'!$E68/('Coleta de artigos'!$E68+'Coleta de artigos'!$J68)*100</f>
        <v>0.001878110621</v>
      </c>
      <c r="G68" s="11">
        <f>IFERROR('Coleta de artigos'!$D68/'Coleta de artigos'!$K68,0)</f>
        <v>0.015</v>
      </c>
      <c r="H68" s="12">
        <f>'Coleta de artigos'!$E68/'Coleta de artigos'!$J68</f>
        <v>0.00001878145894</v>
      </c>
      <c r="I68" s="12" t="str">
        <f>'Coleta de artigos'!$H68/LARGE(I129:I161,1)</f>
        <v>#NUM!</v>
      </c>
      <c r="J68" s="13">
        <f>'Coleta de artigos'!$K68*'Coleta de artigos'!$L68</f>
        <v>800</v>
      </c>
      <c r="K68" s="13">
        <v>80.0</v>
      </c>
      <c r="L68" s="8">
        <v>10.0</v>
      </c>
      <c r="M68" s="8">
        <v>200.0</v>
      </c>
      <c r="N68" s="8">
        <v>24.0</v>
      </c>
      <c r="O68" s="6" t="s">
        <v>24</v>
      </c>
      <c r="P68" s="6"/>
      <c r="Q68" s="6"/>
      <c r="R68" s="6"/>
      <c r="S68" s="6">
        <v>700.0</v>
      </c>
      <c r="T68" s="6">
        <v>0.5</v>
      </c>
      <c r="U68" s="14" t="s">
        <v>33</v>
      </c>
      <c r="V68" s="15" t="s">
        <v>121</v>
      </c>
    </row>
    <row r="69" ht="14.25" customHeight="1">
      <c r="A69" s="5" t="s">
        <v>122</v>
      </c>
      <c r="B69" s="6">
        <v>100.0</v>
      </c>
      <c r="C69" s="7">
        <f>'Coleta de artigos'!$K69/'Coleta de artigos'!$B69*100</f>
        <v>80</v>
      </c>
      <c r="D69" s="8">
        <v>1.2</v>
      </c>
      <c r="E69" s="9">
        <f>'Coleta de artigos'!$D69/79.866</f>
        <v>0.01502516715</v>
      </c>
      <c r="F69" s="10">
        <f>'Coleta de artigos'!$E69/('Coleta de artigos'!$E69+'Coleta de artigos'!$J69)*100</f>
        <v>0.001878110621</v>
      </c>
      <c r="G69" s="11">
        <f>IFERROR('Coleta de artigos'!$D69/'Coleta de artigos'!$K69,0)</f>
        <v>0.015</v>
      </c>
      <c r="H69" s="12">
        <f>'Coleta de artigos'!$E69/'Coleta de artigos'!$J69</f>
        <v>0.00001878145894</v>
      </c>
      <c r="I69" s="12" t="str">
        <f>'Coleta de artigos'!$H69/LARGE(I129:I162,1)</f>
        <v>#NUM!</v>
      </c>
      <c r="J69" s="13">
        <f>'Coleta de artigos'!$K69*'Coleta de artigos'!$L69</f>
        <v>800</v>
      </c>
      <c r="K69" s="13">
        <v>80.0</v>
      </c>
      <c r="L69" s="8">
        <v>10.0</v>
      </c>
      <c r="M69" s="8">
        <v>200.0</v>
      </c>
      <c r="N69" s="8">
        <v>24.0</v>
      </c>
      <c r="O69" s="6" t="s">
        <v>47</v>
      </c>
      <c r="P69" s="6"/>
      <c r="Q69" s="6">
        <v>80.0</v>
      </c>
      <c r="R69" s="6">
        <v>12.0</v>
      </c>
      <c r="S69" s="6">
        <v>700.0</v>
      </c>
      <c r="T69" s="6">
        <v>4.0</v>
      </c>
      <c r="U69" s="14" t="s">
        <v>123</v>
      </c>
      <c r="V69" s="15">
        <v>100.0</v>
      </c>
    </row>
    <row r="70" ht="14.25" customHeight="1">
      <c r="A70" s="5" t="s">
        <v>122</v>
      </c>
      <c r="B70" s="6">
        <v>100.0</v>
      </c>
      <c r="C70" s="7">
        <f>'Coleta de artigos'!$K70/'Coleta de artigos'!$B70*100</f>
        <v>80</v>
      </c>
      <c r="D70" s="8">
        <v>1.2</v>
      </c>
      <c r="E70" s="9">
        <f>'Coleta de artigos'!$D70/79.866</f>
        <v>0.01502516715</v>
      </c>
      <c r="F70" s="10">
        <f>'Coleta de artigos'!$E70/('Coleta de artigos'!$E70+'Coleta de artigos'!$J70)*100</f>
        <v>0.001878110621</v>
      </c>
      <c r="G70" s="11">
        <f>IFERROR('Coleta de artigos'!$D70/'Coleta de artigos'!$K70,0)</f>
        <v>0.015</v>
      </c>
      <c r="H70" s="12">
        <f>'Coleta de artigos'!$E70/'Coleta de artigos'!$J70</f>
        <v>0.00001878145894</v>
      </c>
      <c r="I70" s="12" t="str">
        <f>'Coleta de artigos'!$H70/LARGE(I129:I163,1)</f>
        <v>#NUM!</v>
      </c>
      <c r="J70" s="13">
        <f>'Coleta de artigos'!$K70*'Coleta de artigos'!$L70</f>
        <v>800</v>
      </c>
      <c r="K70" s="13">
        <v>80.0</v>
      </c>
      <c r="L70" s="8">
        <v>10.0</v>
      </c>
      <c r="M70" s="8">
        <v>120.0</v>
      </c>
      <c r="N70" s="8">
        <v>24.0</v>
      </c>
      <c r="O70" s="6" t="s">
        <v>47</v>
      </c>
      <c r="P70" s="6"/>
      <c r="Q70" s="6">
        <v>80.0</v>
      </c>
      <c r="R70" s="6">
        <v>12.0</v>
      </c>
      <c r="S70" s="6">
        <v>400.0</v>
      </c>
      <c r="T70" s="6">
        <v>4.0</v>
      </c>
      <c r="U70" s="14" t="s">
        <v>25</v>
      </c>
      <c r="V70" s="15">
        <v>15.0</v>
      </c>
    </row>
    <row r="71" ht="14.25" customHeight="1">
      <c r="A71" s="5" t="s">
        <v>124</v>
      </c>
      <c r="B71" s="6">
        <v>100.0</v>
      </c>
      <c r="C71" s="17">
        <v>80.0</v>
      </c>
      <c r="D71" s="8">
        <v>1.2</v>
      </c>
      <c r="E71" s="9">
        <f>'Coleta de artigos'!$D71/79.866</f>
        <v>0.01502516715</v>
      </c>
      <c r="F71" s="10">
        <f>'Coleta de artigos'!$E71/('Coleta de artigos'!$E71+'Coleta de artigos'!$J71)*100</f>
        <v>0.001878110621</v>
      </c>
      <c r="G71" s="11">
        <f>IFERROR('Coleta de artigos'!$D71/'Coleta de artigos'!$K71,0)</f>
        <v>0.015</v>
      </c>
      <c r="H71" s="12">
        <f>'Coleta de artigos'!$E71/'Coleta de artigos'!$J71</f>
        <v>0.00001878145894</v>
      </c>
      <c r="I71" s="12" t="str">
        <f>'Coleta de artigos'!$H71/LARGE(I129:I164,1)</f>
        <v>#NUM!</v>
      </c>
      <c r="J71" s="13">
        <f>'Coleta de artigos'!$K71*'Coleta de artigos'!$L71</f>
        <v>800</v>
      </c>
      <c r="K71" s="13">
        <v>80.0</v>
      </c>
      <c r="L71" s="8">
        <v>10.0</v>
      </c>
      <c r="M71" s="8">
        <v>170.0</v>
      </c>
      <c r="N71" s="8">
        <v>48.0</v>
      </c>
      <c r="O71" s="6" t="s">
        <v>24</v>
      </c>
      <c r="P71" s="6">
        <v>8.0</v>
      </c>
      <c r="Q71" s="6">
        <v>25.0</v>
      </c>
      <c r="R71" s="6">
        <v>24.0</v>
      </c>
      <c r="S71" s="6">
        <v>500.0</v>
      </c>
      <c r="T71" s="6">
        <v>2.0</v>
      </c>
      <c r="U71" s="14" t="s">
        <v>30</v>
      </c>
      <c r="V71" s="15">
        <v>100.0</v>
      </c>
    </row>
    <row r="72" ht="14.25" customHeight="1">
      <c r="A72" s="5" t="s">
        <v>122</v>
      </c>
      <c r="B72" s="6">
        <v>100.0</v>
      </c>
      <c r="C72" s="7">
        <f>'Coleta de artigos'!$K72/'Coleta de artigos'!$B72*100</f>
        <v>80</v>
      </c>
      <c r="D72" s="8">
        <v>1.2</v>
      </c>
      <c r="E72" s="9">
        <f>'Coleta de artigos'!$D72/79.866</f>
        <v>0.01502516715</v>
      </c>
      <c r="F72" s="10">
        <f>'Coleta de artigos'!$E72/('Coleta de artigos'!$E72+'Coleta de artigos'!$J72)*100</f>
        <v>0.001878110621</v>
      </c>
      <c r="G72" s="11">
        <f>IFERROR('Coleta de artigos'!$D72/'Coleta de artigos'!$K72,0)</f>
        <v>0.015</v>
      </c>
      <c r="H72" s="12">
        <f>'Coleta de artigos'!$E72/'Coleta de artigos'!$J72</f>
        <v>0.00001878145894</v>
      </c>
      <c r="I72" s="12" t="str">
        <f>'Coleta de artigos'!$H72/LARGE(I129:I165,1)</f>
        <v>#NUM!</v>
      </c>
      <c r="J72" s="13">
        <f>'Coleta de artigos'!$K72*'Coleta de artigos'!$L72</f>
        <v>800</v>
      </c>
      <c r="K72" s="13">
        <v>80.0</v>
      </c>
      <c r="L72" s="8">
        <v>10.0</v>
      </c>
      <c r="M72" s="8">
        <v>200.0</v>
      </c>
      <c r="N72" s="8">
        <v>24.0</v>
      </c>
      <c r="O72" s="6" t="s">
        <v>47</v>
      </c>
      <c r="P72" s="6"/>
      <c r="Q72" s="6">
        <v>80.0</v>
      </c>
      <c r="R72" s="6">
        <v>12.0</v>
      </c>
      <c r="S72" s="6">
        <v>700.0</v>
      </c>
      <c r="T72" s="6">
        <v>4.0</v>
      </c>
      <c r="U72" s="14" t="s">
        <v>30</v>
      </c>
      <c r="V72" s="15">
        <v>50.0</v>
      </c>
    </row>
    <row r="73" ht="14.25" customHeight="1">
      <c r="A73" s="5" t="s">
        <v>125</v>
      </c>
      <c r="B73" s="6" t="s">
        <v>23</v>
      </c>
      <c r="C73" s="7"/>
      <c r="D73" s="8">
        <v>1.5</v>
      </c>
      <c r="E73" s="9">
        <f>'Coleta de artigos'!$D73/79.866</f>
        <v>0.01878145894</v>
      </c>
      <c r="F73" s="10">
        <f>'Coleta de artigos'!$E73/('Coleta de artigos'!$E73+'Coleta de artigos'!$J73)*100</f>
        <v>0.001878110621</v>
      </c>
      <c r="G73" s="11">
        <f>IFERROR('Coleta de artigos'!$D73/'Coleta de artigos'!$K73,0)</f>
        <v>0.015</v>
      </c>
      <c r="H73" s="12">
        <f>'Coleta de artigos'!$E73/'Coleta de artigos'!$J73</f>
        <v>0.00001878145894</v>
      </c>
      <c r="I73" s="12" t="str">
        <f>'Coleta de artigos'!$H73/LARGE(I129:I166,1)</f>
        <v>#NUM!</v>
      </c>
      <c r="J73" s="13">
        <f>'Coleta de artigos'!$K73*'Coleta de artigos'!$L73</f>
        <v>1000</v>
      </c>
      <c r="K73" s="13">
        <v>100.0</v>
      </c>
      <c r="L73" s="8">
        <v>10.0</v>
      </c>
      <c r="M73" s="8">
        <v>130.0</v>
      </c>
      <c r="N73" s="8">
        <v>24.0</v>
      </c>
      <c r="O73" s="6" t="s">
        <v>47</v>
      </c>
      <c r="P73" s="6">
        <v>2.0</v>
      </c>
      <c r="Q73" s="6">
        <v>100.0</v>
      </c>
      <c r="R73" s="6">
        <v>1.0</v>
      </c>
      <c r="S73" s="6">
        <v>25.0</v>
      </c>
      <c r="T73" s="6"/>
      <c r="U73" s="14" t="s">
        <v>25</v>
      </c>
      <c r="V73" s="15">
        <v>15.0</v>
      </c>
    </row>
    <row r="74" ht="14.25" customHeight="1">
      <c r="A74" s="5" t="s">
        <v>126</v>
      </c>
      <c r="B74" s="6" t="s">
        <v>23</v>
      </c>
      <c r="C74" s="7"/>
      <c r="D74" s="8">
        <v>0.8</v>
      </c>
      <c r="E74" s="9">
        <f>'Coleta de artigos'!$D74/79.866</f>
        <v>0.0100167781</v>
      </c>
      <c r="F74" s="10">
        <f>'Coleta de artigos'!$E74/('Coleta de artigos'!$E74+'Coleta de artigos'!$J74)*100</f>
        <v>0.002003315487</v>
      </c>
      <c r="G74" s="11">
        <f>IFERROR('Coleta de artigos'!$D74/'Coleta de artigos'!$K74,0)</f>
        <v>0.016</v>
      </c>
      <c r="H74" s="12">
        <f>'Coleta de artigos'!$E74/'Coleta de artigos'!$J74</f>
        <v>0.00002003355621</v>
      </c>
      <c r="I74" s="12" t="str">
        <f>'Coleta de artigos'!$H74/LARGE(I129:I167,1)</f>
        <v>#NUM!</v>
      </c>
      <c r="J74" s="13">
        <f>'Coleta de artigos'!$K74*'Coleta de artigos'!$L74</f>
        <v>500</v>
      </c>
      <c r="K74" s="13">
        <v>50.0</v>
      </c>
      <c r="L74" s="8">
        <v>10.0</v>
      </c>
      <c r="M74" s="8">
        <v>150.0</v>
      </c>
      <c r="N74" s="8">
        <v>120.0</v>
      </c>
      <c r="O74" s="6" t="s">
        <v>47</v>
      </c>
      <c r="P74" s="6">
        <v>3.0</v>
      </c>
      <c r="Q74" s="6">
        <v>150.0</v>
      </c>
      <c r="R74" s="6">
        <v>12.0</v>
      </c>
      <c r="S74" s="6">
        <v>400.0</v>
      </c>
      <c r="T74" s="6">
        <v>2.0</v>
      </c>
      <c r="U74" s="14" t="s">
        <v>30</v>
      </c>
      <c r="V74" s="15" t="s">
        <v>127</v>
      </c>
    </row>
    <row r="75" ht="14.25" customHeight="1">
      <c r="A75" s="5" t="s">
        <v>128</v>
      </c>
      <c r="B75" s="6" t="s">
        <v>23</v>
      </c>
      <c r="C75" s="7"/>
      <c r="D75" s="8">
        <v>0.5</v>
      </c>
      <c r="E75" s="9">
        <f>'Coleta de artigos'!$D75/79.866</f>
        <v>0.006260486315</v>
      </c>
      <c r="F75" s="10">
        <f>'Coleta de artigos'!$E75/('Coleta de artigos'!$E75+'Coleta de artigos'!$J75)*100</f>
        <v>0.002318644873</v>
      </c>
      <c r="G75" s="11">
        <f>IFERROR('Coleta de artigos'!$D75/'Coleta de artigos'!$K75,0)</f>
        <v>0.01666666667</v>
      </c>
      <c r="H75" s="12">
        <f>'Coleta de artigos'!$E75/'Coleta de artigos'!$J75</f>
        <v>0.00002318698635</v>
      </c>
      <c r="I75" s="12" t="str">
        <f>'Coleta de artigos'!$H75/LARGE(I129:I168,1)</f>
        <v>#NUM!</v>
      </c>
      <c r="J75" s="13">
        <f>'Coleta de artigos'!$K75*'Coleta de artigos'!$L75</f>
        <v>270</v>
      </c>
      <c r="K75" s="13">
        <v>30.0</v>
      </c>
      <c r="L75" s="8">
        <v>9.0</v>
      </c>
      <c r="M75" s="8">
        <v>160.0</v>
      </c>
      <c r="N75" s="8">
        <v>8.0</v>
      </c>
      <c r="O75" s="6" t="s">
        <v>24</v>
      </c>
      <c r="P75" s="6"/>
      <c r="Q75" s="6"/>
      <c r="R75" s="6"/>
      <c r="S75" s="6">
        <v>25.0</v>
      </c>
      <c r="T75" s="6"/>
      <c r="U75" s="14" t="s">
        <v>25</v>
      </c>
      <c r="V75" s="15">
        <v>10.0</v>
      </c>
    </row>
    <row r="76" ht="14.25" customHeight="1">
      <c r="A76" s="5" t="s">
        <v>129</v>
      </c>
      <c r="B76" s="6" t="s">
        <v>23</v>
      </c>
      <c r="C76" s="7"/>
      <c r="D76" s="8">
        <v>1.0</v>
      </c>
      <c r="E76" s="9">
        <f>'Coleta de artigos'!$D76/79.866</f>
        <v>0.01252097263</v>
      </c>
      <c r="F76" s="10">
        <f>'Coleta de artigos'!$E76/('Coleta de artigos'!$E76+'Coleta de artigos'!$J76)*100</f>
        <v>0.002086785224</v>
      </c>
      <c r="G76" s="11">
        <f>IFERROR('Coleta de artigos'!$D76/'Coleta de artigos'!$K76,0)</f>
        <v>0.01666666667</v>
      </c>
      <c r="H76" s="12">
        <f>'Coleta de artigos'!$E76/'Coleta de artigos'!$J76</f>
        <v>0.00002086828772</v>
      </c>
      <c r="I76" s="12" t="str">
        <f>'Coleta de artigos'!$H76/LARGE(I129:I169,1)</f>
        <v>#NUM!</v>
      </c>
      <c r="J76" s="13">
        <f>'Coleta de artigos'!$K76*'Coleta de artigos'!$L76</f>
        <v>600</v>
      </c>
      <c r="K76" s="13">
        <v>60.0</v>
      </c>
      <c r="L76" s="8">
        <v>10.0</v>
      </c>
      <c r="M76" s="8">
        <v>110.0</v>
      </c>
      <c r="N76" s="8">
        <v>48.0</v>
      </c>
      <c r="O76" s="6" t="s">
        <v>24</v>
      </c>
      <c r="P76" s="6"/>
      <c r="Q76" s="6">
        <v>35.0</v>
      </c>
      <c r="R76" s="6"/>
      <c r="S76" s="6">
        <v>450.0</v>
      </c>
      <c r="T76" s="6">
        <v>2.0</v>
      </c>
      <c r="U76" s="14" t="s">
        <v>25</v>
      </c>
      <c r="V76" s="15">
        <v>60.0</v>
      </c>
    </row>
    <row r="77" ht="14.25" customHeight="1">
      <c r="A77" s="5" t="s">
        <v>130</v>
      </c>
      <c r="B77" s="6" t="s">
        <v>23</v>
      </c>
      <c r="C77" s="7"/>
      <c r="D77" s="8">
        <v>2.0</v>
      </c>
      <c r="E77" s="9">
        <f>'Coleta de artigos'!$D77/79.866</f>
        <v>0.02504194526</v>
      </c>
      <c r="F77" s="10">
        <f>'Coleta de artigos'!$E77/('Coleta de artigos'!$E77+'Coleta de artigos'!$J77)*100</f>
        <v>0.002086785224</v>
      </c>
      <c r="G77" s="11">
        <f>IFERROR('Coleta de artigos'!$D77/'Coleta de artigos'!$K77,0)</f>
        <v>0.01666666667</v>
      </c>
      <c r="H77" s="12">
        <f>'Coleta de artigos'!$E77/'Coleta de artigos'!$J77</f>
        <v>0.00002086828772</v>
      </c>
      <c r="I77" s="12" t="str">
        <f>'Coleta de artigos'!$H77/LARGE(I129:I170,1)</f>
        <v>#NUM!</v>
      </c>
      <c r="J77" s="13">
        <f>'Coleta de artigos'!$K77*'Coleta de artigos'!$L77</f>
        <v>1200</v>
      </c>
      <c r="K77" s="13">
        <v>120.0</v>
      </c>
      <c r="L77" s="8">
        <v>10.0</v>
      </c>
      <c r="M77" s="8">
        <v>110.0</v>
      </c>
      <c r="N77" s="8">
        <v>20.0</v>
      </c>
      <c r="O77" s="6" t="s">
        <v>24</v>
      </c>
      <c r="P77" s="6"/>
      <c r="Q77" s="6"/>
      <c r="R77" s="6"/>
      <c r="S77" s="6">
        <v>25.0</v>
      </c>
      <c r="T77" s="6"/>
      <c r="U77" s="14" t="s">
        <v>25</v>
      </c>
      <c r="V77" s="15" t="s">
        <v>60</v>
      </c>
    </row>
    <row r="78" ht="14.25" customHeight="1">
      <c r="A78" s="5" t="s">
        <v>131</v>
      </c>
      <c r="B78" s="6" t="s">
        <v>23</v>
      </c>
      <c r="C78" s="21"/>
      <c r="D78" s="8">
        <v>0.2</v>
      </c>
      <c r="E78" s="9">
        <f>'Coleta de artigos'!$D78/79.866</f>
        <v>0.002504194526</v>
      </c>
      <c r="F78" s="10">
        <f>'Coleta de artigos'!$E78/('Coleta de artigos'!$E78+'Coleta de artigos'!$J78)*100</f>
        <v>0.003130145176</v>
      </c>
      <c r="G78" s="11">
        <f>IFERROR('Coleta de artigos'!$D78/'Coleta de artigos'!$K78,0)</f>
        <v>0.02</v>
      </c>
      <c r="H78" s="12">
        <f>'Coleta de artigos'!$E78/'Coleta de artigos'!$J78</f>
        <v>0.00003130243157</v>
      </c>
      <c r="I78" s="12" t="str">
        <f>'Coleta de artigos'!$H78/LARGE(I129:I171,1)</f>
        <v>#NUM!</v>
      </c>
      <c r="J78" s="13">
        <f>'Coleta de artigos'!$K78*'Coleta de artigos'!$L78</f>
        <v>80</v>
      </c>
      <c r="K78" s="13">
        <v>10.0</v>
      </c>
      <c r="L78" s="8">
        <v>8.0</v>
      </c>
      <c r="M78" s="8">
        <v>220.0</v>
      </c>
      <c r="N78" s="8">
        <v>48.0</v>
      </c>
      <c r="O78" s="6" t="s">
        <v>28</v>
      </c>
      <c r="P78" s="6"/>
      <c r="Q78" s="6"/>
      <c r="R78" s="6"/>
      <c r="S78" s="6">
        <v>25.0</v>
      </c>
      <c r="T78" s="6"/>
      <c r="U78" s="14" t="s">
        <v>30</v>
      </c>
      <c r="V78" s="15" t="s">
        <v>132</v>
      </c>
    </row>
    <row r="79" ht="14.25" customHeight="1">
      <c r="A79" s="5" t="s">
        <v>131</v>
      </c>
      <c r="B79" s="6" t="s">
        <v>23</v>
      </c>
      <c r="C79" s="21"/>
      <c r="D79" s="8">
        <v>0.2</v>
      </c>
      <c r="E79" s="9">
        <f>'Coleta de artigos'!$D79/79.866</f>
        <v>0.002504194526</v>
      </c>
      <c r="F79" s="10">
        <f>'Coleta de artigos'!$E79/('Coleta de artigos'!$E79+'Coleta de artigos'!$J79)*100</f>
        <v>0.006260094402</v>
      </c>
      <c r="G79" s="11">
        <f>IFERROR('Coleta de artigos'!$D79/'Coleta de artigos'!$K79,0)</f>
        <v>0.02</v>
      </c>
      <c r="H79" s="12">
        <f>'Coleta de artigos'!$E79/'Coleta de artigos'!$J79</f>
        <v>0.00006260486315</v>
      </c>
      <c r="I79" s="12" t="str">
        <f>'Coleta de artigos'!$H79/LARGE(I129:I172,1)</f>
        <v>#NUM!</v>
      </c>
      <c r="J79" s="13">
        <f>'Coleta de artigos'!$K79*'Coleta de artigos'!$L79</f>
        <v>40</v>
      </c>
      <c r="K79" s="13">
        <v>10.0</v>
      </c>
      <c r="L79" s="8">
        <v>4.0</v>
      </c>
      <c r="M79" s="8">
        <v>220.0</v>
      </c>
      <c r="N79" s="8">
        <v>48.0</v>
      </c>
      <c r="O79" s="6" t="s">
        <v>28</v>
      </c>
      <c r="P79" s="6"/>
      <c r="Q79" s="6"/>
      <c r="R79" s="6"/>
      <c r="S79" s="6">
        <v>25.0</v>
      </c>
      <c r="T79" s="6"/>
      <c r="U79" s="14" t="s">
        <v>133</v>
      </c>
      <c r="V79" s="15">
        <v>10000.0</v>
      </c>
    </row>
    <row r="80" ht="14.25" customHeight="1">
      <c r="A80" s="5" t="s">
        <v>131</v>
      </c>
      <c r="B80" s="6" t="s">
        <v>23</v>
      </c>
      <c r="C80" s="21"/>
      <c r="D80" s="8">
        <v>0.2</v>
      </c>
      <c r="E80" s="9">
        <f>'Coleta de artigos'!$D80/79.866</f>
        <v>0.002504194526</v>
      </c>
      <c r="F80" s="10">
        <f>'Coleta de artigos'!$E80/('Coleta de artigos'!$E80+'Coleta de artigos'!$J80)*100</f>
        <v>0.01251940508</v>
      </c>
      <c r="G80" s="11">
        <f>IFERROR('Coleta de artigos'!$D80/'Coleta de artigos'!$K80,0)</f>
        <v>0.02</v>
      </c>
      <c r="H80" s="12">
        <f>'Coleta de artigos'!$E80/'Coleta de artigos'!$J80</f>
        <v>0.0001252097263</v>
      </c>
      <c r="I80" s="12" t="str">
        <f>'Coleta de artigos'!$H80/LARGE(I129:I173,1)</f>
        <v>#NUM!</v>
      </c>
      <c r="J80" s="13">
        <f>'Coleta de artigos'!$K80*'Coleta de artigos'!$L80</f>
        <v>20</v>
      </c>
      <c r="K80" s="13">
        <v>10.0</v>
      </c>
      <c r="L80" s="8">
        <v>2.0</v>
      </c>
      <c r="M80" s="8">
        <v>220.0</v>
      </c>
      <c r="N80" s="8">
        <v>48.0</v>
      </c>
      <c r="O80" s="6" t="s">
        <v>28</v>
      </c>
      <c r="P80" s="6"/>
      <c r="Q80" s="6"/>
      <c r="R80" s="6"/>
      <c r="S80" s="6">
        <v>25.0</v>
      </c>
      <c r="T80" s="6"/>
      <c r="U80" s="14" t="s">
        <v>134</v>
      </c>
      <c r="V80" s="15">
        <v>10000.0</v>
      </c>
    </row>
    <row r="81" ht="14.25" customHeight="1">
      <c r="A81" s="5" t="s">
        <v>135</v>
      </c>
      <c r="B81" s="6" t="s">
        <v>23</v>
      </c>
      <c r="C81" s="7"/>
      <c r="D81" s="8">
        <v>2.0</v>
      </c>
      <c r="E81" s="9">
        <f>'Coleta de artigos'!$D81/79.866</f>
        <v>0.02504194526</v>
      </c>
      <c r="F81" s="10">
        <f>'Coleta de artigos'!$E81/('Coleta de artigos'!$E81+'Coleta de artigos'!$J81)*100</f>
        <v>0.002504131817</v>
      </c>
      <c r="G81" s="11">
        <f>IFERROR('Coleta de artigos'!$D81/'Coleta de artigos'!$K81,0)</f>
        <v>0.02</v>
      </c>
      <c r="H81" s="12">
        <f>'Coleta de artigos'!$E81/'Coleta de artigos'!$J81</f>
        <v>0.00002504194526</v>
      </c>
      <c r="I81" s="12" t="str">
        <f>'Coleta de artigos'!$H81/LARGE(I129:I174,1)</f>
        <v>#NUM!</v>
      </c>
      <c r="J81" s="13">
        <f>'Coleta de artigos'!$K81*'Coleta de artigos'!$L81</f>
        <v>1000</v>
      </c>
      <c r="K81" s="13">
        <v>100.0</v>
      </c>
      <c r="L81" s="8">
        <v>10.0</v>
      </c>
      <c r="M81" s="8">
        <v>120.0</v>
      </c>
      <c r="N81" s="8">
        <v>48.0</v>
      </c>
      <c r="O81" s="6" t="s">
        <v>24</v>
      </c>
      <c r="P81" s="6"/>
      <c r="Q81" s="6"/>
      <c r="R81" s="6"/>
      <c r="S81" s="6">
        <v>25.0</v>
      </c>
      <c r="T81" s="6"/>
      <c r="U81" s="14" t="s">
        <v>25</v>
      </c>
      <c r="V81" s="15" t="s">
        <v>81</v>
      </c>
    </row>
    <row r="82" ht="14.25" customHeight="1">
      <c r="A82" s="5" t="s">
        <v>136</v>
      </c>
      <c r="B82" s="6">
        <v>1000.0</v>
      </c>
      <c r="C82" s="17">
        <v>50.0</v>
      </c>
      <c r="D82" s="8">
        <v>10.0</v>
      </c>
      <c r="E82" s="9">
        <f>'Coleta de artigos'!$D82/79.866</f>
        <v>0.1252097263</v>
      </c>
      <c r="F82" s="10">
        <f>'Coleta de artigos'!$E82/('Coleta de artigos'!$E82+'Coleta de artigos'!$J82)*100</f>
        <v>0.005008138225</v>
      </c>
      <c r="G82" s="11">
        <f>IFERROR('Coleta de artigos'!$D82/'Coleta de artigos'!$K82,0)</f>
        <v>0.02</v>
      </c>
      <c r="H82" s="12">
        <f>'Coleta de artigos'!$E82/'Coleta de artigos'!$J82</f>
        <v>0.00005008389052</v>
      </c>
      <c r="I82" s="12" t="str">
        <f>'Coleta de artigos'!$H82/LARGE(I129:I175,1)</f>
        <v>#NUM!</v>
      </c>
      <c r="J82" s="13">
        <f>'Coleta de artigos'!$K82*'Coleta de artigos'!$L82</f>
        <v>2500</v>
      </c>
      <c r="K82" s="13">
        <v>500.0</v>
      </c>
      <c r="L82" s="8">
        <v>5.0</v>
      </c>
      <c r="M82" s="8">
        <v>190.0</v>
      </c>
      <c r="N82" s="8">
        <v>24.0</v>
      </c>
      <c r="O82" s="6" t="s">
        <v>24</v>
      </c>
      <c r="P82" s="6"/>
      <c r="Q82" s="6"/>
      <c r="R82" s="6"/>
      <c r="S82" s="6">
        <v>300.0</v>
      </c>
      <c r="T82" s="6">
        <v>3.0</v>
      </c>
      <c r="U82" s="14" t="s">
        <v>33</v>
      </c>
      <c r="V82" s="15">
        <v>50.0</v>
      </c>
    </row>
    <row r="83" ht="14.25" customHeight="1">
      <c r="A83" s="5" t="s">
        <v>137</v>
      </c>
      <c r="B83" s="6" t="s">
        <v>23</v>
      </c>
      <c r="C83" s="7"/>
      <c r="D83" s="8">
        <v>0.5</v>
      </c>
      <c r="E83" s="9">
        <f>'Coleta de artigos'!$D83/79.866</f>
        <v>0.006260486315</v>
      </c>
      <c r="F83" s="10">
        <f>'Coleta de artigos'!$E83/('Coleta de artigos'!$E83+'Coleta de artigos'!$J83)*100</f>
        <v>0.003130145176</v>
      </c>
      <c r="G83" s="11">
        <f>IFERROR('Coleta de artigos'!$D83/'Coleta de artigos'!$K83,0)</f>
        <v>0.025</v>
      </c>
      <c r="H83" s="12">
        <f>'Coleta de artigos'!$E83/'Coleta de artigos'!$J83</f>
        <v>0.00003130243157</v>
      </c>
      <c r="I83" s="12" t="str">
        <f>'Coleta de artigos'!$H83/LARGE(I129:I176,1)</f>
        <v>#NUM!</v>
      </c>
      <c r="J83" s="13">
        <f>'Coleta de artigos'!$K83*'Coleta de artigos'!$L83</f>
        <v>200</v>
      </c>
      <c r="K83" s="13">
        <v>20.0</v>
      </c>
      <c r="L83" s="8">
        <v>10.0</v>
      </c>
      <c r="M83" s="8">
        <v>200.0</v>
      </c>
      <c r="N83" s="8">
        <v>40.0</v>
      </c>
      <c r="O83" s="6" t="s">
        <v>24</v>
      </c>
      <c r="P83" s="6"/>
      <c r="Q83" s="6">
        <v>80.0</v>
      </c>
      <c r="R83" s="6">
        <v>72.0</v>
      </c>
      <c r="S83" s="6">
        <v>25.0</v>
      </c>
      <c r="T83" s="6"/>
      <c r="U83" s="14" t="s">
        <v>33</v>
      </c>
      <c r="V83" s="15" t="s">
        <v>138</v>
      </c>
    </row>
    <row r="84" ht="14.25" customHeight="1">
      <c r="A84" s="5" t="s">
        <v>139</v>
      </c>
      <c r="B84" s="6" t="s">
        <v>23</v>
      </c>
      <c r="C84" s="7"/>
      <c r="D84" s="8">
        <v>2.0</v>
      </c>
      <c r="E84" s="9">
        <f>'Coleta de artigos'!$D84/79.866</f>
        <v>0.02504194526</v>
      </c>
      <c r="F84" s="10">
        <f>'Coleta de artigos'!$E84/('Coleta de artigos'!$E84+'Coleta de artigos'!$J84)*100</f>
        <v>0.003130145176</v>
      </c>
      <c r="G84" s="11">
        <f>IFERROR('Coleta de artigos'!$D84/'Coleta de artigos'!$K84,0)</f>
        <v>0.025</v>
      </c>
      <c r="H84" s="12">
        <f>'Coleta de artigos'!$E84/'Coleta de artigos'!$J84</f>
        <v>0.00003130243157</v>
      </c>
      <c r="I84" s="12" t="str">
        <f>'Coleta de artigos'!$H84/LARGE(I129:I177,1)</f>
        <v>#NUM!</v>
      </c>
      <c r="J84" s="13">
        <f>'Coleta de artigos'!$K84*'Coleta de artigos'!$L84</f>
        <v>800</v>
      </c>
      <c r="K84" s="13">
        <v>80.0</v>
      </c>
      <c r="L84" s="8">
        <v>10.0</v>
      </c>
      <c r="M84" s="8">
        <v>130.0</v>
      </c>
      <c r="N84" s="8">
        <v>72.0</v>
      </c>
      <c r="O84" s="6" t="s">
        <v>24</v>
      </c>
      <c r="P84" s="6">
        <v>2.0</v>
      </c>
      <c r="Q84" s="6">
        <v>80.0</v>
      </c>
      <c r="R84" s="6">
        <v>48.0</v>
      </c>
      <c r="S84" s="6">
        <v>25.0</v>
      </c>
      <c r="T84" s="6"/>
      <c r="U84" s="14" t="s">
        <v>25</v>
      </c>
      <c r="V84" s="15">
        <v>10.0</v>
      </c>
    </row>
    <row r="85" ht="14.25" customHeight="1">
      <c r="A85" s="5" t="s">
        <v>140</v>
      </c>
      <c r="B85" s="6" t="s">
        <v>23</v>
      </c>
      <c r="C85" s="7"/>
      <c r="D85" s="8">
        <v>5.0</v>
      </c>
      <c r="E85" s="9">
        <f>'Coleta de artigos'!$D85/79.866</f>
        <v>0.06260486315</v>
      </c>
      <c r="F85" s="10">
        <f>'Coleta de artigos'!$E85/('Coleta de artigos'!$E85+'Coleta de artigos'!$J85)*100</f>
        <v>0.003477926989</v>
      </c>
      <c r="G85" s="11">
        <f>IFERROR('Coleta de artigos'!$D85/'Coleta de artigos'!$K85,0)</f>
        <v>0.02777777778</v>
      </c>
      <c r="H85" s="12">
        <f>'Coleta de artigos'!$E85/'Coleta de artigos'!$J85</f>
        <v>0.00003478047953</v>
      </c>
      <c r="I85" s="12" t="str">
        <f>'Coleta de artigos'!$H85/LARGE(I129:I178,1)</f>
        <v>#NUM!</v>
      </c>
      <c r="J85" s="13">
        <f>'Coleta de artigos'!$K85*'Coleta de artigos'!$L85</f>
        <v>1800</v>
      </c>
      <c r="K85" s="13">
        <v>180.0</v>
      </c>
      <c r="L85" s="8">
        <v>10.0</v>
      </c>
      <c r="M85" s="8">
        <v>110.0</v>
      </c>
      <c r="N85" s="8">
        <v>90.0</v>
      </c>
      <c r="O85" s="6" t="s">
        <v>24</v>
      </c>
      <c r="P85" s="6"/>
      <c r="Q85" s="6">
        <v>110.0</v>
      </c>
      <c r="R85" s="6"/>
      <c r="S85" s="6">
        <v>25.0</v>
      </c>
      <c r="T85" s="6"/>
      <c r="U85" s="14" t="s">
        <v>25</v>
      </c>
      <c r="V85" s="15">
        <v>10.0</v>
      </c>
    </row>
    <row r="86" ht="14.25" customHeight="1">
      <c r="A86" s="5" t="s">
        <v>141</v>
      </c>
      <c r="B86" s="6" t="s">
        <v>23</v>
      </c>
      <c r="C86" s="7"/>
      <c r="D86" s="8">
        <v>2.0</v>
      </c>
      <c r="E86" s="9">
        <f>'Coleta de artigos'!$D86/79.866</f>
        <v>0.02504194526</v>
      </c>
      <c r="F86" s="10">
        <f>'Coleta de artigos'!$E86/('Coleta de artigos'!$E86+'Coleta de artigos'!$J86)*100</f>
        <v>0.003577292776</v>
      </c>
      <c r="G86" s="11">
        <f>IFERROR('Coleta de artigos'!$D86/'Coleta de artigos'!$K86,0)</f>
        <v>0.02857142857</v>
      </c>
      <c r="H86" s="12">
        <f>'Coleta de artigos'!$E86/'Coleta de artigos'!$J86</f>
        <v>0.00003577420751</v>
      </c>
      <c r="I86" s="12" t="str">
        <f>'Coleta de artigos'!$H86/LARGE(I129:I179,1)</f>
        <v>#NUM!</v>
      </c>
      <c r="J86" s="13">
        <f>'Coleta de artigos'!$K86*'Coleta de artigos'!$L86</f>
        <v>700</v>
      </c>
      <c r="K86" s="13">
        <v>70.0</v>
      </c>
      <c r="L86" s="8">
        <v>10.0</v>
      </c>
      <c r="M86" s="8">
        <v>130.0</v>
      </c>
      <c r="N86" s="8">
        <v>24.0</v>
      </c>
      <c r="O86" s="6" t="s">
        <v>47</v>
      </c>
      <c r="P86" s="6"/>
      <c r="Q86" s="6">
        <v>100.0</v>
      </c>
      <c r="R86" s="6">
        <v>3.0</v>
      </c>
      <c r="S86" s="6">
        <v>25.0</v>
      </c>
      <c r="T86" s="6"/>
      <c r="U86" s="14" t="s">
        <v>25</v>
      </c>
      <c r="V86" s="15" t="s">
        <v>81</v>
      </c>
    </row>
    <row r="87" ht="14.25" customHeight="1">
      <c r="A87" s="5" t="s">
        <v>142</v>
      </c>
      <c r="B87" s="6" t="s">
        <v>23</v>
      </c>
      <c r="C87" s="7"/>
      <c r="D87" s="8">
        <v>2.0</v>
      </c>
      <c r="E87" s="9">
        <f>'Coleta de artigos'!$D87/79.866</f>
        <v>0.02504194526</v>
      </c>
      <c r="F87" s="10">
        <f>'Coleta de artigos'!$E87/('Coleta de artigos'!$E87+'Coleta de artigos'!$J87)*100</f>
        <v>0.003577292776</v>
      </c>
      <c r="G87" s="11">
        <f>IFERROR('Coleta de artigos'!$D87/'Coleta de artigos'!$K87,0)</f>
        <v>0.02857142857</v>
      </c>
      <c r="H87" s="12">
        <f>'Coleta de artigos'!$E87/'Coleta de artigos'!$J87</f>
        <v>0.00003577420751</v>
      </c>
      <c r="I87" s="12" t="str">
        <f>'Coleta de artigos'!$H87/LARGE(I129:I180,1)</f>
        <v>#NUM!</v>
      </c>
      <c r="J87" s="13">
        <f>'Coleta de artigos'!$K87*'Coleta de artigos'!$L87</f>
        <v>700</v>
      </c>
      <c r="K87" s="13">
        <v>70.0</v>
      </c>
      <c r="L87" s="8">
        <v>10.0</v>
      </c>
      <c r="M87" s="8">
        <v>130.0</v>
      </c>
      <c r="N87" s="8">
        <v>24.0</v>
      </c>
      <c r="O87" s="6" t="s">
        <v>47</v>
      </c>
      <c r="P87" s="6"/>
      <c r="Q87" s="6">
        <v>100.0</v>
      </c>
      <c r="R87" s="6">
        <v>3.0</v>
      </c>
      <c r="S87" s="6">
        <v>25.0</v>
      </c>
      <c r="T87" s="6"/>
      <c r="U87" s="14" t="s">
        <v>25</v>
      </c>
      <c r="V87" s="15" t="s">
        <v>143</v>
      </c>
    </row>
    <row r="88" ht="14.25" customHeight="1">
      <c r="A88" s="5" t="s">
        <v>77</v>
      </c>
      <c r="B88" s="6" t="s">
        <v>42</v>
      </c>
      <c r="C88" s="7"/>
      <c r="D88" s="8">
        <v>9.0</v>
      </c>
      <c r="E88" s="9">
        <f>'Coleta de artigos'!$D88/79.866</f>
        <v>0.1126887537</v>
      </c>
      <c r="F88" s="10">
        <f>'Coleta de artigos'!$E88/('Coleta de artigos'!$E88+'Coleta de artigos'!$J88)*100</f>
        <v>0.003756150697</v>
      </c>
      <c r="G88" s="11">
        <f>IFERROR('Coleta de artigos'!$D88/'Coleta de artigos'!$K88,0)</f>
        <v>0.03</v>
      </c>
      <c r="H88" s="12">
        <f>'Coleta de artigos'!$E88/'Coleta de artigos'!$J88</f>
        <v>0.00003756291789</v>
      </c>
      <c r="I88" s="12" t="str">
        <f>'Coleta de artigos'!$H88/LARGE(I129:I181,1)</f>
        <v>#NUM!</v>
      </c>
      <c r="J88" s="13">
        <f>'Coleta de artigos'!$K88*'Coleta de artigos'!$L88</f>
        <v>3000</v>
      </c>
      <c r="K88" s="13">
        <v>300.0</v>
      </c>
      <c r="L88" s="8">
        <v>10.0</v>
      </c>
      <c r="M88" s="8">
        <v>190.0</v>
      </c>
      <c r="N88" s="8">
        <v>22.0</v>
      </c>
      <c r="O88" s="6" t="s">
        <v>78</v>
      </c>
      <c r="P88" s="6">
        <v>0.5</v>
      </c>
      <c r="Q88" s="6">
        <v>50.0</v>
      </c>
      <c r="R88" s="6"/>
      <c r="S88" s="6">
        <v>25.0</v>
      </c>
      <c r="T88" s="6"/>
      <c r="U88" s="14" t="s">
        <v>33</v>
      </c>
      <c r="V88" s="15">
        <v>50.0</v>
      </c>
    </row>
    <row r="89" ht="14.25" customHeight="1">
      <c r="A89" s="5" t="s">
        <v>144</v>
      </c>
      <c r="B89" s="6" t="s">
        <v>23</v>
      </c>
      <c r="C89" s="7"/>
      <c r="D89" s="8">
        <v>9.0</v>
      </c>
      <c r="E89" s="9">
        <f>'Coleta de artigos'!$D89/79.866</f>
        <v>0.1126887537</v>
      </c>
      <c r="F89" s="10">
        <f>'Coleta de artigos'!$E89/('Coleta de artigos'!$E89+'Coleta de artigos'!$J89)*100</f>
        <v>0.003756150697</v>
      </c>
      <c r="G89" s="11">
        <f>IFERROR('Coleta de artigos'!$D89/'Coleta de artigos'!$K89,0)</f>
        <v>0.03</v>
      </c>
      <c r="H89" s="12">
        <f>'Coleta de artigos'!$E89/'Coleta de artigos'!$J89</f>
        <v>0.00003756291789</v>
      </c>
      <c r="I89" s="12" t="str">
        <f>'Coleta de artigos'!$H89/LARGE(I129:I182,1)</f>
        <v>#NUM!</v>
      </c>
      <c r="J89" s="13">
        <f>'Coleta de artigos'!$K89*'Coleta de artigos'!$L89</f>
        <v>3000</v>
      </c>
      <c r="K89" s="13">
        <v>300.0</v>
      </c>
      <c r="L89" s="8">
        <v>10.0</v>
      </c>
      <c r="M89" s="8">
        <v>140.0</v>
      </c>
      <c r="N89" s="8">
        <v>22.0</v>
      </c>
      <c r="O89" s="6" t="s">
        <v>145</v>
      </c>
      <c r="P89" s="6">
        <v>0.5</v>
      </c>
      <c r="Q89" s="6">
        <v>80.0</v>
      </c>
      <c r="R89" s="6"/>
      <c r="S89" s="6">
        <v>25.0</v>
      </c>
      <c r="T89" s="6"/>
      <c r="U89" s="14" t="s">
        <v>25</v>
      </c>
      <c r="V89" s="15" t="s">
        <v>143</v>
      </c>
    </row>
    <row r="90" ht="14.25" customHeight="1">
      <c r="A90" s="5" t="s">
        <v>146</v>
      </c>
      <c r="B90" s="6">
        <v>90.0</v>
      </c>
      <c r="C90" s="7">
        <f>'Coleta de artigos'!$K90/'Coleta de artigos'!$B90*100</f>
        <v>66.66666667</v>
      </c>
      <c r="D90" s="8">
        <v>2.0</v>
      </c>
      <c r="E90" s="9">
        <f>'Coleta de artigos'!$D90/79.866</f>
        <v>0.02504194526</v>
      </c>
      <c r="F90" s="10">
        <f>'Coleta de artigos'!$E90/('Coleta de artigos'!$E90+'Coleta de artigos'!$J90)*100</f>
        <v>0.004173483356</v>
      </c>
      <c r="G90" s="11">
        <f>IFERROR('Coleta de artigos'!$D90/'Coleta de artigos'!$K90,0)</f>
        <v>0.03333333333</v>
      </c>
      <c r="H90" s="12">
        <f>'Coleta de artigos'!$E90/'Coleta de artigos'!$J90</f>
        <v>0.00004173657543</v>
      </c>
      <c r="I90" s="12" t="str">
        <f>'Coleta de artigos'!$H90/LARGE(I129:I183,1)</f>
        <v>#NUM!</v>
      </c>
      <c r="J90" s="13">
        <f>'Coleta de artigos'!$K90*'Coleta de artigos'!$L90</f>
        <v>600</v>
      </c>
      <c r="K90" s="13">
        <v>60.0</v>
      </c>
      <c r="L90" s="8">
        <v>10.0</v>
      </c>
      <c r="M90" s="8">
        <v>190.0</v>
      </c>
      <c r="N90" s="8">
        <v>170.0</v>
      </c>
      <c r="O90" s="6" t="s">
        <v>28</v>
      </c>
      <c r="P90" s="6"/>
      <c r="Q90" s="6">
        <v>60.0</v>
      </c>
      <c r="R90" s="6">
        <v>24.0</v>
      </c>
      <c r="S90" s="6">
        <v>800.0</v>
      </c>
      <c r="T90" s="6">
        <v>1.0</v>
      </c>
      <c r="U90" s="14" t="s">
        <v>33</v>
      </c>
      <c r="V90" s="15">
        <v>20.0</v>
      </c>
    </row>
    <row r="91" ht="14.25" customHeight="1">
      <c r="A91" s="5" t="s">
        <v>146</v>
      </c>
      <c r="B91" s="6">
        <v>90.0</v>
      </c>
      <c r="C91" s="7">
        <f>'Coleta de artigos'!$K91/'Coleta de artigos'!$B91*100</f>
        <v>66.66666667</v>
      </c>
      <c r="D91" s="8">
        <v>2.0</v>
      </c>
      <c r="E91" s="9">
        <f>'Coleta de artigos'!$D91/79.866</f>
        <v>0.02504194526</v>
      </c>
      <c r="F91" s="10">
        <f>'Coleta de artigos'!$E91/('Coleta de artigos'!$E91+'Coleta de artigos'!$J91)*100</f>
        <v>0.004173483356</v>
      </c>
      <c r="G91" s="11">
        <f>IFERROR('Coleta de artigos'!$D91/'Coleta de artigos'!$K91,0)</f>
        <v>0.03333333333</v>
      </c>
      <c r="H91" s="12">
        <f>'Coleta de artigos'!$E91/'Coleta de artigos'!$J91</f>
        <v>0.00004173657543</v>
      </c>
      <c r="I91" s="12" t="str">
        <f>'Coleta de artigos'!$H91/LARGE(I129:I184,1)</f>
        <v>#NUM!</v>
      </c>
      <c r="J91" s="13">
        <f>'Coleta de artigos'!$K91*'Coleta de artigos'!$L91</f>
        <v>600</v>
      </c>
      <c r="K91" s="13">
        <v>60.0</v>
      </c>
      <c r="L91" s="8">
        <v>10.0</v>
      </c>
      <c r="M91" s="8">
        <v>165.0</v>
      </c>
      <c r="N91" s="8">
        <v>170.0</v>
      </c>
      <c r="O91" s="6" t="s">
        <v>28</v>
      </c>
      <c r="P91" s="6"/>
      <c r="Q91" s="6">
        <v>60.0</v>
      </c>
      <c r="R91" s="6">
        <v>24.0</v>
      </c>
      <c r="S91" s="6">
        <v>800.0</v>
      </c>
      <c r="T91" s="6">
        <v>1.0</v>
      </c>
      <c r="U91" s="14" t="s">
        <v>25</v>
      </c>
      <c r="V91" s="15">
        <v>9.0</v>
      </c>
    </row>
    <row r="92" ht="14.25" customHeight="1">
      <c r="A92" s="5" t="s">
        <v>147</v>
      </c>
      <c r="B92" s="6">
        <v>125.0</v>
      </c>
      <c r="C92" s="7">
        <f>'Coleta de artigos'!$K92/'Coleta de artigos'!$B92*100</f>
        <v>40</v>
      </c>
      <c r="D92" s="8">
        <v>2.0</v>
      </c>
      <c r="E92" s="9">
        <f>'Coleta de artigos'!$D92/79.866</f>
        <v>0.02504194526</v>
      </c>
      <c r="F92" s="10">
        <f>'Coleta de artigos'!$E92/('Coleta de artigos'!$E92+'Coleta de artigos'!$J92)*100</f>
        <v>0.005008138225</v>
      </c>
      <c r="G92" s="11">
        <f>IFERROR('Coleta de artigos'!$D92/'Coleta de artigos'!$K92,0)</f>
        <v>0.04</v>
      </c>
      <c r="H92" s="12">
        <f>'Coleta de artigos'!$E92/'Coleta de artigos'!$J92</f>
        <v>0.00005008389052</v>
      </c>
      <c r="I92" s="12" t="str">
        <f>'Coleta de artigos'!$H92/LARGE(I129:I185,1)</f>
        <v>#NUM!</v>
      </c>
      <c r="J92" s="13">
        <f>'Coleta de artigos'!$K92*'Coleta de artigos'!$L92</f>
        <v>500</v>
      </c>
      <c r="K92" s="13">
        <v>50.0</v>
      </c>
      <c r="L92" s="8">
        <v>10.0</v>
      </c>
      <c r="M92" s="8">
        <v>120.0</v>
      </c>
      <c r="N92" s="8">
        <v>48.0</v>
      </c>
      <c r="O92" s="6" t="s">
        <v>47</v>
      </c>
      <c r="P92" s="6"/>
      <c r="Q92" s="6">
        <v>110.0</v>
      </c>
      <c r="R92" s="6">
        <v>12.0</v>
      </c>
      <c r="S92" s="6">
        <v>600.0</v>
      </c>
      <c r="T92" s="6">
        <v>2.0</v>
      </c>
      <c r="U92" s="14" t="s">
        <v>35</v>
      </c>
      <c r="V92" s="15" t="s">
        <v>86</v>
      </c>
    </row>
    <row r="93" ht="14.25" customHeight="1">
      <c r="A93" s="5" t="s">
        <v>148</v>
      </c>
      <c r="B93" s="6">
        <v>125.0</v>
      </c>
      <c r="C93" s="7">
        <f>'Coleta de artigos'!$K93/'Coleta de artigos'!$B93*100</f>
        <v>40</v>
      </c>
      <c r="D93" s="8">
        <v>2.0</v>
      </c>
      <c r="E93" s="9">
        <f>'Coleta de artigos'!$D93/79.866</f>
        <v>0.02504194526</v>
      </c>
      <c r="F93" s="10">
        <f>'Coleta de artigos'!$E93/('Coleta de artigos'!$E93+'Coleta de artigos'!$J93)*100</f>
        <v>0.005008138225</v>
      </c>
      <c r="G93" s="11">
        <f>IFERROR('Coleta de artigos'!$D93/'Coleta de artigos'!$K93,0)</f>
        <v>0.04</v>
      </c>
      <c r="H93" s="12">
        <f>'Coleta de artigos'!$E93/'Coleta de artigos'!$J93</f>
        <v>0.00005008389052</v>
      </c>
      <c r="I93" s="12" t="str">
        <f>'Coleta de artigos'!$H93/LARGE(I129:I186,1)</f>
        <v>#NUM!</v>
      </c>
      <c r="J93" s="13">
        <f>'Coleta de artigos'!$K93*'Coleta de artigos'!$L93</f>
        <v>500</v>
      </c>
      <c r="K93" s="13">
        <v>50.0</v>
      </c>
      <c r="L93" s="8">
        <v>10.0</v>
      </c>
      <c r="M93" s="8">
        <v>120.0</v>
      </c>
      <c r="N93" s="8">
        <v>48.0</v>
      </c>
      <c r="O93" s="6" t="s">
        <v>47</v>
      </c>
      <c r="P93" s="6"/>
      <c r="Q93" s="6">
        <v>110.0</v>
      </c>
      <c r="R93" s="6">
        <v>12.0</v>
      </c>
      <c r="S93" s="6">
        <v>500.0</v>
      </c>
      <c r="T93" s="6"/>
      <c r="U93" s="14" t="s">
        <v>35</v>
      </c>
      <c r="V93" s="15" t="s">
        <v>31</v>
      </c>
    </row>
    <row r="94" ht="14.25" customHeight="1">
      <c r="A94" s="22" t="s">
        <v>149</v>
      </c>
      <c r="B94" s="6">
        <v>125.0</v>
      </c>
      <c r="C94" s="7">
        <f>'Coleta de artigos'!$K94/'Coleta de artigos'!$B94*100</f>
        <v>40</v>
      </c>
      <c r="D94" s="8">
        <v>2.0</v>
      </c>
      <c r="E94" s="9">
        <f>'Coleta de artigos'!$D94/79.866</f>
        <v>0.02504194526</v>
      </c>
      <c r="F94" s="10">
        <f>'Coleta de artigos'!$E94/('Coleta de artigos'!$E94+'Coleta de artigos'!$J94)*100</f>
        <v>0.005008138225</v>
      </c>
      <c r="G94" s="11">
        <f>IFERROR('Coleta de artigos'!$D94/'Coleta de artigos'!$K94,0)</f>
        <v>0.04</v>
      </c>
      <c r="H94" s="12">
        <f>'Coleta de artigos'!$E94/'Coleta de artigos'!$J94</f>
        <v>0.00005008389052</v>
      </c>
      <c r="I94" s="12" t="str">
        <f>'Coleta de artigos'!$H94/LARGE(I129:I187,1)</f>
        <v>#NUM!</v>
      </c>
      <c r="J94" s="13">
        <f>'Coleta de artigos'!$K94*'Coleta de artigos'!$L94</f>
        <v>500</v>
      </c>
      <c r="K94" s="13">
        <v>50.0</v>
      </c>
      <c r="L94" s="8">
        <v>10.0</v>
      </c>
      <c r="M94" s="8">
        <v>120.0</v>
      </c>
      <c r="N94" s="8">
        <v>48.0</v>
      </c>
      <c r="O94" s="6" t="s">
        <v>47</v>
      </c>
      <c r="P94" s="6"/>
      <c r="Q94" s="6">
        <v>110.0</v>
      </c>
      <c r="R94" s="6">
        <v>12.0</v>
      </c>
      <c r="S94" s="6">
        <v>400.0</v>
      </c>
      <c r="T94" s="6">
        <v>1.0</v>
      </c>
      <c r="U94" s="14" t="s">
        <v>25</v>
      </c>
      <c r="V94" s="15">
        <v>10.0</v>
      </c>
    </row>
    <row r="95" ht="14.25" customHeight="1">
      <c r="A95" s="5" t="s">
        <v>147</v>
      </c>
      <c r="B95" s="6">
        <v>125.0</v>
      </c>
      <c r="C95" s="7">
        <f>'Coleta de artigos'!$K95/'Coleta de artigos'!$B95*100</f>
        <v>40</v>
      </c>
      <c r="D95" s="8">
        <v>2.0</v>
      </c>
      <c r="E95" s="9">
        <f>'Coleta de artigos'!$D95/79.866</f>
        <v>0.02504194526</v>
      </c>
      <c r="F95" s="10">
        <f>'Coleta de artigos'!$E95/('Coleta de artigos'!$E95+'Coleta de artigos'!$J95)*100</f>
        <v>0.005008138225</v>
      </c>
      <c r="G95" s="11">
        <f>IFERROR('Coleta de artigos'!$D95/'Coleta de artigos'!$K95,0)</f>
        <v>0.04</v>
      </c>
      <c r="H95" s="12">
        <f>'Coleta de artigos'!$E95/'Coleta de artigos'!$J95</f>
        <v>0.00005008389052</v>
      </c>
      <c r="I95" s="12" t="str">
        <f>'Coleta de artigos'!$H95/LARGE(I129:I188,1)</f>
        <v>#NUM!</v>
      </c>
      <c r="J95" s="13">
        <f>'Coleta de artigos'!$K95*'Coleta de artigos'!$L95</f>
        <v>500</v>
      </c>
      <c r="K95" s="13">
        <v>50.0</v>
      </c>
      <c r="L95" s="8">
        <v>10.0</v>
      </c>
      <c r="M95" s="8">
        <v>120.0</v>
      </c>
      <c r="N95" s="8">
        <v>48.0</v>
      </c>
      <c r="O95" s="6" t="s">
        <v>47</v>
      </c>
      <c r="P95" s="6"/>
      <c r="Q95" s="6">
        <v>110.0</v>
      </c>
      <c r="R95" s="6">
        <v>12.0</v>
      </c>
      <c r="S95" s="6">
        <v>400.0</v>
      </c>
      <c r="T95" s="6">
        <v>2.0</v>
      </c>
      <c r="U95" s="14" t="s">
        <v>25</v>
      </c>
      <c r="V95" s="15" t="s">
        <v>150</v>
      </c>
    </row>
    <row r="96" ht="14.25" customHeight="1">
      <c r="A96" s="5" t="s">
        <v>148</v>
      </c>
      <c r="B96" s="6">
        <v>125.0</v>
      </c>
      <c r="C96" s="7">
        <f>'Coleta de artigos'!$K96/'Coleta de artigos'!$B96*100</f>
        <v>40</v>
      </c>
      <c r="D96" s="8">
        <v>2.0</v>
      </c>
      <c r="E96" s="9">
        <f>'Coleta de artigos'!$D96/79.866</f>
        <v>0.02504194526</v>
      </c>
      <c r="F96" s="10">
        <f>'Coleta de artigos'!$E96/('Coleta de artigos'!$E96+'Coleta de artigos'!$J96)*100</f>
        <v>0.005008138225</v>
      </c>
      <c r="G96" s="11">
        <f>IFERROR('Coleta de artigos'!$D96/'Coleta de artigos'!$K96,0)</f>
        <v>0.04</v>
      </c>
      <c r="H96" s="12">
        <f>'Coleta de artigos'!$E96/'Coleta de artigos'!$J96</f>
        <v>0.00005008389052</v>
      </c>
      <c r="I96" s="12" t="str">
        <f>'Coleta de artigos'!$H96/LARGE(I129:I189,1)</f>
        <v>#NUM!</v>
      </c>
      <c r="J96" s="13">
        <f>'Coleta de artigos'!$K96*'Coleta de artigos'!$L96</f>
        <v>500</v>
      </c>
      <c r="K96" s="13">
        <v>50.0</v>
      </c>
      <c r="L96" s="8">
        <v>10.0</v>
      </c>
      <c r="M96" s="8">
        <v>120.0</v>
      </c>
      <c r="N96" s="8">
        <v>48.0</v>
      </c>
      <c r="O96" s="6" t="s">
        <v>47</v>
      </c>
      <c r="P96" s="6"/>
      <c r="Q96" s="6">
        <v>110.0</v>
      </c>
      <c r="R96" s="6">
        <v>12.0</v>
      </c>
      <c r="S96" s="6">
        <v>200.0</v>
      </c>
      <c r="T96" s="6"/>
      <c r="U96" s="14" t="s">
        <v>25</v>
      </c>
      <c r="V96" s="15" t="s">
        <v>31</v>
      </c>
    </row>
    <row r="97" ht="14.25" customHeight="1">
      <c r="A97" s="5" t="s">
        <v>151</v>
      </c>
      <c r="B97" s="6" t="s">
        <v>23</v>
      </c>
      <c r="C97" s="7"/>
      <c r="D97" s="8">
        <v>1.0</v>
      </c>
      <c r="E97" s="9">
        <f>'Coleta de artigos'!$D97/79.866</f>
        <v>0.01252097263</v>
      </c>
      <c r="F97" s="10">
        <f>'Coleta de artigos'!$E97/('Coleta de artigos'!$E97+'Coleta de artigos'!$J97)*100</f>
        <v>0.006260094402</v>
      </c>
      <c r="G97" s="11">
        <f>IFERROR('Coleta de artigos'!$D97/'Coleta de artigos'!$K97,0)</f>
        <v>0.05</v>
      </c>
      <c r="H97" s="12">
        <f>'Coleta de artigos'!$E97/'Coleta de artigos'!$J97</f>
        <v>0.00006260486315</v>
      </c>
      <c r="I97" s="12" t="str">
        <f>'Coleta de artigos'!$H97/LARGE(I129:I190,1)</f>
        <v>#NUM!</v>
      </c>
      <c r="J97" s="13">
        <f>'Coleta de artigos'!$K97*'Coleta de artigos'!$L97</f>
        <v>200</v>
      </c>
      <c r="K97" s="13">
        <v>20.0</v>
      </c>
      <c r="L97" s="8">
        <v>10.0</v>
      </c>
      <c r="M97" s="8">
        <v>130.0</v>
      </c>
      <c r="N97" s="8">
        <v>24.0</v>
      </c>
      <c r="O97" s="6" t="s">
        <v>62</v>
      </c>
      <c r="P97" s="6"/>
      <c r="Q97" s="6"/>
      <c r="R97" s="6"/>
      <c r="S97" s="6">
        <v>25.0</v>
      </c>
      <c r="T97" s="6"/>
      <c r="U97" s="14" t="s">
        <v>25</v>
      </c>
      <c r="V97" s="15">
        <v>20.0</v>
      </c>
    </row>
    <row r="98" ht="14.25" customHeight="1">
      <c r="A98" s="5" t="s">
        <v>152</v>
      </c>
      <c r="B98" s="6" t="s">
        <v>23</v>
      </c>
      <c r="C98" s="7"/>
      <c r="D98" s="8">
        <v>1.0</v>
      </c>
      <c r="E98" s="9">
        <f>'Coleta de artigos'!$D98/79.866</f>
        <v>0.01252097263</v>
      </c>
      <c r="F98" s="10">
        <f>'Coleta de artigos'!$E98/('Coleta de artigos'!$E98+'Coleta de artigos'!$J98)*100</f>
        <v>0.006260094402</v>
      </c>
      <c r="G98" s="11">
        <f>IFERROR('Coleta de artigos'!$D98/'Coleta de artigos'!$K98,0)</f>
        <v>0.05</v>
      </c>
      <c r="H98" s="12">
        <f>'Coleta de artigos'!$E98/'Coleta de artigos'!$J98</f>
        <v>0.00006260486315</v>
      </c>
      <c r="I98" s="12" t="str">
        <f>'Coleta de artigos'!$H98/LARGE(I129:I191,1)</f>
        <v>#NUM!</v>
      </c>
      <c r="J98" s="13">
        <f>'Coleta de artigos'!$K98*'Coleta de artigos'!$L98</f>
        <v>200</v>
      </c>
      <c r="K98" s="13">
        <v>20.0</v>
      </c>
      <c r="L98" s="8">
        <v>10.0</v>
      </c>
      <c r="M98" s="8">
        <v>140.0</v>
      </c>
      <c r="N98" s="8">
        <v>72.0</v>
      </c>
      <c r="O98" s="6" t="s">
        <v>24</v>
      </c>
      <c r="P98" s="6"/>
      <c r="Q98" s="6">
        <v>60.0</v>
      </c>
      <c r="R98" s="6"/>
      <c r="S98" s="6">
        <v>25.0</v>
      </c>
      <c r="T98" s="6"/>
      <c r="U98" s="14" t="s">
        <v>25</v>
      </c>
      <c r="V98" s="15" t="s">
        <v>153</v>
      </c>
    </row>
    <row r="99" ht="14.25" customHeight="1">
      <c r="A99" s="5" t="s">
        <v>154</v>
      </c>
      <c r="B99" s="6" t="s">
        <v>23</v>
      </c>
      <c r="C99" s="7"/>
      <c r="D99" s="8">
        <v>2.0</v>
      </c>
      <c r="E99" s="9">
        <f>'Coleta de artigos'!$D99/79.866</f>
        <v>0.02504194526</v>
      </c>
      <c r="F99" s="10">
        <f>'Coleta de artigos'!$E99/('Coleta de artigos'!$E99+'Coleta de artigos'!$J99)*100</f>
        <v>0.006260094402</v>
      </c>
      <c r="G99" s="11">
        <f>IFERROR('Coleta de artigos'!$D99/'Coleta de artigos'!$K99,0)</f>
        <v>0.05</v>
      </c>
      <c r="H99" s="12">
        <f>'Coleta de artigos'!$E99/'Coleta de artigos'!$J99</f>
        <v>0.00006260486315</v>
      </c>
      <c r="I99" s="12" t="str">
        <f>'Coleta de artigos'!$H99/LARGE(I129:I192,1)</f>
        <v>#NUM!</v>
      </c>
      <c r="J99" s="13">
        <f>'Coleta de artigos'!$K99*'Coleta de artigos'!$L99</f>
        <v>400</v>
      </c>
      <c r="K99" s="13">
        <v>40.0</v>
      </c>
      <c r="L99" s="8">
        <v>10.0</v>
      </c>
      <c r="M99" s="8">
        <v>150.0</v>
      </c>
      <c r="N99" s="8">
        <v>48.0</v>
      </c>
      <c r="O99" s="6" t="s">
        <v>24</v>
      </c>
      <c r="P99" s="6"/>
      <c r="Q99" s="6"/>
      <c r="R99" s="6"/>
      <c r="S99" s="6">
        <v>25.0</v>
      </c>
      <c r="T99" s="6"/>
      <c r="U99" s="14" t="s">
        <v>25</v>
      </c>
      <c r="V99" s="15" t="s">
        <v>81</v>
      </c>
    </row>
    <row r="100" ht="14.25" customHeight="1">
      <c r="A100" s="5" t="s">
        <v>155</v>
      </c>
      <c r="B100" s="6">
        <v>200.0</v>
      </c>
      <c r="C100" s="7">
        <f>'Coleta de artigos'!$K100/'Coleta de artigos'!$B100*100</f>
        <v>60</v>
      </c>
      <c r="D100" s="8">
        <v>6.0</v>
      </c>
      <c r="E100" s="9">
        <f>'Coleta de artigos'!$D100/79.866</f>
        <v>0.07512583577</v>
      </c>
      <c r="F100" s="10">
        <f>'Coleta de artigos'!$E100/('Coleta de artigos'!$E100+'Coleta de artigos'!$J100)*100</f>
        <v>0.006260094402</v>
      </c>
      <c r="G100" s="11">
        <f>IFERROR('Coleta de artigos'!$D100/'Coleta de artigos'!$K100,0)</f>
        <v>0.05</v>
      </c>
      <c r="H100" s="12">
        <f>'Coleta de artigos'!$E100/'Coleta de artigos'!$J100</f>
        <v>0.00006260486315</v>
      </c>
      <c r="I100" s="12" t="str">
        <f>'Coleta de artigos'!$H100/LARGE(I129:I193,1)</f>
        <v>#NUM!</v>
      </c>
      <c r="J100" s="13">
        <f>'Coleta de artigos'!$K100*'Coleta de artigos'!$L100</f>
        <v>1200</v>
      </c>
      <c r="K100" s="13">
        <v>120.0</v>
      </c>
      <c r="L100" s="8">
        <v>10.0</v>
      </c>
      <c r="M100" s="8">
        <v>170.0</v>
      </c>
      <c r="N100" s="8">
        <v>24.0</v>
      </c>
      <c r="O100" s="6" t="s">
        <v>24</v>
      </c>
      <c r="P100" s="6"/>
      <c r="Q100" s="6">
        <v>110.0</v>
      </c>
      <c r="R100" s="6">
        <v>8.0</v>
      </c>
      <c r="S100" s="6">
        <v>300.0</v>
      </c>
      <c r="T100" s="6"/>
      <c r="U100" s="14" t="s">
        <v>35</v>
      </c>
      <c r="V100" s="15">
        <v>75.0</v>
      </c>
    </row>
    <row r="101" ht="14.25" customHeight="1">
      <c r="A101" s="5" t="s">
        <v>156</v>
      </c>
      <c r="B101" s="6">
        <v>200.0</v>
      </c>
      <c r="C101" s="7">
        <f>'Coleta de artigos'!$K101/'Coleta de artigos'!$B101*100</f>
        <v>60</v>
      </c>
      <c r="D101" s="8">
        <v>6.0</v>
      </c>
      <c r="E101" s="9">
        <f>'Coleta de artigos'!$D101/79.866</f>
        <v>0.07512583577</v>
      </c>
      <c r="F101" s="10">
        <f>'Coleta de artigos'!$E101/('Coleta de artigos'!$E101+'Coleta de artigos'!$J101)*100</f>
        <v>0.006260094402</v>
      </c>
      <c r="G101" s="11">
        <f>IFERROR('Coleta de artigos'!$D101/'Coleta de artigos'!$K101,0)</f>
        <v>0.05</v>
      </c>
      <c r="H101" s="12">
        <f>'Coleta de artigos'!$E101/'Coleta de artigos'!$J101</f>
        <v>0.00006260486315</v>
      </c>
      <c r="I101" s="12" t="str">
        <f>'Coleta de artigos'!$H101/LARGE(I129:I194,1)</f>
        <v>#NUM!</v>
      </c>
      <c r="J101" s="13">
        <f>'Coleta de artigos'!$K101*'Coleta de artigos'!$L101</f>
        <v>1200</v>
      </c>
      <c r="K101" s="13">
        <v>120.0</v>
      </c>
      <c r="L101" s="8">
        <v>10.0</v>
      </c>
      <c r="M101" s="8">
        <v>150.0</v>
      </c>
      <c r="N101" s="8">
        <v>24.0</v>
      </c>
      <c r="O101" s="6" t="s">
        <v>24</v>
      </c>
      <c r="P101" s="6">
        <v>10.0</v>
      </c>
      <c r="Q101" s="6">
        <v>110.0</v>
      </c>
      <c r="R101" s="6">
        <v>8.0</v>
      </c>
      <c r="S101" s="6">
        <v>500.0</v>
      </c>
      <c r="T101" s="6">
        <v>2.0</v>
      </c>
      <c r="U101" s="14" t="s">
        <v>25</v>
      </c>
      <c r="V101" s="15">
        <v>30.0</v>
      </c>
    </row>
    <row r="102" ht="14.25" customHeight="1">
      <c r="A102" s="5" t="s">
        <v>157</v>
      </c>
      <c r="B102" s="6">
        <v>6500.0</v>
      </c>
      <c r="C102" s="7">
        <f>'Coleta de artigos'!$K102/'Coleta de artigos'!$B102*100</f>
        <v>15.38461538</v>
      </c>
      <c r="D102" s="8">
        <v>50.0</v>
      </c>
      <c r="E102" s="9">
        <f>'Coleta de artigos'!$D102/79.866</f>
        <v>0.6260486315</v>
      </c>
      <c r="F102" s="10">
        <f>'Coleta de artigos'!$E102/('Coleta de artigos'!$E102+'Coleta de artigos'!$J102)*100</f>
        <v>0.006260094402</v>
      </c>
      <c r="G102" s="11">
        <f>IFERROR('Coleta de artigos'!$D102/'Coleta de artigos'!$K102,0)</f>
        <v>0.05</v>
      </c>
      <c r="H102" s="12">
        <f>'Coleta de artigos'!$E102/'Coleta de artigos'!$J102</f>
        <v>0.00006260486315</v>
      </c>
      <c r="I102" s="12" t="str">
        <f>'Coleta de artigos'!$H102/LARGE(I129:I195,1)</f>
        <v>#NUM!</v>
      </c>
      <c r="J102" s="13">
        <f>'Coleta de artigos'!$K102*'Coleta de artigos'!$L102</f>
        <v>10000</v>
      </c>
      <c r="K102" s="13">
        <v>1000.0</v>
      </c>
      <c r="L102" s="8">
        <v>10.0</v>
      </c>
      <c r="M102" s="8">
        <v>130.0</v>
      </c>
      <c r="N102" s="8">
        <v>24.0</v>
      </c>
      <c r="O102" s="6" t="s">
        <v>158</v>
      </c>
      <c r="P102" s="6"/>
      <c r="Q102" s="6">
        <v>60.0</v>
      </c>
      <c r="R102" s="6">
        <v>48.0</v>
      </c>
      <c r="S102" s="6">
        <v>25.0</v>
      </c>
      <c r="T102" s="6"/>
      <c r="U102" s="14" t="s">
        <v>25</v>
      </c>
      <c r="V102" s="15" t="s">
        <v>159</v>
      </c>
    </row>
    <row r="103" ht="14.25" customHeight="1">
      <c r="A103" s="5" t="s">
        <v>160</v>
      </c>
      <c r="B103" s="6" t="s">
        <v>23</v>
      </c>
      <c r="C103" s="7"/>
      <c r="D103" s="8">
        <v>3.0</v>
      </c>
      <c r="E103" s="9">
        <f>'Coleta de artigos'!$D103/79.866</f>
        <v>0.03756291789</v>
      </c>
      <c r="F103" s="10">
        <f>'Coleta de artigos'!$E103/('Coleta de artigos'!$E103+'Coleta de artigos'!$J103)*100</f>
        <v>0.007512019231</v>
      </c>
      <c r="G103" s="11">
        <f>IFERROR('Coleta de artigos'!$D103/'Coleta de artigos'!$K103,0)</f>
        <v>0.06</v>
      </c>
      <c r="H103" s="12">
        <f>'Coleta de artigos'!$E103/'Coleta de artigos'!$J103</f>
        <v>0.00007512583577</v>
      </c>
      <c r="I103" s="12" t="str">
        <f>'Coleta de artigos'!$H103/LARGE(I129:I196,1)</f>
        <v>#NUM!</v>
      </c>
      <c r="J103" s="13">
        <f>'Coleta de artigos'!$K103*'Coleta de artigos'!$L103</f>
        <v>500</v>
      </c>
      <c r="K103" s="13">
        <v>50.0</v>
      </c>
      <c r="L103" s="8">
        <v>10.0</v>
      </c>
      <c r="M103" s="8">
        <v>120.0</v>
      </c>
      <c r="N103" s="8">
        <v>30.0</v>
      </c>
      <c r="O103" s="6" t="s">
        <v>24</v>
      </c>
      <c r="P103" s="6"/>
      <c r="Q103" s="6">
        <v>120.0</v>
      </c>
      <c r="R103" s="6">
        <v>12.0</v>
      </c>
      <c r="S103" s="6">
        <v>400.0</v>
      </c>
      <c r="T103" s="6">
        <v>2.0</v>
      </c>
      <c r="U103" s="14" t="s">
        <v>25</v>
      </c>
      <c r="V103" s="15" t="s">
        <v>161</v>
      </c>
    </row>
    <row r="104" ht="14.25" customHeight="1">
      <c r="A104" s="23" t="s">
        <v>162</v>
      </c>
      <c r="B104" s="6">
        <v>45.0</v>
      </c>
      <c r="C104" s="6"/>
      <c r="D104" s="8">
        <v>0.5</v>
      </c>
      <c r="E104" s="9" t="str">
        <f>[1]!Tabela2[[#This Row],[Weight TiO2 (g)]]/79.866</f>
        <v>#ERROR!</v>
      </c>
      <c r="F104" s="10" t="str">
        <f>[1]!Tabela2[[#This Row],[mol TiO2]]/([1]!Tabela2[[#This Row],[mol TiO2]]+[1]!Tabela2[[#This Row],[mol NaOH]])*100</f>
        <v>#ERROR!</v>
      </c>
      <c r="G104" s="18" t="str">
        <f>[1]!Tabela2[[#This Row],[Weight TiO2 (g)]]/[1]!Tabela2[[#This Row],[Vol NaOH]]</f>
        <v>#ERROR!</v>
      </c>
      <c r="H104" s="18" t="str">
        <f>[1]!Tabela2[[#This Row],[mol TiO2]]/[1]!Tabela2[[#This Row],[mol NaOH]]</f>
        <v>#ERROR!</v>
      </c>
      <c r="I104" s="18"/>
      <c r="J104" s="13" t="str">
        <f>[1]!Tabela2[[#This Row],[Vol NaOH]]*[1]!Tabela2[[#This Row],['[NaOH']]]</f>
        <v>#ERROR!</v>
      </c>
      <c r="K104" s="13">
        <v>5.0</v>
      </c>
      <c r="L104" s="8">
        <v>10.0</v>
      </c>
      <c r="M104" s="8">
        <v>180.0</v>
      </c>
      <c r="N104" s="8">
        <v>24.0</v>
      </c>
      <c r="O104" s="6" t="s">
        <v>24</v>
      </c>
      <c r="P104" s="6"/>
      <c r="Q104" s="6">
        <v>80.0</v>
      </c>
      <c r="R104" s="6">
        <v>4.0</v>
      </c>
      <c r="S104" s="6">
        <v>300.0</v>
      </c>
      <c r="T104" s="6">
        <v>6.0</v>
      </c>
      <c r="U104" s="6" t="s">
        <v>25</v>
      </c>
      <c r="V104" s="19" t="s">
        <v>163</v>
      </c>
    </row>
    <row r="105" ht="14.25" customHeight="1">
      <c r="A105" s="5" t="s">
        <v>164</v>
      </c>
      <c r="B105" s="6" t="s">
        <v>23</v>
      </c>
      <c r="C105" s="7"/>
      <c r="D105" s="8">
        <v>20.0</v>
      </c>
      <c r="E105" s="9">
        <f>'Coleta de artigos'!$D105/79.866</f>
        <v>0.2504194526</v>
      </c>
      <c r="F105" s="10">
        <f>'Coleta de artigos'!$E105/('Coleta de artigos'!$E105+'Coleta de artigos'!$J105)*100</f>
        <v>0.008346618368</v>
      </c>
      <c r="G105" s="11">
        <f>IFERROR('Coleta de artigos'!$D105/'Coleta de artigos'!$K105,0)</f>
        <v>0.06666666667</v>
      </c>
      <c r="H105" s="12">
        <f>'Coleta de artigos'!$E105/'Coleta de artigos'!$J105</f>
        <v>0.00008347315086</v>
      </c>
      <c r="I105" s="12" t="str">
        <f>'Coleta de artigos'!$H105/LARGE(I129:I198,1)</f>
        <v>#NUM!</v>
      </c>
      <c r="J105" s="13">
        <f>'Coleta de artigos'!$K105*'Coleta de artigos'!$L105</f>
        <v>3000</v>
      </c>
      <c r="K105" s="13">
        <v>300.0</v>
      </c>
      <c r="L105" s="8">
        <v>10.0</v>
      </c>
      <c r="M105" s="8">
        <v>140.0</v>
      </c>
      <c r="N105" s="8">
        <v>22.0</v>
      </c>
      <c r="O105" s="6" t="s">
        <v>78</v>
      </c>
      <c r="P105" s="6"/>
      <c r="Q105" s="6">
        <v>80.0</v>
      </c>
      <c r="R105" s="6"/>
      <c r="S105" s="6">
        <v>25.0</v>
      </c>
      <c r="T105" s="6"/>
      <c r="U105" s="14" t="s">
        <v>25</v>
      </c>
      <c r="V105" s="15" t="s">
        <v>102</v>
      </c>
    </row>
    <row r="106" ht="14.25" customHeight="1">
      <c r="A106" s="5" t="s">
        <v>165</v>
      </c>
      <c r="B106" s="6" t="s">
        <v>23</v>
      </c>
      <c r="C106" s="7"/>
      <c r="D106" s="8">
        <v>5.0</v>
      </c>
      <c r="E106" s="9">
        <f>'Coleta de artigos'!$D106/79.866</f>
        <v>0.06260486315</v>
      </c>
      <c r="F106" s="10">
        <f>'Coleta de artigos'!$E106/('Coleta de artigos'!$E106+'Coleta de artigos'!$J106)*100</f>
        <v>0.008942752078</v>
      </c>
      <c r="G106" s="11">
        <f>IFERROR('Coleta de artigos'!$D106/'Coleta de artigos'!$K106,0)</f>
        <v>0.07142857143</v>
      </c>
      <c r="H106" s="12">
        <f>'Coleta de artigos'!$E106/'Coleta de artigos'!$J106</f>
        <v>0.00008943551878</v>
      </c>
      <c r="I106" s="12" t="str">
        <f>'Coleta de artigos'!$H106/LARGE(I129:I199,1)</f>
        <v>#NUM!</v>
      </c>
      <c r="J106" s="13">
        <f>'Coleta de artigos'!$K106*'Coleta de artigos'!$L106</f>
        <v>700</v>
      </c>
      <c r="K106" s="13">
        <v>70.0</v>
      </c>
      <c r="L106" s="8">
        <v>10.0</v>
      </c>
      <c r="M106" s="8">
        <v>175.0</v>
      </c>
      <c r="N106" s="8">
        <v>48.0</v>
      </c>
      <c r="O106" s="6" t="s">
        <v>62</v>
      </c>
      <c r="P106" s="6"/>
      <c r="Q106" s="6">
        <v>100.0</v>
      </c>
      <c r="R106" s="6">
        <v>3.0</v>
      </c>
      <c r="S106" s="6">
        <v>25.0</v>
      </c>
      <c r="T106" s="6"/>
      <c r="U106" s="14" t="s">
        <v>35</v>
      </c>
      <c r="V106" s="15">
        <v>120.0</v>
      </c>
    </row>
    <row r="107" ht="14.25" customHeight="1">
      <c r="A107" s="5" t="s">
        <v>166</v>
      </c>
      <c r="B107" s="6" t="s">
        <v>23</v>
      </c>
      <c r="C107" s="7"/>
      <c r="D107" s="8">
        <v>2.0</v>
      </c>
      <c r="E107" s="9">
        <f>'Coleta de artigos'!$D107/79.866</f>
        <v>0.02504194526</v>
      </c>
      <c r="F107" s="10">
        <f>'Coleta de artigos'!$E107/('Coleta de artigos'!$E107+'Coleta de artigos'!$J107)*100</f>
        <v>0.01001577485</v>
      </c>
      <c r="G107" s="11">
        <f>IFERROR('Coleta de artigos'!$D107/'Coleta de artigos'!$K107,0)</f>
        <v>0.08</v>
      </c>
      <c r="H107" s="12">
        <f>'Coleta de artigos'!$E107/'Coleta de artigos'!$J107</f>
        <v>0.000100167781</v>
      </c>
      <c r="I107" s="12" t="str">
        <f>'Coleta de artigos'!$H107/LARGE(I129:I200,1)</f>
        <v>#NUM!</v>
      </c>
      <c r="J107" s="13">
        <f>'Coleta de artigos'!$K107*'Coleta de artigos'!$L107</f>
        <v>250</v>
      </c>
      <c r="K107" s="13">
        <v>25.0</v>
      </c>
      <c r="L107" s="8">
        <v>10.0</v>
      </c>
      <c r="M107" s="8">
        <v>150.0</v>
      </c>
      <c r="N107" s="8">
        <v>72.0</v>
      </c>
      <c r="O107" s="6" t="s">
        <v>47</v>
      </c>
      <c r="P107" s="6">
        <v>24.0</v>
      </c>
      <c r="Q107" s="6"/>
      <c r="R107" s="6"/>
      <c r="S107" s="6">
        <v>25.0</v>
      </c>
      <c r="T107" s="6"/>
      <c r="U107" s="14" t="s">
        <v>25</v>
      </c>
      <c r="V107" s="15">
        <v>20.0</v>
      </c>
    </row>
    <row r="108" ht="14.25" customHeight="1">
      <c r="A108" s="5" t="s">
        <v>167</v>
      </c>
      <c r="B108" s="6">
        <v>100.0</v>
      </c>
      <c r="C108" s="7">
        <f>'Coleta de artigos'!$K108/'Coleta de artigos'!$B108*100</f>
        <v>25</v>
      </c>
      <c r="D108" s="8">
        <v>2.0</v>
      </c>
      <c r="E108" s="9">
        <f>'Coleta de artigos'!$D108/79.866</f>
        <v>0.02504194526</v>
      </c>
      <c r="F108" s="10">
        <f>'Coleta de artigos'!$E108/('Coleta de artigos'!$E108+'Coleta de artigos'!$J108)*100</f>
        <v>0.01001577485</v>
      </c>
      <c r="G108" s="11">
        <f>IFERROR('Coleta de artigos'!$D108/'Coleta de artigos'!$K108,0)</f>
        <v>0.08</v>
      </c>
      <c r="H108" s="12">
        <f>'Coleta de artigos'!$E108/'Coleta de artigos'!$J108</f>
        <v>0.000100167781</v>
      </c>
      <c r="I108" s="12" t="str">
        <f>'Coleta de artigos'!$H108/LARGE(I129:I201,1)</f>
        <v>#NUM!</v>
      </c>
      <c r="J108" s="13">
        <f>'Coleta de artigos'!$K108*'Coleta de artigos'!$L108</f>
        <v>250</v>
      </c>
      <c r="K108" s="13">
        <v>25.0</v>
      </c>
      <c r="L108" s="8">
        <v>10.0</v>
      </c>
      <c r="M108" s="8">
        <v>150.0</v>
      </c>
      <c r="N108" s="8">
        <v>72.0</v>
      </c>
      <c r="O108" s="6" t="s">
        <v>24</v>
      </c>
      <c r="P108" s="6"/>
      <c r="Q108" s="6"/>
      <c r="R108" s="6"/>
      <c r="S108" s="6">
        <v>300.0</v>
      </c>
      <c r="T108" s="6">
        <v>2.0</v>
      </c>
      <c r="U108" s="14" t="s">
        <v>30</v>
      </c>
      <c r="V108" s="15" t="s">
        <v>168</v>
      </c>
    </row>
    <row r="109" ht="14.25" customHeight="1">
      <c r="A109" s="5" t="s">
        <v>169</v>
      </c>
      <c r="B109" s="6" t="s">
        <v>23</v>
      </c>
      <c r="C109" s="6"/>
      <c r="D109" s="8">
        <v>1.0</v>
      </c>
      <c r="E109" s="9">
        <f>'Coleta de artigos'!$D109/79.866</f>
        <v>0.01252097263</v>
      </c>
      <c r="F109" s="10">
        <f>'Coleta de artigos'!$E109/('Coleta de artigos'!$E109+'Coleta de artigos'!$J109)*100</f>
        <v>0.01251940508</v>
      </c>
      <c r="G109" s="11">
        <f>IFERROR('Coleta de artigos'!$D109/'Coleta de artigos'!$K109,0)</f>
        <v>0.1</v>
      </c>
      <c r="H109" s="12">
        <f>'Coleta de artigos'!$E109/'Coleta de artigos'!$J109</f>
        <v>0.0001252097263</v>
      </c>
      <c r="I109" s="12" t="str">
        <f>'Coleta de artigos'!$H109/LARGE(I129:I202,1)</f>
        <v>#NUM!</v>
      </c>
      <c r="J109" s="13">
        <f>'Coleta de artigos'!$K109*'Coleta de artigos'!$L109</f>
        <v>100</v>
      </c>
      <c r="K109" s="13">
        <v>10.0</v>
      </c>
      <c r="L109" s="8">
        <v>10.0</v>
      </c>
      <c r="M109" s="8">
        <v>110.0</v>
      </c>
      <c r="N109" s="8">
        <v>24.0</v>
      </c>
      <c r="O109" s="6" t="s">
        <v>24</v>
      </c>
      <c r="P109" s="6"/>
      <c r="Q109" s="6">
        <v>80.0</v>
      </c>
      <c r="R109" s="6"/>
      <c r="S109" s="6">
        <v>400.0</v>
      </c>
      <c r="T109" s="6">
        <v>1.0</v>
      </c>
      <c r="U109" s="14" t="s">
        <v>35</v>
      </c>
      <c r="V109" s="15" t="s">
        <v>170</v>
      </c>
    </row>
    <row r="110" ht="14.25" customHeight="1">
      <c r="A110" s="5" t="s">
        <v>171</v>
      </c>
      <c r="B110" s="6" t="s">
        <v>23</v>
      </c>
      <c r="C110" s="7"/>
      <c r="D110" s="8">
        <v>2.0</v>
      </c>
      <c r="E110" s="9">
        <f>'Coleta de artigos'!$D110/79.866</f>
        <v>0.02504194526</v>
      </c>
      <c r="F110" s="10">
        <f>'Coleta de artigos'!$E110/('Coleta de artigos'!$E110+'Coleta de artigos'!$J110)*100</f>
        <v>0.01251940508</v>
      </c>
      <c r="G110" s="11">
        <f>IFERROR('Coleta de artigos'!$D110/'Coleta de artigos'!$K110,0)</f>
        <v>0.1</v>
      </c>
      <c r="H110" s="12">
        <f>'Coleta de artigos'!$E110/'Coleta de artigos'!$J110</f>
        <v>0.0001252097263</v>
      </c>
      <c r="I110" s="12" t="str">
        <f>'Coleta de artigos'!$H110/LARGE(I129:I203,1)</f>
        <v>#NUM!</v>
      </c>
      <c r="J110" s="13">
        <f>'Coleta de artigos'!$K110*'Coleta de artigos'!$L110</f>
        <v>200</v>
      </c>
      <c r="K110" s="13">
        <v>20.0</v>
      </c>
      <c r="L110" s="8">
        <v>10.0</v>
      </c>
      <c r="M110" s="8">
        <v>110.0</v>
      </c>
      <c r="N110" s="8">
        <v>96.0</v>
      </c>
      <c r="O110" s="6" t="s">
        <v>24</v>
      </c>
      <c r="P110" s="6"/>
      <c r="Q110" s="6">
        <v>50.0</v>
      </c>
      <c r="R110" s="6">
        <v>12.0</v>
      </c>
      <c r="S110" s="6">
        <v>25.0</v>
      </c>
      <c r="T110" s="6"/>
      <c r="U110" s="14" t="s">
        <v>25</v>
      </c>
      <c r="V110" s="15">
        <v>10.0</v>
      </c>
    </row>
    <row r="111" ht="14.25" customHeight="1">
      <c r="A111" s="5" t="s">
        <v>172</v>
      </c>
      <c r="B111" s="6" t="s">
        <v>23</v>
      </c>
      <c r="C111" s="7"/>
      <c r="D111" s="8">
        <v>0.5</v>
      </c>
      <c r="E111" s="9" t="str">
        <f>[1]!Tabela2[[#This Row],[Weight TiO2 (g)]]/79.866</f>
        <v>#ERROR!</v>
      </c>
      <c r="F111" s="10" t="str">
        <f>[1]!Tabela2[[#This Row],[mol TiO2]]/([1]!Tabela2[[#This Row],[mol TiO2]]+[1]!Tabela2[[#This Row],[mol NaOH]])*100</f>
        <v>#ERROR!</v>
      </c>
      <c r="G111" s="18" t="str">
        <f>[1]!Tabela2[[#This Row],[Weight TiO2 (g)]]/[1]!Tabela2[[#This Row],[Vol NaOH]]</f>
        <v>#ERROR!</v>
      </c>
      <c r="H111" s="18" t="str">
        <f>[1]!Tabela2[[#This Row],[mol TiO2]]/[1]!Tabela2[[#This Row],[mol NaOH]]</f>
        <v>#ERROR!</v>
      </c>
      <c r="I111" s="18"/>
      <c r="J111" s="13" t="str">
        <f>[1]!Tabela2[[#This Row],[Vol NaOH]]*[1]!Tabela2[[#This Row],['[NaOH']]]</f>
        <v>#ERROR!</v>
      </c>
      <c r="K111" s="13">
        <v>100.0</v>
      </c>
      <c r="L111" s="8">
        <v>10.0</v>
      </c>
      <c r="M111" s="8">
        <v>140.0</v>
      </c>
      <c r="N111" s="8"/>
      <c r="O111" s="6" t="s">
        <v>173</v>
      </c>
      <c r="P111" s="6">
        <v>72.0</v>
      </c>
      <c r="Q111" s="6">
        <v>80.0</v>
      </c>
      <c r="R111" s="6">
        <v>12.0</v>
      </c>
      <c r="S111" s="6">
        <v>600.0</v>
      </c>
      <c r="T111" s="6">
        <v>2.0</v>
      </c>
      <c r="U111" s="6" t="s">
        <v>25</v>
      </c>
      <c r="V111" s="19">
        <v>11.0</v>
      </c>
    </row>
    <row r="112" ht="14.25" customHeight="1">
      <c r="A112" s="5" t="s">
        <v>174</v>
      </c>
      <c r="B112" s="6">
        <v>200.0</v>
      </c>
      <c r="C112" s="6"/>
      <c r="D112" s="8">
        <v>0.5</v>
      </c>
      <c r="E112" s="9" t="str">
        <f>[1]!Tabela2[[#This Row],[Weight TiO2 (g)]]/79.866</f>
        <v>#ERROR!</v>
      </c>
      <c r="F112" s="10" t="str">
        <f>[1]!Tabela2[[#This Row],[mol TiO2]]/([1]!Tabela2[[#This Row],[mol TiO2]]+[1]!Tabela2[[#This Row],[mol NaOH]])*100</f>
        <v>#ERROR!</v>
      </c>
      <c r="G112" s="11" t="str">
        <f>[1]!Tabela2[[#This Row],[Weight TiO2 (g)]]/[1]!Tabela2[[#This Row],[Vol NaOH]]</f>
        <v>#ERROR!</v>
      </c>
      <c r="H112" s="12" t="str">
        <f>[1]!Tabela2[[#This Row],[mol TiO2]]/[1]!Tabela2[[#This Row],[mol NaOH]]</f>
        <v>#ERROR!</v>
      </c>
      <c r="I112" s="12" t="str">
        <f>'Coleta de artigos'!$H112/LARGE(I129:I206,1)</f>
        <v>#ERROR!</v>
      </c>
      <c r="J112" s="13" t="str">
        <f>[1]!Tabela2[[#This Row],[Vol NaOH]]*[1]!Tabela2[[#This Row],['[NaOH']]]</f>
        <v>#ERROR!</v>
      </c>
      <c r="K112" s="13">
        <v>150.0</v>
      </c>
      <c r="L112" s="8">
        <v>10.0</v>
      </c>
      <c r="M112" s="8">
        <v>140.0</v>
      </c>
      <c r="N112" s="8">
        <v>144.0</v>
      </c>
      <c r="O112" s="6"/>
      <c r="P112" s="6"/>
      <c r="Q112" s="6"/>
      <c r="R112" s="6"/>
      <c r="S112" s="6"/>
      <c r="T112" s="6"/>
      <c r="U112" s="14" t="s">
        <v>25</v>
      </c>
      <c r="V112" s="15" t="s">
        <v>64</v>
      </c>
    </row>
    <row r="113" ht="14.25" customHeight="1">
      <c r="A113" s="5" t="s">
        <v>175</v>
      </c>
      <c r="B113" s="6">
        <v>75.0</v>
      </c>
      <c r="C113" s="7">
        <f>'Coleta de artigos'!$K113/'Coleta de artigos'!$B113*100</f>
        <v>26.66666667</v>
      </c>
      <c r="D113" s="8">
        <v>2.5</v>
      </c>
      <c r="E113" s="9">
        <f>'Coleta de artigos'!$D113/79.866</f>
        <v>0.03130243157</v>
      </c>
      <c r="F113" s="10">
        <f>'Coleta de artigos'!$E113/('Coleta de artigos'!$E113+'Coleta de artigos'!$J113)*100</f>
        <v>0.01564876656</v>
      </c>
      <c r="G113" s="11">
        <f>IFERROR('Coleta de artigos'!$D113/'Coleta de artigos'!$K113,0)</f>
        <v>0.125</v>
      </c>
      <c r="H113" s="12">
        <f>'Coleta de artigos'!$E113/'Coleta de artigos'!$J113</f>
        <v>0.0001565121579</v>
      </c>
      <c r="I113" s="12" t="str">
        <f>'Coleta de artigos'!$H113/LARGE(I129:I206,1)</f>
        <v>#NUM!</v>
      </c>
      <c r="J113" s="13">
        <f>'Coleta de artigos'!$K113*'Coleta de artigos'!$L113</f>
        <v>200</v>
      </c>
      <c r="K113" s="13">
        <v>20.0</v>
      </c>
      <c r="L113" s="8">
        <v>10.0</v>
      </c>
      <c r="M113" s="8">
        <v>200.0</v>
      </c>
      <c r="N113" s="8">
        <v>24.0</v>
      </c>
      <c r="O113" s="6" t="s">
        <v>24</v>
      </c>
      <c r="P113" s="6"/>
      <c r="Q113" s="6">
        <v>100.0</v>
      </c>
      <c r="R113" s="6">
        <v>3.0</v>
      </c>
      <c r="S113" s="6">
        <v>25.0</v>
      </c>
      <c r="T113" s="6"/>
      <c r="U113" s="14" t="s">
        <v>25</v>
      </c>
      <c r="V113" s="15">
        <v>20.0</v>
      </c>
    </row>
    <row r="114" ht="14.25" customHeight="1">
      <c r="A114" s="5" t="s">
        <v>176</v>
      </c>
      <c r="B114" s="6" t="s">
        <v>23</v>
      </c>
      <c r="C114" s="6"/>
      <c r="D114" s="8"/>
      <c r="E114" s="9" t="str">
        <f>[1]!Tabela2[[#This Row],[Weight TiO2 (g)]]/79.866</f>
        <v>#ERROR!</v>
      </c>
      <c r="F114" s="10" t="str">
        <f>[1]!Tabela2[[#This Row],[mol TiO2]]/([1]!Tabela2[[#This Row],[mol TiO2]]+[1]!Tabela2[[#This Row],[mol NaOH]])*100</f>
        <v>#ERROR!</v>
      </c>
      <c r="G114" s="13" t="str">
        <f>[1]!Tabela2[[#This Row],[Weight TiO2 (g)]]/[1]!Tabela2[[#This Row],[Vol NaOH]]</f>
        <v>#ERROR!</v>
      </c>
      <c r="H114" s="13" t="str">
        <f>[1]!Tabela2[[#This Row],[mol TiO2]]/[1]!Tabela2[[#This Row],[mol NaOH]]</f>
        <v>#ERROR!</v>
      </c>
      <c r="I114" s="13"/>
      <c r="J114" s="13"/>
      <c r="K114" s="13"/>
      <c r="L114" s="8">
        <v>10.0</v>
      </c>
      <c r="M114" s="8">
        <v>150.0</v>
      </c>
      <c r="N114" s="8">
        <v>48.0</v>
      </c>
      <c r="O114" s="6" t="s">
        <v>24</v>
      </c>
      <c r="P114" s="6">
        <v>24.0</v>
      </c>
      <c r="Q114" s="6"/>
      <c r="R114" s="6"/>
      <c r="S114" s="6">
        <v>400.0</v>
      </c>
      <c r="T114" s="6"/>
      <c r="U114" s="6" t="s">
        <v>25</v>
      </c>
      <c r="V114" s="19" t="s">
        <v>177</v>
      </c>
    </row>
    <row r="115" ht="14.25" customHeight="1">
      <c r="A115" s="5" t="s">
        <v>178</v>
      </c>
      <c r="B115" s="6">
        <v>40.0</v>
      </c>
      <c r="C115" s="7">
        <f>'Coleta de artigos'!$K115/'Coleta de artigos'!$B115*100</f>
        <v>82.5</v>
      </c>
      <c r="D115" s="8">
        <v>6.0</v>
      </c>
      <c r="E115" s="9">
        <f>'Coleta de artigos'!$D115/79.866</f>
        <v>0.07512583577</v>
      </c>
      <c r="F115" s="10">
        <f>'Coleta de artigos'!$E115/('Coleta de artigos'!$E115+'Coleta de artigos'!$J115)*100</f>
        <v>0.01517463348</v>
      </c>
      <c r="G115" s="11">
        <f>IFERROR('Coleta de artigos'!$D115/'Coleta de artigos'!$K115,0)</f>
        <v>0.1818181818</v>
      </c>
      <c r="H115" s="12">
        <f>'Coleta de artigos'!$E115/'Coleta de artigos'!$J115</f>
        <v>0.0001517693652</v>
      </c>
      <c r="I115" s="12" t="str">
        <f>'Coleta de artigos'!$H115/LARGE(I129:I208,1)</f>
        <v>#NUM!</v>
      </c>
      <c r="J115" s="13">
        <f>'Coleta de artigos'!$K115*'Coleta de artigos'!$L115</f>
        <v>495</v>
      </c>
      <c r="K115" s="13">
        <v>33.0</v>
      </c>
      <c r="L115" s="8">
        <v>15.0</v>
      </c>
      <c r="M115" s="8">
        <v>170.0</v>
      </c>
      <c r="N115" s="8">
        <v>72.0</v>
      </c>
      <c r="O115" s="6" t="s">
        <v>52</v>
      </c>
      <c r="P115" s="6"/>
      <c r="Q115" s="6"/>
      <c r="R115" s="6"/>
      <c r="S115" s="6">
        <v>400.0</v>
      </c>
      <c r="T115" s="6">
        <v>5.0</v>
      </c>
      <c r="U115" s="14" t="s">
        <v>30</v>
      </c>
      <c r="V115" s="15" t="s">
        <v>53</v>
      </c>
    </row>
    <row r="116" ht="14.25" customHeight="1">
      <c r="A116" s="5" t="s">
        <v>179</v>
      </c>
      <c r="B116" s="6"/>
      <c r="C116" s="6"/>
      <c r="D116" s="8">
        <v>0.5</v>
      </c>
      <c r="E116" s="9" t="str">
        <f>[1]!Tabela2[[#This Row],[Weight TiO2 (g)]]/79.866</f>
        <v>#ERROR!</v>
      </c>
      <c r="F116" s="10" t="str">
        <f>[1]!Tabela2[[#This Row],[mol TiO2]]/([1]!Tabela2[[#This Row],[mol TiO2]]+[1]!Tabela2[[#This Row],[mol NaOH]])*100</f>
        <v>#ERROR!</v>
      </c>
      <c r="G116" s="18" t="str">
        <f>[1]!Tabela2[[#This Row],[Weight TiO2 (g)]]/[1]!Tabela2[[#This Row],[Vol NaOH]]</f>
        <v>#ERROR!</v>
      </c>
      <c r="H116" s="18" t="str">
        <f>[1]!Tabela2[[#This Row],[mol TiO2]]/[1]!Tabela2[[#This Row],[mol NaOH]]</f>
        <v>#ERROR!</v>
      </c>
      <c r="I116" s="18"/>
      <c r="J116" s="13" t="str">
        <f>[1]!Tabela2[[#This Row],[Vol NaOH]]*[1]!Tabela2[[#This Row],['[NaOH']]]</f>
        <v>#ERROR!</v>
      </c>
      <c r="K116" s="13">
        <v>50.0</v>
      </c>
      <c r="L116" s="8">
        <v>10.0</v>
      </c>
      <c r="M116" s="8">
        <v>150.0</v>
      </c>
      <c r="N116" s="8">
        <v>72.0</v>
      </c>
      <c r="O116" s="6" t="s">
        <v>180</v>
      </c>
      <c r="P116" s="6">
        <v>24.0</v>
      </c>
      <c r="Q116" s="6"/>
      <c r="R116" s="6"/>
      <c r="S116" s="6"/>
      <c r="T116" s="6">
        <v>2.0</v>
      </c>
      <c r="U116" s="6" t="s">
        <v>30</v>
      </c>
      <c r="V116" s="19" t="s">
        <v>181</v>
      </c>
    </row>
    <row r="117" ht="14.25" customHeight="1">
      <c r="A117" s="5" t="s">
        <v>182</v>
      </c>
      <c r="B117" s="6">
        <v>40.0</v>
      </c>
      <c r="C117" s="7">
        <f>'Coleta de artigos'!$K117/'Coleta de artigos'!$B117*100</f>
        <v>70</v>
      </c>
      <c r="D117" s="8">
        <v>6.0</v>
      </c>
      <c r="E117" s="9">
        <f>'Coleta de artigos'!$D117/79.866</f>
        <v>0.07512583577</v>
      </c>
      <c r="F117" s="10">
        <f>'Coleta de artigos'!$E117/('Coleta de artigos'!$E117+'Coleta de artigos'!$J117)*100</f>
        <v>0.01788390484</v>
      </c>
      <c r="G117" s="11">
        <f>IFERROR('Coleta de artigos'!$D117/'Coleta de artigos'!$K117,0)</f>
        <v>0.2142857143</v>
      </c>
      <c r="H117" s="12">
        <f>'Coleta de artigos'!$E117/'Coleta de artigos'!$J117</f>
        <v>0.0001788710376</v>
      </c>
      <c r="I117" s="12" t="str">
        <f>'Coleta de artigos'!$H117/LARGE(I129:I210,1)</f>
        <v>#NUM!</v>
      </c>
      <c r="J117" s="13">
        <f>'Coleta de artigos'!$K117*'Coleta de artigos'!$L117</f>
        <v>420</v>
      </c>
      <c r="K117" s="13">
        <v>28.0</v>
      </c>
      <c r="L117" s="8">
        <v>15.0</v>
      </c>
      <c r="M117" s="8">
        <v>150.0</v>
      </c>
      <c r="N117" s="8">
        <v>72.0</v>
      </c>
      <c r="O117" s="6" t="s">
        <v>52</v>
      </c>
      <c r="P117" s="6"/>
      <c r="Q117" s="6"/>
      <c r="R117" s="6"/>
      <c r="S117" s="6">
        <v>400.0</v>
      </c>
      <c r="T117" s="6">
        <v>5.0</v>
      </c>
      <c r="U117" s="14" t="s">
        <v>25</v>
      </c>
      <c r="V117" s="15" t="s">
        <v>105</v>
      </c>
    </row>
    <row r="118" ht="14.25" customHeight="1">
      <c r="A118" s="5" t="s">
        <v>178</v>
      </c>
      <c r="B118" s="6">
        <v>40.0</v>
      </c>
      <c r="C118" s="7">
        <f>'Coleta de artigos'!$K118/'Coleta de artigos'!$B118*100</f>
        <v>70</v>
      </c>
      <c r="D118" s="8">
        <v>6.0</v>
      </c>
      <c r="E118" s="9">
        <f>'Coleta de artigos'!$D118/79.866</f>
        <v>0.07512583577</v>
      </c>
      <c r="F118" s="10">
        <f>'Coleta de artigos'!$E118/('Coleta de artigos'!$E118+'Coleta de artigos'!$J118)*100</f>
        <v>0.01788390484</v>
      </c>
      <c r="G118" s="11">
        <f>IFERROR('Coleta de artigos'!$D118/'Coleta de artigos'!$K118,0)</f>
        <v>0.2142857143</v>
      </c>
      <c r="H118" s="12">
        <f>'Coleta de artigos'!$E118/'Coleta de artigos'!$J118</f>
        <v>0.0001788710376</v>
      </c>
      <c r="I118" s="12" t="str">
        <f>'Coleta de artigos'!$H118/LARGE(I129:I211,1)</f>
        <v>#NUM!</v>
      </c>
      <c r="J118" s="13">
        <f>'Coleta de artigos'!$K118*'Coleta de artigos'!$L118</f>
        <v>420</v>
      </c>
      <c r="K118" s="13">
        <v>28.0</v>
      </c>
      <c r="L118" s="8">
        <v>15.0</v>
      </c>
      <c r="M118" s="8">
        <v>150.0</v>
      </c>
      <c r="N118" s="8">
        <v>72.0</v>
      </c>
      <c r="O118" s="6" t="s">
        <v>52</v>
      </c>
      <c r="P118" s="6"/>
      <c r="Q118" s="6"/>
      <c r="R118" s="6"/>
      <c r="S118" s="6">
        <v>400.0</v>
      </c>
      <c r="T118" s="6">
        <v>5.0</v>
      </c>
      <c r="U118" s="14" t="s">
        <v>25</v>
      </c>
      <c r="V118" s="15">
        <v>10.0</v>
      </c>
    </row>
    <row r="119" ht="14.25" customHeight="1">
      <c r="A119" s="5" t="s">
        <v>183</v>
      </c>
      <c r="B119" s="6"/>
      <c r="C119" s="6"/>
      <c r="D119" s="8">
        <v>0.3</v>
      </c>
      <c r="E119" s="9" t="str">
        <f>[1]!Tabela2[[#This Row],[Weight TiO2 (g)]]/79.866</f>
        <v>#ERROR!</v>
      </c>
      <c r="F119" s="10" t="str">
        <f>[1]!Tabela2[[#This Row],[mol TiO2]]/([1]!Tabela2[[#This Row],[mol TiO2]]+[1]!Tabela2[[#This Row],[mol NaOH]])*100</f>
        <v>#ERROR!</v>
      </c>
      <c r="G119" s="18" t="str">
        <f>[1]!Tabela2[[#This Row],[Weight TiO2 (g)]]/[1]!Tabela2[[#This Row],[Vol NaOH]]</f>
        <v>#ERROR!</v>
      </c>
      <c r="H119" s="18" t="str">
        <f>[1]!Tabela2[[#This Row],[mol TiO2]]/[1]!Tabela2[[#This Row],[mol NaOH]]</f>
        <v>#ERROR!</v>
      </c>
      <c r="I119" s="18"/>
      <c r="J119" s="13" t="str">
        <f>[1]!Tabela2[[#This Row],[Vol NaOH]]*[1]!Tabela2[[#This Row],['[NaOH']]]</f>
        <v>#ERROR!</v>
      </c>
      <c r="K119" s="13">
        <v>30.0</v>
      </c>
      <c r="L119" s="8">
        <v>10.0</v>
      </c>
      <c r="M119" s="8">
        <v>110.0</v>
      </c>
      <c r="N119" s="8">
        <v>72.0</v>
      </c>
      <c r="O119" s="6" t="s">
        <v>24</v>
      </c>
      <c r="P119" s="6">
        <v>3.0</v>
      </c>
      <c r="Q119" s="6">
        <v>80.0</v>
      </c>
      <c r="R119" s="6">
        <v>24.0</v>
      </c>
      <c r="S119" s="6"/>
      <c r="T119" s="6">
        <v>2.0</v>
      </c>
      <c r="U119" s="6" t="s">
        <v>25</v>
      </c>
      <c r="V119" s="19"/>
    </row>
    <row r="120" ht="14.25" customHeight="1">
      <c r="A120" s="5" t="s">
        <v>184</v>
      </c>
      <c r="B120" s="6">
        <v>200.0</v>
      </c>
      <c r="C120" s="6"/>
      <c r="D120" s="8">
        <v>1.5</v>
      </c>
      <c r="E120" s="9" t="str">
        <f>[1]!Tabela2[[#This Row],[Weight TiO2 (g)]]/79.866</f>
        <v>#ERROR!</v>
      </c>
      <c r="F120" s="10" t="str">
        <f>[1]!Tabela2[[#This Row],[mol TiO2]]/([1]!Tabela2[[#This Row],[mol TiO2]]+[1]!Tabela2[[#This Row],[mol NaOH]])*100</f>
        <v>#ERROR!</v>
      </c>
      <c r="G120" s="18" t="str">
        <f>[1]!Tabela2[[#This Row],[Weight TiO2 (g)]]/[1]!Tabela2[[#This Row],[Vol NaOH]]</f>
        <v>#ERROR!</v>
      </c>
      <c r="H120" s="18" t="str">
        <f>[1]!Tabela2[[#This Row],[mol TiO2]]/[1]!Tabela2[[#This Row],[mol NaOH]]</f>
        <v>#ERROR!</v>
      </c>
      <c r="I120" s="18"/>
      <c r="J120" s="13" t="str">
        <f>[1]!Tabela2[[#This Row],[Vol NaOH]]*[1]!Tabela2[[#This Row],['[NaOH']]]</f>
        <v>#ERROR!</v>
      </c>
      <c r="K120" s="13">
        <v>140.0</v>
      </c>
      <c r="L120" s="8">
        <v>10.0</v>
      </c>
      <c r="M120" s="8">
        <v>150.0</v>
      </c>
      <c r="N120" s="8">
        <v>48.0</v>
      </c>
      <c r="O120" s="6" t="s">
        <v>24</v>
      </c>
      <c r="P120" s="6"/>
      <c r="Q120" s="6">
        <v>80.0</v>
      </c>
      <c r="R120" s="6">
        <v>8.0</v>
      </c>
      <c r="S120" s="6"/>
      <c r="T120" s="6">
        <v>2.0</v>
      </c>
      <c r="U120" s="6" t="s">
        <v>25</v>
      </c>
      <c r="V120" s="19"/>
    </row>
    <row r="121" ht="14.25" customHeight="1">
      <c r="A121" s="5" t="s">
        <v>185</v>
      </c>
      <c r="B121" s="6" t="s">
        <v>23</v>
      </c>
      <c r="C121" s="7"/>
      <c r="D121" s="8">
        <v>8.0</v>
      </c>
      <c r="E121" s="9">
        <f>'Coleta de artigos'!$D121/79.866</f>
        <v>0.100167781</v>
      </c>
      <c r="F121" s="10">
        <f>'Coleta de artigos'!$E121/('Coleta de artigos'!$E121+'Coleta de artigos'!$J121)*100</f>
        <v>0.04353225032</v>
      </c>
      <c r="G121" s="11">
        <f>IFERROR('Coleta de artigos'!$D121/'Coleta de artigos'!$K121,0)</f>
        <v>0.347826087</v>
      </c>
      <c r="H121" s="12">
        <f>'Coleta de artigos'!$E121/'Coleta de artigos'!$J121</f>
        <v>0.0004355120914</v>
      </c>
      <c r="I121" s="12" t="str">
        <f>'Coleta de artigos'!$H121/LARGE(I129:I214,1)</f>
        <v>#NUM!</v>
      </c>
      <c r="J121" s="13">
        <f>'Coleta de artigos'!$K121*'Coleta de artigos'!$L121</f>
        <v>230</v>
      </c>
      <c r="K121" s="13">
        <v>23.0</v>
      </c>
      <c r="L121" s="8">
        <v>10.0</v>
      </c>
      <c r="M121" s="8">
        <v>150.0</v>
      </c>
      <c r="N121" s="8">
        <v>72.0</v>
      </c>
      <c r="O121" s="6" t="s">
        <v>24</v>
      </c>
      <c r="P121" s="6">
        <v>0.1</v>
      </c>
      <c r="Q121" s="6"/>
      <c r="R121" s="6"/>
      <c r="S121" s="6">
        <v>25.0</v>
      </c>
      <c r="T121" s="6"/>
      <c r="U121" s="14" t="s">
        <v>25</v>
      </c>
      <c r="V121" s="15" t="s">
        <v>69</v>
      </c>
    </row>
    <row r="122" ht="14.25" customHeight="1">
      <c r="A122" s="1" t="s">
        <v>186</v>
      </c>
      <c r="B122" s="6">
        <v>200.0</v>
      </c>
      <c r="C122" s="6"/>
      <c r="D122" s="8">
        <v>3.0</v>
      </c>
      <c r="E122" s="9" t="str">
        <f>[1]!Tabela2[[#This Row],[Weight TiO2 (g)]]/79.866</f>
        <v>#ERROR!</v>
      </c>
      <c r="F122" s="10" t="str">
        <f>[1]!Tabela2[[#This Row],[mol TiO2]]/([1]!Tabela2[[#This Row],[mol TiO2]]+[1]!Tabela2[[#This Row],[mol NaOH]])*100</f>
        <v>#ERROR!</v>
      </c>
      <c r="G122" s="18" t="str">
        <f>[1]!Tabela2[[#This Row],[Weight TiO2 (g)]]/[1]!Tabela2[[#This Row],[Vol NaOH]]</f>
        <v>#ERROR!</v>
      </c>
      <c r="H122" s="18" t="str">
        <f>[1]!Tabela2[[#This Row],[mol TiO2]]/[1]!Tabela2[[#This Row],[mol NaOH]]</f>
        <v>#ERROR!</v>
      </c>
      <c r="I122" s="18"/>
      <c r="J122" s="13" t="str">
        <f>[1]!Tabela2[[#This Row],[Vol NaOH]]*[1]!Tabela2[[#This Row],['[NaOH']]]</f>
        <v>#ERROR!</v>
      </c>
      <c r="K122" s="13">
        <v>168.0</v>
      </c>
      <c r="L122" s="8">
        <v>10.0</v>
      </c>
      <c r="M122" s="8">
        <v>120.0</v>
      </c>
      <c r="N122" s="8">
        <v>30.0</v>
      </c>
      <c r="O122" s="6"/>
      <c r="P122" s="6">
        <v>2.0</v>
      </c>
      <c r="Q122" s="6">
        <v>110.0</v>
      </c>
      <c r="R122" s="6"/>
      <c r="S122" s="6">
        <v>1000.0</v>
      </c>
      <c r="T122" s="6"/>
      <c r="U122" s="6"/>
      <c r="V122" s="19"/>
    </row>
    <row r="123" ht="14.25" customHeight="1">
      <c r="A123" s="5" t="s">
        <v>187</v>
      </c>
      <c r="B123" s="6"/>
      <c r="C123" s="6"/>
      <c r="D123" s="8">
        <v>0.25</v>
      </c>
      <c r="E123" s="9" t="str">
        <f>[1]!Tabela2[[#This Row],[Weight TiO2 (g)]]/79.866</f>
        <v>#ERROR!</v>
      </c>
      <c r="F123" s="10" t="str">
        <f>[1]!Tabela2[[#This Row],[mol TiO2]]/([1]!Tabela2[[#This Row],[mol TiO2]]+[1]!Tabela2[[#This Row],[mol NaOH]])*100</f>
        <v>#ERROR!</v>
      </c>
      <c r="G123" s="13" t="str">
        <f>[1]!Tabela2[[#This Row],[Weight TiO2 (g)]]/[1]!Tabela2[[#This Row],[Vol NaOH]]</f>
        <v>#ERROR!</v>
      </c>
      <c r="H123" s="13" t="str">
        <f>[1]!Tabela2[[#This Row],[mol TiO2]]/[1]!Tabela2[[#This Row],[mol NaOH]]</f>
        <v>#ERROR!</v>
      </c>
      <c r="I123" s="13"/>
      <c r="J123" s="13" t="str">
        <f>[1]!Tabela2[[#This Row],[Vol NaOH]]*[1]!Tabela2[[#This Row],['[NaOH']]]</f>
        <v>#ERROR!</v>
      </c>
      <c r="K123" s="13">
        <v>20.0</v>
      </c>
      <c r="L123" s="8">
        <v>10.0</v>
      </c>
      <c r="M123" s="8">
        <v>150.0</v>
      </c>
      <c r="N123" s="8">
        <v>12.0</v>
      </c>
      <c r="O123" s="6" t="s">
        <v>24</v>
      </c>
      <c r="P123" s="6"/>
      <c r="Q123" s="6">
        <v>70.0</v>
      </c>
      <c r="R123" s="6">
        <v>20.0</v>
      </c>
      <c r="S123" s="6">
        <v>600.0</v>
      </c>
      <c r="T123" s="6">
        <v>2.0</v>
      </c>
      <c r="U123" s="6" t="s">
        <v>25</v>
      </c>
      <c r="V123" s="19" t="s">
        <v>188</v>
      </c>
    </row>
    <row r="124" ht="14.25" customHeight="1">
      <c r="A124" s="5" t="s">
        <v>99</v>
      </c>
      <c r="B124" s="6"/>
      <c r="C124" s="6"/>
      <c r="D124" s="8">
        <v>0.5</v>
      </c>
      <c r="E124" s="9" t="str">
        <f>[1]!Tabela2[[#This Row],[Weight TiO2 (g)]]/79.866</f>
        <v>#ERROR!</v>
      </c>
      <c r="F124" s="10" t="str">
        <f>[1]!Tabela2[[#This Row],[mol TiO2]]/([1]!Tabela2[[#This Row],[mol TiO2]]+[1]!Tabela2[[#This Row],[mol NaOH]])*100</f>
        <v>#ERROR!</v>
      </c>
      <c r="G124" s="18" t="str">
        <f>[1]!Tabela2[[#This Row],[Weight TiO2 (g)]]/[1]!Tabela2[[#This Row],[Vol NaOH]]</f>
        <v>#ERROR!</v>
      </c>
      <c r="H124" s="18" t="str">
        <f>[1]!Tabela2[[#This Row],[mol TiO2]]/[1]!Tabela2[[#This Row],[mol NaOH]]</f>
        <v>#ERROR!</v>
      </c>
      <c r="I124" s="18"/>
      <c r="J124" s="13" t="str">
        <f>[1]!Tabela2[[#This Row],[Vol NaOH]]*[1]!Tabela2[[#This Row],['[NaOH']]]</f>
        <v>#ERROR!</v>
      </c>
      <c r="K124" s="13">
        <v>20.0</v>
      </c>
      <c r="L124" s="8">
        <v>10.0</v>
      </c>
      <c r="M124" s="8">
        <v>200.0</v>
      </c>
      <c r="N124" s="8">
        <v>24.0</v>
      </c>
      <c r="O124" s="6" t="s">
        <v>24</v>
      </c>
      <c r="P124" s="6"/>
      <c r="Q124" s="6">
        <v>-57.0</v>
      </c>
      <c r="R124" s="6"/>
      <c r="S124" s="6"/>
      <c r="T124" s="6">
        <v>2.0</v>
      </c>
      <c r="U124" s="6" t="s">
        <v>33</v>
      </c>
      <c r="V124" s="19" t="s">
        <v>189</v>
      </c>
    </row>
    <row r="125" ht="14.25" customHeight="1">
      <c r="A125" s="5" t="s">
        <v>190</v>
      </c>
      <c r="B125" s="6"/>
      <c r="C125" s="6"/>
      <c r="D125" s="8">
        <v>3.0</v>
      </c>
      <c r="E125" s="9" t="str">
        <f>[1]!Tabela2[[#This Row],[Weight TiO2 (g)]]/79.866</f>
        <v>#ERROR!</v>
      </c>
      <c r="F125" s="10" t="str">
        <f>[1]!Tabela2[[#This Row],[mol TiO2]]/([1]!Tabela2[[#This Row],[mol TiO2]]+[1]!Tabela2[[#This Row],[mol NaOH]])*100</f>
        <v>#ERROR!</v>
      </c>
      <c r="G125" s="18" t="str">
        <f>[1]!Tabela2[[#This Row],[Weight TiO2 (g)]]/[1]!Tabela2[[#This Row],[Vol NaOH]]</f>
        <v>#ERROR!</v>
      </c>
      <c r="H125" s="18" t="str">
        <f>[1]!Tabela2[[#This Row],[mol TiO2]]/[1]!Tabela2[[#This Row],[mol NaOH]]</f>
        <v>#ERROR!</v>
      </c>
      <c r="I125" s="18"/>
      <c r="J125" s="13" t="str">
        <f>[1]!Tabela2[[#This Row],[Vol NaOH]]*[1]!Tabela2[[#This Row],['[NaOH']]]</f>
        <v>#ERROR!</v>
      </c>
      <c r="K125" s="13">
        <v>49.0</v>
      </c>
      <c r="L125" s="8">
        <v>10.0</v>
      </c>
      <c r="M125" s="8">
        <v>100.0</v>
      </c>
      <c r="N125" s="8">
        <v>48.0</v>
      </c>
      <c r="O125" s="6" t="s">
        <v>24</v>
      </c>
      <c r="P125" s="6">
        <v>0.5</v>
      </c>
      <c r="Q125" s="6">
        <v>12.0</v>
      </c>
      <c r="R125" s="6"/>
      <c r="S125" s="6"/>
      <c r="T125" s="6"/>
      <c r="U125" s="6" t="s">
        <v>25</v>
      </c>
      <c r="V125" s="19" t="s">
        <v>81</v>
      </c>
    </row>
    <row r="126" ht="14.25" customHeight="1">
      <c r="A126" s="1" t="s">
        <v>191</v>
      </c>
      <c r="B126" s="6"/>
      <c r="C126" s="6"/>
      <c r="D126" s="8">
        <v>2.0</v>
      </c>
      <c r="E126" s="9" t="str">
        <f>[1]!Tabela2[[#This Row],[Weight TiO2 (g)]]/79.866</f>
        <v>#ERROR!</v>
      </c>
      <c r="F126" s="10" t="str">
        <f>[1]!Tabela2[[#This Row],[mol TiO2]]/([1]!Tabela2[[#This Row],[mol TiO2]]+[1]!Tabela2[[#This Row],[mol NaOH]])*100</f>
        <v>#ERROR!</v>
      </c>
      <c r="G126" s="18" t="str">
        <f>[1]!Tabela2[[#This Row],[Weight TiO2 (g)]]/[1]!Tabela2[[#This Row],[Vol NaOH]]</f>
        <v>#ERROR!</v>
      </c>
      <c r="H126" s="18" t="str">
        <f>[1]!Tabela2[[#This Row],[mol TiO2]]/[1]!Tabela2[[#This Row],[mol NaOH]]</f>
        <v>#ERROR!</v>
      </c>
      <c r="I126" s="18"/>
      <c r="J126" s="13" t="str">
        <f>[1]!Tabela2[[#This Row],[Vol NaOH]]*[1]!Tabela2[[#This Row],['[NaOH']]]</f>
        <v>#ERROR!</v>
      </c>
      <c r="K126" s="13">
        <v>150.0</v>
      </c>
      <c r="L126" s="8">
        <v>10.0</v>
      </c>
      <c r="M126" s="8">
        <v>180.0</v>
      </c>
      <c r="N126" s="8">
        <v>30.0</v>
      </c>
      <c r="O126" s="6" t="s">
        <v>24</v>
      </c>
      <c r="P126" s="6"/>
      <c r="Q126" s="6"/>
      <c r="R126" s="6"/>
      <c r="S126" s="6">
        <v>500.0</v>
      </c>
      <c r="T126" s="6">
        <v>5.0</v>
      </c>
      <c r="U126" s="6" t="s">
        <v>25</v>
      </c>
      <c r="V126" s="19" t="s">
        <v>45</v>
      </c>
    </row>
    <row r="127" ht="14.25" customHeight="1">
      <c r="A127" s="5" t="s">
        <v>192</v>
      </c>
      <c r="B127" s="6"/>
      <c r="C127" s="6"/>
      <c r="D127" s="8"/>
      <c r="E127" s="9" t="str">
        <f>[1]!Tabela2[[#This Row],[Weight TiO2 (g)]]/79.866</f>
        <v>#ERROR!</v>
      </c>
      <c r="F127" s="10" t="str">
        <f>[1]!Tabela2[[#This Row],[mol TiO2]]/([1]!Tabela2[[#This Row],[mol TiO2]]+[1]!Tabela2[[#This Row],[mol NaOH]])*100</f>
        <v>#ERROR!</v>
      </c>
      <c r="G127" s="13" t="str">
        <f>[1]!Tabela2[[#This Row],[Weight TiO2 (g)]]/[1]!Tabela2[[#This Row],[Vol NaOH]]</f>
        <v>#ERROR!</v>
      </c>
      <c r="H127" s="13" t="str">
        <f>[1]!Tabela2[[#This Row],[mol TiO2]]/[1]!Tabela2[[#This Row],[mol NaOH]]</f>
        <v>#ERROR!</v>
      </c>
      <c r="I127" s="13"/>
      <c r="J127" s="13" t="str">
        <f>[1]!Tabela2[[#This Row],[Vol NaOH]]*[1]!Tabela2[[#This Row],['[NaOH']]]</f>
        <v>#ERROR!</v>
      </c>
      <c r="K127" s="13"/>
      <c r="L127" s="8">
        <v>10.0</v>
      </c>
      <c r="M127" s="8">
        <v>150.0</v>
      </c>
      <c r="N127" s="8">
        <v>48.0</v>
      </c>
      <c r="O127" s="6" t="s">
        <v>24</v>
      </c>
      <c r="P127" s="6"/>
      <c r="Q127" s="6"/>
      <c r="R127" s="6"/>
      <c r="S127" s="6"/>
      <c r="T127" s="6">
        <v>2.0</v>
      </c>
      <c r="U127" s="6" t="s">
        <v>25</v>
      </c>
      <c r="V127" s="19" t="s">
        <v>193</v>
      </c>
    </row>
    <row r="128" ht="14.25" customHeight="1">
      <c r="A128" s="5" t="s">
        <v>194</v>
      </c>
      <c r="B128" s="6"/>
      <c r="C128" s="6"/>
      <c r="D128" s="8"/>
      <c r="E128" s="9" t="str">
        <f>[1]!Tabela2[[#This Row],[Weight TiO2 (g)]]/79.866</f>
        <v>#ERROR!</v>
      </c>
      <c r="F128" s="10" t="str">
        <f>[1]!Tabela2[[#This Row],[mol TiO2]]/([1]!Tabela2[[#This Row],[mol TiO2]]+[1]!Tabela2[[#This Row],[mol NaOH]])*100</f>
        <v>#ERROR!</v>
      </c>
      <c r="G128" s="18" t="str">
        <f>[1]!Tabela2[[#This Row],[Weight TiO2 (g)]]/[1]!Tabela2[[#This Row],[Vol NaOH]]</f>
        <v>#ERROR!</v>
      </c>
      <c r="H128" s="18" t="str">
        <f>[1]!Tabela2[[#This Row],[mol TiO2]]/[1]!Tabela2[[#This Row],[mol NaOH]]</f>
        <v>#ERROR!</v>
      </c>
      <c r="I128" s="18"/>
      <c r="J128" s="13" t="str">
        <f>[1]!Tabela2[[#This Row],[Vol NaOH]]*[1]!Tabela2[[#This Row],['[NaOH']]]</f>
        <v>#ERROR!</v>
      </c>
      <c r="K128" s="13"/>
      <c r="L128" s="8"/>
      <c r="M128" s="8">
        <v>110.0</v>
      </c>
      <c r="N128" s="8">
        <v>24.0</v>
      </c>
      <c r="O128" s="6" t="s">
        <v>24</v>
      </c>
      <c r="P128" s="6">
        <v>1.0</v>
      </c>
      <c r="Q128" s="6">
        <v>100.0</v>
      </c>
      <c r="R128" s="6"/>
      <c r="S128" s="6">
        <v>25.0</v>
      </c>
      <c r="T128" s="6">
        <v>2.0</v>
      </c>
      <c r="U128" s="6" t="s">
        <v>35</v>
      </c>
      <c r="V128" s="19" t="s">
        <v>195</v>
      </c>
    </row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6"/>
    <hyperlink r:id="rId26" ref="A27"/>
    <hyperlink r:id="rId27" ref="A28"/>
    <hyperlink r:id="rId28" ref="A29"/>
    <hyperlink r:id="rId29" ref="A30"/>
    <hyperlink r:id="rId30" ref="A34"/>
    <hyperlink r:id="rId31" ref="A35"/>
    <hyperlink r:id="rId32" ref="A36"/>
    <hyperlink r:id="rId33" ref="A38"/>
    <hyperlink r:id="rId34" ref="A39"/>
    <hyperlink r:id="rId35" ref="A40"/>
    <hyperlink r:id="rId36" ref="A41"/>
    <hyperlink r:id="rId37" ref="A43"/>
    <hyperlink r:id="rId38" ref="A44"/>
    <hyperlink r:id="rId39" ref="A46"/>
    <hyperlink r:id="rId40" ref="A47"/>
    <hyperlink r:id="rId41" ref="A48"/>
    <hyperlink r:id="rId42" ref="A49"/>
    <hyperlink r:id="rId43" ref="A50"/>
    <hyperlink r:id="rId44" ref="A52"/>
    <hyperlink r:id="rId45" ref="A55"/>
    <hyperlink r:id="rId46" ref="A56"/>
    <hyperlink r:id="rId47" ref="A57"/>
    <hyperlink r:id="rId48" ref="A59"/>
    <hyperlink r:id="rId49" ref="A60"/>
    <hyperlink r:id="rId50" ref="A61"/>
    <hyperlink r:id="rId51" ref="A62"/>
    <hyperlink r:id="rId52" ref="A63"/>
    <hyperlink r:id="rId53" ref="A64"/>
    <hyperlink r:id="rId54" ref="A65"/>
    <hyperlink r:id="rId55" ref="A66"/>
    <hyperlink r:id="rId56" ref="A68"/>
    <hyperlink r:id="rId57" ref="A70"/>
    <hyperlink r:id="rId58" ref="A71"/>
    <hyperlink r:id="rId59" ref="A73"/>
    <hyperlink r:id="rId60" ref="A74"/>
    <hyperlink r:id="rId61" ref="A75"/>
    <hyperlink r:id="rId62" ref="A76"/>
    <hyperlink r:id="rId63" ref="A77"/>
    <hyperlink r:id="rId64" ref="A81"/>
    <hyperlink r:id="rId65" ref="A83"/>
    <hyperlink r:id="rId66" ref="A84"/>
    <hyperlink r:id="rId67" ref="A85"/>
    <hyperlink r:id="rId68" ref="A86"/>
    <hyperlink r:id="rId69" ref="A87"/>
    <hyperlink r:id="rId70" ref="A92"/>
    <hyperlink r:id="rId71" ref="A94"/>
    <hyperlink r:id="rId72" ref="A95"/>
    <hyperlink r:id="rId73" ref="A97"/>
    <hyperlink r:id="rId74" ref="A98"/>
    <hyperlink r:id="rId75" ref="A99"/>
    <hyperlink r:id="rId76" ref="A100"/>
    <hyperlink r:id="rId77" ref="A101"/>
    <hyperlink r:id="rId78" ref="A102"/>
    <hyperlink r:id="rId79" ref="A103"/>
    <hyperlink r:id="rId80" ref="A104"/>
    <hyperlink r:id="rId81" ref="A105"/>
    <hyperlink r:id="rId82" ref="A107"/>
    <hyperlink r:id="rId83" ref="A108"/>
    <hyperlink r:id="rId84" ref="A109"/>
    <hyperlink r:id="rId85" ref="A110"/>
    <hyperlink r:id="rId86" ref="A112"/>
    <hyperlink r:id="rId87" ref="A115"/>
    <hyperlink r:id="rId88" ref="A116"/>
    <hyperlink r:id="rId89" ref="A117"/>
    <hyperlink r:id="rId90" ref="A118"/>
    <hyperlink r:id="rId91" ref="A119"/>
    <hyperlink r:id="rId92" ref="A120"/>
    <hyperlink r:id="rId93" ref="A121"/>
    <hyperlink r:id="rId94" ref="A123"/>
    <hyperlink r:id="rId95" ref="A124"/>
    <hyperlink r:id="rId96" ref="A125"/>
    <hyperlink r:id="rId97" ref="A127"/>
    <hyperlink r:id="rId98" ref="A128"/>
  </hyperlinks>
  <printOptions/>
  <pageMargins bottom="0.787401575" footer="0.0" header="0.0" left="0.511811024" right="0.511811024" top="0.787401575"/>
  <pageSetup orientation="landscape"/>
  <drawing r:id="rId99"/>
  <legacyDrawing r:id="rId100"/>
  <tableParts count="1">
    <tablePart r:id="rId10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6" width="13.29"/>
    <col customWidth="1" min="7" max="12" width="8.71"/>
    <col customWidth="1" min="13" max="13" width="21.71"/>
    <col customWidth="1" min="14" max="15" width="8.71"/>
    <col customWidth="1" min="16" max="16" width="10.86"/>
    <col customWidth="1" min="17" max="18" width="8.71"/>
    <col customWidth="1" min="19" max="19" width="10.14"/>
    <col customWidth="1" min="20" max="27" width="8.71"/>
    <col customWidth="1" min="28" max="28" width="21.71"/>
    <col customWidth="1" min="29" max="36" width="8.71"/>
  </cols>
  <sheetData>
    <row r="1" ht="14.25" customHeight="1">
      <c r="A1" s="24" t="s">
        <v>196</v>
      </c>
      <c r="B1" s="25"/>
      <c r="C1" s="26"/>
      <c r="D1" s="27"/>
      <c r="E1" s="24" t="s">
        <v>197</v>
      </c>
      <c r="F1" s="26"/>
      <c r="G1" s="27"/>
      <c r="H1" s="24" t="s">
        <v>198</v>
      </c>
      <c r="I1" s="25"/>
      <c r="J1" s="25"/>
      <c r="K1" s="26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</row>
    <row r="2" ht="14.25" customHeight="1">
      <c r="A2" s="27" t="s">
        <v>199</v>
      </c>
      <c r="B2" s="28" t="s">
        <v>200</v>
      </c>
      <c r="C2" s="27"/>
      <c r="D2" s="27"/>
      <c r="E2" s="27" t="s">
        <v>201</v>
      </c>
      <c r="F2" s="27">
        <v>2.0</v>
      </c>
      <c r="G2" s="27"/>
      <c r="H2" s="27" t="s">
        <v>202</v>
      </c>
      <c r="I2" s="27" t="s">
        <v>11</v>
      </c>
      <c r="J2" s="27" t="s">
        <v>203</v>
      </c>
      <c r="K2" s="27" t="s">
        <v>204</v>
      </c>
      <c r="L2" s="27"/>
      <c r="M2" s="29" t="s">
        <v>205</v>
      </c>
      <c r="N2" s="29" t="s">
        <v>202</v>
      </c>
      <c r="O2" s="29" t="s">
        <v>11</v>
      </c>
      <c r="P2" s="29" t="s">
        <v>203</v>
      </c>
      <c r="Q2" s="29" t="s">
        <v>204</v>
      </c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</row>
    <row r="3" ht="14.25" customHeight="1">
      <c r="A3" s="27" t="s">
        <v>206</v>
      </c>
      <c r="B3" s="27">
        <v>1.0</v>
      </c>
      <c r="C3" s="27" t="s">
        <v>207</v>
      </c>
      <c r="D3" s="27"/>
      <c r="E3" s="27" t="s">
        <v>208</v>
      </c>
      <c r="F3" s="27">
        <v>4.0</v>
      </c>
      <c r="G3" s="27"/>
      <c r="H3" s="27" t="s">
        <v>209</v>
      </c>
      <c r="I3" s="27" t="s">
        <v>210</v>
      </c>
      <c r="J3" s="27" t="s">
        <v>211</v>
      </c>
      <c r="K3" s="27" t="s">
        <v>212</v>
      </c>
      <c r="L3" s="27"/>
      <c r="M3" s="30" t="s">
        <v>213</v>
      </c>
      <c r="N3" s="31">
        <v>-1.0</v>
      </c>
      <c r="O3" s="31">
        <v>-1.0</v>
      </c>
      <c r="P3" s="31">
        <v>-1.0</v>
      </c>
      <c r="Q3" s="31">
        <v>-1.0</v>
      </c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</row>
    <row r="4" ht="14.25" customHeight="1">
      <c r="A4" s="27" t="s">
        <v>214</v>
      </c>
      <c r="B4" s="27">
        <v>4.0</v>
      </c>
      <c r="C4" s="27" t="s">
        <v>207</v>
      </c>
      <c r="D4" s="27"/>
      <c r="E4" s="27"/>
      <c r="F4" s="27"/>
      <c r="G4" s="27"/>
      <c r="H4" s="27">
        <v>2.0</v>
      </c>
      <c r="I4" s="27">
        <v>6.0</v>
      </c>
      <c r="J4" s="27">
        <v>100.0</v>
      </c>
      <c r="K4" s="27">
        <v>8.0</v>
      </c>
      <c r="L4" s="27"/>
      <c r="M4" s="30" t="s">
        <v>215</v>
      </c>
      <c r="N4" s="31">
        <v>1.0</v>
      </c>
      <c r="O4" s="31">
        <v>-1.0</v>
      </c>
      <c r="P4" s="31">
        <v>-1.0</v>
      </c>
      <c r="Q4" s="31">
        <v>1.0</v>
      </c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</row>
    <row r="5" ht="14.25" customHeight="1">
      <c r="A5" s="27" t="s">
        <v>216</v>
      </c>
      <c r="B5" s="27">
        <v>3.0</v>
      </c>
      <c r="C5" s="28" t="s">
        <v>217</v>
      </c>
      <c r="D5" s="27"/>
      <c r="E5" s="27"/>
      <c r="F5" s="27"/>
      <c r="G5" s="27"/>
      <c r="H5" s="27">
        <v>2.0</v>
      </c>
      <c r="I5" s="27">
        <v>6.0</v>
      </c>
      <c r="J5" s="27">
        <v>100.0</v>
      </c>
      <c r="K5" s="27">
        <v>24.0</v>
      </c>
      <c r="L5" s="27"/>
      <c r="M5" s="30" t="s">
        <v>218</v>
      </c>
      <c r="N5" s="31">
        <v>-1.0</v>
      </c>
      <c r="O5" s="31">
        <v>1.0</v>
      </c>
      <c r="P5" s="31">
        <v>-1.0</v>
      </c>
      <c r="Q5" s="31">
        <v>1.0</v>
      </c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</row>
    <row r="6" ht="14.25" customHeight="1">
      <c r="A6" s="32"/>
      <c r="B6" s="32"/>
      <c r="C6" s="32"/>
      <c r="D6" s="32"/>
      <c r="E6" s="32"/>
      <c r="F6" s="32"/>
      <c r="G6" s="27"/>
      <c r="H6" s="27">
        <v>2.0</v>
      </c>
      <c r="I6" s="27">
        <v>6.0</v>
      </c>
      <c r="J6" s="27">
        <v>200.0</v>
      </c>
      <c r="K6" s="27">
        <v>8.0</v>
      </c>
      <c r="L6" s="27"/>
      <c r="M6" s="30" t="s">
        <v>219</v>
      </c>
      <c r="N6" s="31">
        <v>1.0</v>
      </c>
      <c r="O6" s="31">
        <v>1.0</v>
      </c>
      <c r="P6" s="31">
        <v>-1.0</v>
      </c>
      <c r="Q6" s="31">
        <v>-1.0</v>
      </c>
      <c r="R6" s="27"/>
      <c r="S6" s="27"/>
      <c r="T6" s="27"/>
      <c r="U6" s="27"/>
      <c r="V6" s="27"/>
      <c r="W6" s="27"/>
      <c r="X6" s="27"/>
      <c r="Y6" s="27"/>
      <c r="Z6" s="27"/>
      <c r="AA6" s="27"/>
      <c r="AB6" s="33" t="s">
        <v>205</v>
      </c>
      <c r="AC6" s="24" t="s">
        <v>202</v>
      </c>
      <c r="AD6" s="26"/>
      <c r="AE6" s="24" t="s">
        <v>11</v>
      </c>
      <c r="AF6" s="26"/>
      <c r="AG6" s="24" t="s">
        <v>203</v>
      </c>
      <c r="AH6" s="26"/>
      <c r="AI6" s="24" t="s">
        <v>204</v>
      </c>
      <c r="AJ6" s="26"/>
    </row>
    <row r="7" ht="14.25" customHeight="1">
      <c r="A7" s="27" t="s">
        <v>220</v>
      </c>
      <c r="B7" s="28" t="s">
        <v>221</v>
      </c>
      <c r="C7" s="27"/>
      <c r="D7" s="27"/>
      <c r="E7" s="27" t="s">
        <v>222</v>
      </c>
      <c r="F7" s="27">
        <v>6.0</v>
      </c>
      <c r="G7" s="27"/>
      <c r="H7" s="27">
        <v>2.0</v>
      </c>
      <c r="I7" s="27">
        <v>6.0</v>
      </c>
      <c r="J7" s="27">
        <v>200.0</v>
      </c>
      <c r="K7" s="27">
        <v>24.0</v>
      </c>
      <c r="L7" s="27"/>
      <c r="M7" s="30" t="s">
        <v>223</v>
      </c>
      <c r="N7" s="31">
        <v>-1.0</v>
      </c>
      <c r="O7" s="31">
        <v>-1.0</v>
      </c>
      <c r="P7" s="31">
        <v>1.0</v>
      </c>
      <c r="Q7" s="31">
        <v>1.0</v>
      </c>
      <c r="R7" s="27"/>
      <c r="S7" s="27"/>
      <c r="T7" s="27"/>
      <c r="U7" s="27"/>
      <c r="V7" s="27"/>
      <c r="W7" s="27"/>
      <c r="X7" s="27"/>
      <c r="Y7" s="27"/>
      <c r="Z7" s="27"/>
      <c r="AA7" s="27"/>
      <c r="AB7" s="34"/>
      <c r="AC7" s="35" t="s">
        <v>224</v>
      </c>
      <c r="AD7" s="36" t="s">
        <v>225</v>
      </c>
      <c r="AE7" s="35" t="s">
        <v>224</v>
      </c>
      <c r="AF7" s="37" t="s">
        <v>225</v>
      </c>
      <c r="AG7" s="35" t="s">
        <v>224</v>
      </c>
      <c r="AH7" s="37" t="s">
        <v>225</v>
      </c>
      <c r="AI7" s="35" t="s">
        <v>224</v>
      </c>
      <c r="AJ7" s="37" t="s">
        <v>225</v>
      </c>
    </row>
    <row r="8" ht="14.25" customHeight="1">
      <c r="A8" s="27" t="s">
        <v>226</v>
      </c>
      <c r="B8" s="27">
        <v>6.0</v>
      </c>
      <c r="C8" s="27" t="s">
        <v>227</v>
      </c>
      <c r="D8" s="27"/>
      <c r="E8" s="27" t="s">
        <v>228</v>
      </c>
      <c r="F8" s="27">
        <v>10.0</v>
      </c>
      <c r="G8" s="27"/>
      <c r="H8" s="27">
        <v>2.0</v>
      </c>
      <c r="I8" s="27">
        <v>10.0</v>
      </c>
      <c r="J8" s="27">
        <v>100.0</v>
      </c>
      <c r="K8" s="27">
        <v>8.0</v>
      </c>
      <c r="L8" s="27"/>
      <c r="M8" s="30" t="s">
        <v>229</v>
      </c>
      <c r="N8" s="31">
        <v>1.0</v>
      </c>
      <c r="O8" s="31">
        <v>-1.0</v>
      </c>
      <c r="P8" s="31">
        <v>1.0</v>
      </c>
      <c r="Q8" s="31">
        <v>-1.0</v>
      </c>
      <c r="R8" s="27"/>
      <c r="S8" s="27"/>
      <c r="T8" s="27"/>
      <c r="U8" s="27"/>
      <c r="V8" s="27"/>
      <c r="W8" s="27"/>
      <c r="X8" s="27"/>
      <c r="Y8" s="27"/>
      <c r="Z8" s="27"/>
      <c r="AA8" s="27"/>
      <c r="AB8" s="38">
        <v>1.0</v>
      </c>
      <c r="AC8" s="39">
        <v>6.0</v>
      </c>
      <c r="AD8" s="27"/>
      <c r="AE8" s="39">
        <v>8.0</v>
      </c>
      <c r="AF8" s="40"/>
      <c r="AG8" s="39">
        <v>150.0</v>
      </c>
      <c r="AH8" s="40"/>
      <c r="AI8" s="39">
        <v>16.0</v>
      </c>
      <c r="AJ8" s="40"/>
    </row>
    <row r="9" ht="14.25" customHeight="1">
      <c r="A9" s="27" t="s">
        <v>214</v>
      </c>
      <c r="B9" s="27">
        <v>12.0</v>
      </c>
      <c r="C9" s="27" t="s">
        <v>227</v>
      </c>
      <c r="D9" s="27"/>
      <c r="E9" s="27"/>
      <c r="F9" s="27"/>
      <c r="G9" s="27"/>
      <c r="H9" s="27">
        <v>2.0</v>
      </c>
      <c r="I9" s="27">
        <v>10.0</v>
      </c>
      <c r="J9" s="27">
        <v>100.0</v>
      </c>
      <c r="K9" s="27">
        <v>24.0</v>
      </c>
      <c r="L9" s="27"/>
      <c r="M9" s="30" t="s">
        <v>230</v>
      </c>
      <c r="N9" s="31">
        <v>-1.0</v>
      </c>
      <c r="O9" s="31">
        <v>1.0</v>
      </c>
      <c r="P9" s="31">
        <v>1.0</v>
      </c>
      <c r="Q9" s="31">
        <v>-1.0</v>
      </c>
      <c r="R9" s="27"/>
      <c r="S9" s="27"/>
      <c r="T9" s="27"/>
      <c r="U9" s="27"/>
      <c r="V9" s="27"/>
      <c r="W9" s="27"/>
      <c r="X9" s="27"/>
      <c r="Y9" s="27"/>
      <c r="Z9" s="27"/>
      <c r="AA9" s="27"/>
      <c r="AB9" s="27">
        <v>2.0</v>
      </c>
      <c r="AC9" s="41">
        <v>3.0</v>
      </c>
      <c r="AD9" s="27"/>
      <c r="AE9" s="41">
        <v>6.0</v>
      </c>
      <c r="AF9" s="40"/>
      <c r="AG9" s="41">
        <v>100.0</v>
      </c>
      <c r="AH9" s="40"/>
      <c r="AI9" s="41">
        <v>8.0</v>
      </c>
      <c r="AJ9" s="40"/>
    </row>
    <row r="10" ht="14.25" customHeight="1">
      <c r="A10" s="27" t="s">
        <v>231</v>
      </c>
      <c r="B10" s="27">
        <v>3.0</v>
      </c>
      <c r="C10" s="28" t="s">
        <v>217</v>
      </c>
      <c r="D10" s="27"/>
      <c r="E10" s="27"/>
      <c r="F10" s="27"/>
      <c r="G10" s="27"/>
      <c r="H10" s="27">
        <v>2.0</v>
      </c>
      <c r="I10" s="27">
        <v>10.0</v>
      </c>
      <c r="J10" s="27">
        <v>200.0</v>
      </c>
      <c r="K10" s="27">
        <v>8.0</v>
      </c>
      <c r="L10" s="27"/>
      <c r="M10" s="30" t="s">
        <v>170</v>
      </c>
      <c r="N10" s="31">
        <v>1.0</v>
      </c>
      <c r="O10" s="31">
        <v>1.0</v>
      </c>
      <c r="P10" s="31">
        <v>1.0</v>
      </c>
      <c r="Q10" s="31">
        <v>1.0</v>
      </c>
      <c r="R10" s="27"/>
      <c r="S10" s="42"/>
      <c r="T10" s="27"/>
      <c r="U10" s="27"/>
      <c r="V10" s="27"/>
      <c r="W10" s="27"/>
      <c r="X10" s="27"/>
      <c r="Y10" s="27"/>
      <c r="Z10" s="27"/>
      <c r="AA10" s="27"/>
      <c r="AB10" s="27">
        <v>3.0</v>
      </c>
      <c r="AC10" s="41">
        <v>9.0</v>
      </c>
      <c r="AD10" s="27"/>
      <c r="AE10" s="41">
        <v>6.0</v>
      </c>
      <c r="AF10" s="40"/>
      <c r="AG10" s="41">
        <v>100.0</v>
      </c>
      <c r="AH10" s="40"/>
      <c r="AI10" s="41">
        <v>24.0</v>
      </c>
      <c r="AJ10" s="40"/>
    </row>
    <row r="11" ht="14.25" customHeight="1">
      <c r="A11" s="32"/>
      <c r="B11" s="32"/>
      <c r="C11" s="32"/>
      <c r="D11" s="32"/>
      <c r="E11" s="32"/>
      <c r="F11" s="32"/>
      <c r="G11" s="27"/>
      <c r="H11" s="27">
        <v>2.0</v>
      </c>
      <c r="I11" s="27">
        <v>10.0</v>
      </c>
      <c r="J11" s="27">
        <v>200.0</v>
      </c>
      <c r="K11" s="27">
        <v>24.0</v>
      </c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>
        <v>4.0</v>
      </c>
      <c r="AC11" s="41">
        <v>3.0</v>
      </c>
      <c r="AD11" s="27"/>
      <c r="AE11" s="41">
        <v>10.0</v>
      </c>
      <c r="AF11" s="40"/>
      <c r="AG11" s="41">
        <v>100.0</v>
      </c>
      <c r="AH11" s="40"/>
      <c r="AI11" s="41">
        <v>24.0</v>
      </c>
      <c r="AJ11" s="40"/>
    </row>
    <row r="12" ht="14.25" customHeight="1">
      <c r="A12" s="27" t="s">
        <v>232</v>
      </c>
      <c r="B12" s="28" t="s">
        <v>233</v>
      </c>
      <c r="C12" s="27"/>
      <c r="D12" s="27"/>
      <c r="E12" s="27" t="s">
        <v>234</v>
      </c>
      <c r="F12" s="27">
        <v>100.0</v>
      </c>
      <c r="G12" s="27"/>
      <c r="H12" s="27">
        <v>4.0</v>
      </c>
      <c r="I12" s="27">
        <v>6.0</v>
      </c>
      <c r="J12" s="27">
        <v>100.0</v>
      </c>
      <c r="K12" s="27">
        <v>8.0</v>
      </c>
      <c r="L12" s="27"/>
      <c r="M12" s="29" t="s">
        <v>205</v>
      </c>
      <c r="N12" s="29" t="s">
        <v>202</v>
      </c>
      <c r="O12" s="29" t="s">
        <v>11</v>
      </c>
      <c r="P12" s="29" t="s">
        <v>203</v>
      </c>
      <c r="Q12" s="29" t="s">
        <v>204</v>
      </c>
      <c r="R12" s="27"/>
      <c r="S12" s="24" t="s">
        <v>235</v>
      </c>
      <c r="T12" s="26"/>
      <c r="U12" s="27"/>
      <c r="V12" s="27"/>
      <c r="W12" s="27"/>
      <c r="X12" s="27"/>
      <c r="Y12" s="27"/>
      <c r="Z12" s="27"/>
      <c r="AA12" s="27"/>
      <c r="AB12" s="27">
        <v>5.0</v>
      </c>
      <c r="AC12" s="41">
        <v>9.0</v>
      </c>
      <c r="AD12" s="27"/>
      <c r="AE12" s="41">
        <v>10.0</v>
      </c>
      <c r="AF12" s="40"/>
      <c r="AG12" s="41">
        <v>100.0</v>
      </c>
      <c r="AH12" s="40"/>
      <c r="AI12" s="41">
        <v>8.0</v>
      </c>
      <c r="AJ12" s="40"/>
    </row>
    <row r="13" ht="14.25" customHeight="1">
      <c r="A13" s="27" t="s">
        <v>236</v>
      </c>
      <c r="B13" s="27">
        <v>100.0</v>
      </c>
      <c r="C13" s="27" t="s">
        <v>237</v>
      </c>
      <c r="D13" s="27"/>
      <c r="E13" s="27" t="s">
        <v>238</v>
      </c>
      <c r="F13" s="27">
        <v>200.0</v>
      </c>
      <c r="G13" s="27"/>
      <c r="H13" s="27">
        <v>4.0</v>
      </c>
      <c r="I13" s="27">
        <v>6.0</v>
      </c>
      <c r="J13" s="27">
        <v>100.0</v>
      </c>
      <c r="K13" s="27">
        <v>24.0</v>
      </c>
      <c r="L13" s="27"/>
      <c r="M13" s="38">
        <v>0.0</v>
      </c>
      <c r="N13" s="38">
        <v>4.0</v>
      </c>
      <c r="O13" s="38">
        <v>8.0</v>
      </c>
      <c r="P13" s="38">
        <v>150.0</v>
      </c>
      <c r="Q13" s="38">
        <v>16.0</v>
      </c>
      <c r="R13" s="27"/>
      <c r="S13" s="43">
        <f>SUM(Q13:Q22)</f>
        <v>160</v>
      </c>
      <c r="T13" s="27" t="s">
        <v>239</v>
      </c>
      <c r="U13" s="27"/>
      <c r="V13" s="27"/>
      <c r="W13" s="27"/>
      <c r="X13" s="27"/>
      <c r="Y13" s="27"/>
      <c r="Z13" s="27"/>
      <c r="AA13" s="27"/>
      <c r="AB13" s="38">
        <v>6.0</v>
      </c>
      <c r="AC13" s="39">
        <v>6.0</v>
      </c>
      <c r="AD13" s="27"/>
      <c r="AE13" s="39">
        <v>8.0</v>
      </c>
      <c r="AF13" s="40"/>
      <c r="AG13" s="39">
        <v>150.0</v>
      </c>
      <c r="AH13" s="40"/>
      <c r="AI13" s="39">
        <v>16.0</v>
      </c>
      <c r="AJ13" s="40"/>
    </row>
    <row r="14" ht="14.25" customHeight="1">
      <c r="A14" s="27" t="s">
        <v>240</v>
      </c>
      <c r="B14" s="27">
        <v>200.0</v>
      </c>
      <c r="C14" s="27" t="s">
        <v>237</v>
      </c>
      <c r="D14" s="27"/>
      <c r="E14" s="27"/>
      <c r="F14" s="27"/>
      <c r="G14" s="27"/>
      <c r="H14" s="27">
        <v>4.0</v>
      </c>
      <c r="I14" s="27">
        <v>6.0</v>
      </c>
      <c r="J14" s="27">
        <v>200.0</v>
      </c>
      <c r="K14" s="27">
        <v>8.0</v>
      </c>
      <c r="L14" s="27"/>
      <c r="M14" s="30" t="s">
        <v>213</v>
      </c>
      <c r="N14" s="31">
        <v>2.0</v>
      </c>
      <c r="O14" s="31">
        <v>6.0</v>
      </c>
      <c r="P14" s="31">
        <v>100.0</v>
      </c>
      <c r="Q14" s="31">
        <v>8.0</v>
      </c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>
        <v>7.0</v>
      </c>
      <c r="AC14" s="41">
        <v>3.0</v>
      </c>
      <c r="AD14" s="27"/>
      <c r="AE14" s="41">
        <v>6.0</v>
      </c>
      <c r="AF14" s="40"/>
      <c r="AG14" s="41">
        <v>200.0</v>
      </c>
      <c r="AH14" s="40"/>
      <c r="AI14" s="41">
        <v>24.0</v>
      </c>
      <c r="AJ14" s="40"/>
    </row>
    <row r="15" ht="14.25" customHeight="1">
      <c r="A15" s="27" t="s">
        <v>241</v>
      </c>
      <c r="B15" s="27">
        <v>3.0</v>
      </c>
      <c r="C15" s="28" t="s">
        <v>217</v>
      </c>
      <c r="D15" s="27"/>
      <c r="E15" s="27"/>
      <c r="F15" s="27"/>
      <c r="G15" s="27"/>
      <c r="H15" s="27">
        <v>4.0</v>
      </c>
      <c r="I15" s="27">
        <v>6.0</v>
      </c>
      <c r="J15" s="27">
        <v>200.0</v>
      </c>
      <c r="K15" s="27">
        <v>24.0</v>
      </c>
      <c r="L15" s="27"/>
      <c r="M15" s="30" t="s">
        <v>215</v>
      </c>
      <c r="N15" s="31">
        <v>6.0</v>
      </c>
      <c r="O15" s="31">
        <v>6.0</v>
      </c>
      <c r="P15" s="31">
        <v>100.0</v>
      </c>
      <c r="Q15" s="31">
        <v>24.0</v>
      </c>
      <c r="R15" s="27"/>
      <c r="S15" s="24" t="s">
        <v>242</v>
      </c>
      <c r="T15" s="26"/>
      <c r="U15" s="27"/>
      <c r="V15" s="27"/>
      <c r="W15" s="27"/>
      <c r="X15" s="27"/>
      <c r="Y15" s="27"/>
      <c r="Z15" s="27"/>
      <c r="AA15" s="27"/>
      <c r="AB15" s="27">
        <v>8.0</v>
      </c>
      <c r="AC15" s="41">
        <v>9.0</v>
      </c>
      <c r="AD15" s="27"/>
      <c r="AE15" s="41">
        <v>6.0</v>
      </c>
      <c r="AF15" s="40"/>
      <c r="AG15" s="41">
        <v>200.0</v>
      </c>
      <c r="AH15" s="40"/>
      <c r="AI15" s="41">
        <v>8.0</v>
      </c>
      <c r="AJ15" s="40"/>
    </row>
    <row r="16" ht="14.25" customHeight="1">
      <c r="A16" s="27"/>
      <c r="B16" s="27"/>
      <c r="C16" s="27"/>
      <c r="D16" s="27"/>
      <c r="E16" s="27"/>
      <c r="F16" s="27"/>
      <c r="G16" s="27"/>
      <c r="H16" s="27">
        <v>4.0</v>
      </c>
      <c r="I16" s="27">
        <v>10.0</v>
      </c>
      <c r="J16" s="27">
        <v>100.0</v>
      </c>
      <c r="K16" s="27">
        <v>8.0</v>
      </c>
      <c r="L16" s="27"/>
      <c r="M16" s="30" t="s">
        <v>218</v>
      </c>
      <c r="N16" s="31">
        <v>2.0</v>
      </c>
      <c r="O16" s="31">
        <v>10.0</v>
      </c>
      <c r="P16" s="31">
        <v>100.0</v>
      </c>
      <c r="Q16" s="31">
        <v>24.0</v>
      </c>
      <c r="R16" s="27"/>
      <c r="S16" s="43">
        <f>COUNTA(Q13:Q22)</f>
        <v>10</v>
      </c>
      <c r="T16" s="27" t="s">
        <v>243</v>
      </c>
      <c r="U16" s="27"/>
      <c r="V16" s="27"/>
      <c r="W16" s="27"/>
      <c r="X16" s="27"/>
      <c r="Y16" s="27"/>
      <c r="Z16" s="27"/>
      <c r="AA16" s="27"/>
      <c r="AB16" s="27">
        <v>9.0</v>
      </c>
      <c r="AC16" s="41">
        <v>3.0</v>
      </c>
      <c r="AD16" s="27"/>
      <c r="AE16" s="41">
        <v>10.0</v>
      </c>
      <c r="AF16" s="40"/>
      <c r="AG16" s="41">
        <v>200.0</v>
      </c>
      <c r="AH16" s="40"/>
      <c r="AI16" s="41">
        <v>8.0</v>
      </c>
      <c r="AJ16" s="40"/>
    </row>
    <row r="17" ht="14.25" customHeight="1">
      <c r="A17" s="32"/>
      <c r="B17" s="32"/>
      <c r="C17" s="32"/>
      <c r="D17" s="32"/>
      <c r="E17" s="32"/>
      <c r="F17" s="32"/>
      <c r="G17" s="27"/>
      <c r="H17" s="27">
        <v>4.0</v>
      </c>
      <c r="I17" s="27">
        <v>10.0</v>
      </c>
      <c r="J17" s="27">
        <v>100.0</v>
      </c>
      <c r="K17" s="27">
        <v>24.0</v>
      </c>
      <c r="L17" s="27"/>
      <c r="M17" s="30" t="s">
        <v>219</v>
      </c>
      <c r="N17" s="31">
        <v>6.0</v>
      </c>
      <c r="O17" s="31">
        <v>10.0</v>
      </c>
      <c r="P17" s="31">
        <v>100.0</v>
      </c>
      <c r="Q17" s="31">
        <v>8.0</v>
      </c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>
        <v>10.0</v>
      </c>
      <c r="AC17" s="41">
        <v>9.0</v>
      </c>
      <c r="AD17" s="27"/>
      <c r="AE17" s="41">
        <v>10.0</v>
      </c>
      <c r="AF17" s="40"/>
      <c r="AG17" s="41">
        <v>200.0</v>
      </c>
      <c r="AH17" s="40"/>
      <c r="AI17" s="41">
        <v>24.0</v>
      </c>
      <c r="AJ17" s="40"/>
    </row>
    <row r="18" ht="14.25" customHeight="1">
      <c r="A18" s="27" t="s">
        <v>244</v>
      </c>
      <c r="B18" s="28" t="s">
        <v>245</v>
      </c>
      <c r="C18" s="27"/>
      <c r="D18" s="27"/>
      <c r="E18" s="27" t="s">
        <v>246</v>
      </c>
      <c r="F18" s="27">
        <v>8.0</v>
      </c>
      <c r="G18" s="27"/>
      <c r="H18" s="27">
        <v>4.0</v>
      </c>
      <c r="I18" s="27">
        <v>10.0</v>
      </c>
      <c r="J18" s="27">
        <v>200.0</v>
      </c>
      <c r="K18" s="27">
        <v>8.0</v>
      </c>
      <c r="L18" s="27"/>
      <c r="M18" s="44" t="s">
        <v>223</v>
      </c>
      <c r="N18" s="38">
        <v>4.0</v>
      </c>
      <c r="O18" s="38">
        <v>8.0</v>
      </c>
      <c r="P18" s="38">
        <v>150.0</v>
      </c>
      <c r="Q18" s="38">
        <v>16.0</v>
      </c>
      <c r="R18" s="27"/>
      <c r="S18" s="27" t="s">
        <v>247</v>
      </c>
      <c r="T18" s="27"/>
      <c r="U18" s="27"/>
      <c r="V18" s="27"/>
      <c r="W18" s="27"/>
      <c r="X18" s="27"/>
      <c r="Y18" s="27"/>
      <c r="Z18" s="27"/>
      <c r="AA18" s="27"/>
      <c r="AB18" s="38">
        <v>11.0</v>
      </c>
      <c r="AC18" s="45">
        <v>6.0</v>
      </c>
      <c r="AD18" s="46"/>
      <c r="AE18" s="45">
        <v>8.0</v>
      </c>
      <c r="AF18" s="47"/>
      <c r="AG18" s="45">
        <v>150.0</v>
      </c>
      <c r="AH18" s="47"/>
      <c r="AI18" s="45">
        <v>16.0</v>
      </c>
      <c r="AJ18" s="47"/>
    </row>
    <row r="19" ht="14.25" customHeight="1">
      <c r="A19" s="27" t="s">
        <v>248</v>
      </c>
      <c r="B19" s="27">
        <v>8.0</v>
      </c>
      <c r="C19" s="27" t="s">
        <v>249</v>
      </c>
      <c r="D19" s="27"/>
      <c r="E19" s="27" t="s">
        <v>250</v>
      </c>
      <c r="F19" s="27">
        <v>24.0</v>
      </c>
      <c r="G19" s="27"/>
      <c r="H19" s="27">
        <v>4.0</v>
      </c>
      <c r="I19" s="27">
        <v>10.0</v>
      </c>
      <c r="J19" s="27">
        <v>200.0</v>
      </c>
      <c r="K19" s="27">
        <v>24.0</v>
      </c>
      <c r="L19" s="27"/>
      <c r="M19" s="30" t="s">
        <v>229</v>
      </c>
      <c r="N19" s="31">
        <v>2.0</v>
      </c>
      <c r="O19" s="31">
        <v>6.0</v>
      </c>
      <c r="P19" s="31">
        <v>200.0</v>
      </c>
      <c r="Q19" s="31">
        <v>24.0</v>
      </c>
      <c r="R19" s="27"/>
      <c r="S19" s="28" t="s">
        <v>251</v>
      </c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</row>
    <row r="20" ht="14.25" customHeight="1">
      <c r="A20" s="27" t="s">
        <v>252</v>
      </c>
      <c r="B20" s="27">
        <v>24.0</v>
      </c>
      <c r="C20" s="27" t="s">
        <v>249</v>
      </c>
      <c r="D20" s="27"/>
      <c r="E20" s="27"/>
      <c r="F20" s="27"/>
      <c r="G20" s="27"/>
      <c r="H20" s="27">
        <v>3.0</v>
      </c>
      <c r="I20" s="27">
        <v>8.0</v>
      </c>
      <c r="J20" s="27">
        <v>150.0</v>
      </c>
      <c r="K20" s="27">
        <v>16.0</v>
      </c>
      <c r="L20" s="27"/>
      <c r="M20" s="30" t="s">
        <v>230</v>
      </c>
      <c r="N20" s="31">
        <v>6.0</v>
      </c>
      <c r="O20" s="31">
        <v>6.0</v>
      </c>
      <c r="P20" s="31">
        <v>200.0</v>
      </c>
      <c r="Q20" s="31">
        <v>8.0</v>
      </c>
      <c r="R20" s="27"/>
      <c r="S20" s="28" t="s">
        <v>253</v>
      </c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</row>
    <row r="21" ht="14.25" customHeight="1">
      <c r="A21" s="27" t="s">
        <v>254</v>
      </c>
      <c r="B21" s="27">
        <v>3.0</v>
      </c>
      <c r="C21" s="28" t="s">
        <v>217</v>
      </c>
      <c r="D21" s="27"/>
      <c r="E21" s="27"/>
      <c r="F21" s="27"/>
      <c r="G21" s="27"/>
      <c r="H21" s="27">
        <v>3.0</v>
      </c>
      <c r="I21" s="27">
        <v>8.0</v>
      </c>
      <c r="J21" s="27">
        <v>150.0</v>
      </c>
      <c r="K21" s="27">
        <v>16.0</v>
      </c>
      <c r="L21" s="27"/>
      <c r="M21" s="30" t="s">
        <v>170</v>
      </c>
      <c r="N21" s="31">
        <v>2.0</v>
      </c>
      <c r="O21" s="31">
        <v>10.0</v>
      </c>
      <c r="P21" s="31">
        <v>200.0</v>
      </c>
      <c r="Q21" s="31">
        <v>8.0</v>
      </c>
      <c r="R21" s="27"/>
      <c r="S21" s="28" t="s">
        <v>255</v>
      </c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</row>
    <row r="22" ht="14.25" customHeight="1">
      <c r="A22" s="27"/>
      <c r="B22" s="27"/>
      <c r="C22" s="27"/>
      <c r="D22" s="27"/>
      <c r="E22" s="27"/>
      <c r="F22" s="27"/>
      <c r="G22" s="27"/>
      <c r="H22" s="27">
        <v>3.0</v>
      </c>
      <c r="I22" s="27">
        <v>8.0</v>
      </c>
      <c r="J22" s="27">
        <v>150.0</v>
      </c>
      <c r="K22" s="27">
        <v>16.0</v>
      </c>
      <c r="L22" s="27"/>
      <c r="M22" s="30" t="s">
        <v>29</v>
      </c>
      <c r="N22" s="31">
        <v>6.0</v>
      </c>
      <c r="O22" s="31">
        <v>10.0</v>
      </c>
      <c r="P22" s="31">
        <v>200.0</v>
      </c>
      <c r="Q22" s="31">
        <v>24.0</v>
      </c>
      <c r="R22" s="27"/>
      <c r="S22" s="28" t="s">
        <v>256</v>
      </c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</row>
    <row r="23" ht="14.25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44" t="s">
        <v>81</v>
      </c>
      <c r="N23" s="38">
        <v>4.0</v>
      </c>
      <c r="O23" s="38">
        <v>8.0</v>
      </c>
      <c r="P23" s="38">
        <v>150.0</v>
      </c>
      <c r="Q23" s="38">
        <v>16.0</v>
      </c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</row>
    <row r="24" ht="14.25" customHeight="1">
      <c r="A24" s="27"/>
      <c r="B24" s="29"/>
      <c r="C24" s="29">
        <v>-1.0</v>
      </c>
      <c r="D24" s="29">
        <v>0.0</v>
      </c>
      <c r="E24" s="29">
        <v>1.0</v>
      </c>
      <c r="F24" s="27"/>
      <c r="G24" s="27"/>
      <c r="H24" s="27" t="s">
        <v>202</v>
      </c>
      <c r="I24" s="27" t="s">
        <v>11</v>
      </c>
      <c r="J24" s="27" t="s">
        <v>203</v>
      </c>
      <c r="K24" s="27" t="s">
        <v>204</v>
      </c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</row>
    <row r="25" ht="14.25" customHeight="1">
      <c r="A25" s="27"/>
      <c r="B25" s="27" t="s">
        <v>257</v>
      </c>
      <c r="C25" s="27">
        <v>2.0</v>
      </c>
      <c r="D25" s="27">
        <v>3.0</v>
      </c>
      <c r="E25" s="27">
        <v>4.0</v>
      </c>
      <c r="F25" s="27"/>
      <c r="G25" s="27"/>
      <c r="H25" s="27">
        <v>1.0</v>
      </c>
      <c r="I25" s="27">
        <v>1.0</v>
      </c>
      <c r="J25" s="27">
        <v>1.0</v>
      </c>
      <c r="K25" s="27">
        <v>-1.0</v>
      </c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</row>
    <row r="26" ht="14.25" customHeight="1">
      <c r="A26" s="27"/>
      <c r="B26" s="32" t="s">
        <v>258</v>
      </c>
      <c r="C26" s="32">
        <v>6.0</v>
      </c>
      <c r="D26" s="32">
        <v>8.0</v>
      </c>
      <c r="E26" s="32">
        <v>10.0</v>
      </c>
      <c r="F26" s="27"/>
      <c r="G26" s="27"/>
      <c r="H26" s="27">
        <v>1.0</v>
      </c>
      <c r="I26" s="27">
        <v>1.0</v>
      </c>
      <c r="J26" s="27">
        <v>1.0</v>
      </c>
      <c r="K26" s="27">
        <v>1.0</v>
      </c>
      <c r="L26" s="27"/>
      <c r="M26" s="48"/>
      <c r="N26" s="48">
        <v>-1.0</v>
      </c>
      <c r="O26" s="48">
        <v>0.0</v>
      </c>
      <c r="P26" s="48">
        <v>1.0</v>
      </c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</row>
    <row r="27" ht="14.25" customHeight="1">
      <c r="A27" s="27"/>
      <c r="B27" s="27" t="s">
        <v>259</v>
      </c>
      <c r="C27" s="27">
        <v>100.0</v>
      </c>
      <c r="D27" s="27">
        <v>150.0</v>
      </c>
      <c r="E27" s="27">
        <v>200.0</v>
      </c>
      <c r="F27" s="27"/>
      <c r="G27" s="27"/>
      <c r="H27" s="27">
        <v>1.0</v>
      </c>
      <c r="I27" s="27">
        <v>1.0</v>
      </c>
      <c r="J27" s="27">
        <v>-1.0</v>
      </c>
      <c r="K27" s="27">
        <v>-1.0</v>
      </c>
      <c r="L27" s="27"/>
      <c r="M27" s="27" t="s">
        <v>257</v>
      </c>
      <c r="N27" s="27">
        <v>2.0</v>
      </c>
      <c r="O27" s="27">
        <v>4.0</v>
      </c>
      <c r="P27" s="27">
        <v>6.0</v>
      </c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</row>
    <row r="28" ht="14.25" customHeight="1">
      <c r="A28" s="27"/>
      <c r="B28" s="32" t="s">
        <v>260</v>
      </c>
      <c r="C28" s="32">
        <v>8.0</v>
      </c>
      <c r="D28" s="32">
        <v>16.0</v>
      </c>
      <c r="E28" s="32">
        <v>24.0</v>
      </c>
      <c r="F28" s="27"/>
      <c r="G28" s="27"/>
      <c r="H28" s="27">
        <v>1.0</v>
      </c>
      <c r="I28" s="27">
        <v>1.0</v>
      </c>
      <c r="J28" s="27">
        <v>-1.0</v>
      </c>
      <c r="K28" s="27">
        <v>1.0</v>
      </c>
      <c r="L28" s="27"/>
      <c r="M28" s="32" t="s">
        <v>258</v>
      </c>
      <c r="N28" s="32">
        <v>6.0</v>
      </c>
      <c r="O28" s="32">
        <v>8.0</v>
      </c>
      <c r="P28" s="32">
        <v>10.0</v>
      </c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</row>
    <row r="29" ht="14.25" customHeight="1">
      <c r="A29" s="27"/>
      <c r="B29" s="27"/>
      <c r="C29" s="27"/>
      <c r="D29" s="27"/>
      <c r="E29" s="27"/>
      <c r="F29" s="27"/>
      <c r="G29" s="27"/>
      <c r="H29" s="27">
        <v>1.0</v>
      </c>
      <c r="I29" s="27">
        <v>-1.0</v>
      </c>
      <c r="J29" s="27">
        <v>1.0</v>
      </c>
      <c r="K29" s="27">
        <v>-1.0</v>
      </c>
      <c r="L29" s="27"/>
      <c r="M29" s="27" t="s">
        <v>259</v>
      </c>
      <c r="N29" s="27">
        <v>100.0</v>
      </c>
      <c r="O29" s="27">
        <v>150.0</v>
      </c>
      <c r="P29" s="27">
        <v>200.0</v>
      </c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</row>
    <row r="30" ht="14.25" customHeight="1">
      <c r="A30" s="27"/>
      <c r="B30" s="27"/>
      <c r="C30" s="27"/>
      <c r="D30" s="27"/>
      <c r="E30" s="27"/>
      <c r="F30" s="27"/>
      <c r="G30" s="27"/>
      <c r="H30" s="27">
        <v>1.0</v>
      </c>
      <c r="I30" s="27">
        <v>-1.0</v>
      </c>
      <c r="J30" s="27">
        <v>1.0</v>
      </c>
      <c r="K30" s="27">
        <v>1.0</v>
      </c>
      <c r="L30" s="27"/>
      <c r="M30" s="32" t="s">
        <v>260</v>
      </c>
      <c r="N30" s="32">
        <v>8.0</v>
      </c>
      <c r="O30" s="32">
        <v>16.0</v>
      </c>
      <c r="P30" s="32">
        <v>24.0</v>
      </c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</row>
    <row r="31" ht="14.25" customHeight="1">
      <c r="A31" s="27"/>
      <c r="B31" s="27"/>
      <c r="C31" s="27"/>
      <c r="D31" s="27"/>
      <c r="E31" s="27"/>
      <c r="F31" s="27"/>
      <c r="G31" s="27"/>
      <c r="H31" s="27">
        <v>1.0</v>
      </c>
      <c r="I31" s="27">
        <v>-1.0</v>
      </c>
      <c r="J31" s="27">
        <v>-1.0</v>
      </c>
      <c r="K31" s="27">
        <v>-1.0</v>
      </c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</row>
    <row r="32" ht="14.25" customHeight="1">
      <c r="A32" s="27"/>
      <c r="B32" s="27"/>
      <c r="C32" s="27"/>
      <c r="D32" s="27"/>
      <c r="E32" s="27"/>
      <c r="F32" s="27"/>
      <c r="G32" s="27"/>
      <c r="H32" s="27">
        <v>1.0</v>
      </c>
      <c r="I32" s="27">
        <v>-1.0</v>
      </c>
      <c r="J32" s="27">
        <v>-1.0</v>
      </c>
      <c r="K32" s="27">
        <v>1.0</v>
      </c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</row>
    <row r="33" ht="14.25" customHeight="1">
      <c r="A33" s="27"/>
      <c r="B33" s="27"/>
      <c r="C33" s="27"/>
      <c r="D33" s="27"/>
      <c r="E33" s="27"/>
      <c r="F33" s="27"/>
      <c r="G33" s="27"/>
      <c r="H33" s="27">
        <v>-1.0</v>
      </c>
      <c r="I33" s="27">
        <v>1.0</v>
      </c>
      <c r="J33" s="27">
        <v>1.0</v>
      </c>
      <c r="K33" s="27">
        <v>-1.0</v>
      </c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</row>
    <row r="34" ht="14.25" customHeight="1">
      <c r="A34" s="27"/>
      <c r="B34" s="27"/>
      <c r="C34" s="27"/>
      <c r="D34" s="27"/>
      <c r="E34" s="27"/>
      <c r="F34" s="27"/>
      <c r="G34" s="27"/>
      <c r="H34" s="27">
        <v>-1.0</v>
      </c>
      <c r="I34" s="27">
        <v>1.0</v>
      </c>
      <c r="J34" s="27">
        <v>1.0</v>
      </c>
      <c r="K34" s="27">
        <v>1.0</v>
      </c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</row>
    <row r="35" ht="14.25" customHeight="1">
      <c r="A35" s="27"/>
      <c r="B35" s="27"/>
      <c r="C35" s="27"/>
      <c r="D35" s="27"/>
      <c r="E35" s="27"/>
      <c r="F35" s="27"/>
      <c r="G35" s="27"/>
      <c r="H35" s="27">
        <v>-1.0</v>
      </c>
      <c r="I35" s="27">
        <v>1.0</v>
      </c>
      <c r="J35" s="27">
        <v>-1.0</v>
      </c>
      <c r="K35" s="27">
        <v>-1.0</v>
      </c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</row>
    <row r="36" ht="14.25" customHeight="1">
      <c r="A36" s="27"/>
      <c r="B36" s="27"/>
      <c r="C36" s="27"/>
      <c r="D36" s="27"/>
      <c r="E36" s="27"/>
      <c r="F36" s="27"/>
      <c r="G36" s="27"/>
      <c r="H36" s="27">
        <v>-1.0</v>
      </c>
      <c r="I36" s="27">
        <v>1.0</v>
      </c>
      <c r="J36" s="27">
        <v>-1.0</v>
      </c>
      <c r="K36" s="27">
        <v>1.0</v>
      </c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</row>
    <row r="37" ht="14.25" customHeight="1">
      <c r="A37" s="27"/>
      <c r="B37" s="27"/>
      <c r="C37" s="27"/>
      <c r="D37" s="27"/>
      <c r="E37" s="27"/>
      <c r="F37" s="27"/>
      <c r="G37" s="27"/>
      <c r="H37" s="27">
        <v>-1.0</v>
      </c>
      <c r="I37" s="27">
        <v>-1.0</v>
      </c>
      <c r="J37" s="27">
        <v>1.0</v>
      </c>
      <c r="K37" s="27">
        <v>-1.0</v>
      </c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</row>
    <row r="38" ht="14.25" customHeight="1">
      <c r="A38" s="27"/>
      <c r="B38" s="27"/>
      <c r="C38" s="27"/>
      <c r="D38" s="27"/>
      <c r="E38" s="27"/>
      <c r="F38" s="27"/>
      <c r="G38" s="27"/>
      <c r="H38" s="27">
        <v>-1.0</v>
      </c>
      <c r="I38" s="27">
        <v>-1.0</v>
      </c>
      <c r="J38" s="27">
        <v>1.0</v>
      </c>
      <c r="K38" s="27">
        <v>1.0</v>
      </c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</row>
    <row r="39" ht="14.25" customHeight="1">
      <c r="A39" s="27"/>
      <c r="B39" s="27"/>
      <c r="C39" s="27"/>
      <c r="D39" s="27"/>
      <c r="E39" s="27"/>
      <c r="F39" s="27"/>
      <c r="G39" s="27"/>
      <c r="H39" s="27">
        <v>-1.0</v>
      </c>
      <c r="I39" s="27">
        <v>-1.0</v>
      </c>
      <c r="J39" s="27">
        <v>-1.0</v>
      </c>
      <c r="K39" s="27">
        <v>-1.0</v>
      </c>
      <c r="L39" s="27"/>
      <c r="M39" s="27"/>
      <c r="N39" s="27"/>
      <c r="O39" s="27"/>
      <c r="P39" s="27"/>
      <c r="Q39" s="27"/>
      <c r="R39" s="43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</row>
    <row r="40" ht="14.25" customHeight="1">
      <c r="A40" s="27"/>
      <c r="B40" s="27"/>
      <c r="C40" s="27"/>
      <c r="D40" s="27"/>
      <c r="E40" s="27"/>
      <c r="F40" s="27"/>
      <c r="G40" s="27"/>
      <c r="H40" s="27">
        <v>-1.0</v>
      </c>
      <c r="I40" s="27">
        <v>-1.0</v>
      </c>
      <c r="J40" s="27">
        <v>-1.0</v>
      </c>
      <c r="K40" s="27">
        <v>1.0</v>
      </c>
      <c r="L40" s="27"/>
      <c r="M40" s="27"/>
      <c r="N40" s="27"/>
      <c r="O40" s="27"/>
      <c r="P40" s="27"/>
      <c r="Q40" s="27"/>
      <c r="R40" s="42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</row>
    <row r="41" ht="14.25" customHeight="1">
      <c r="A41" s="27"/>
      <c r="B41" s="27"/>
      <c r="C41" s="27"/>
      <c r="D41" s="27"/>
      <c r="E41" s="27"/>
      <c r="F41" s="27"/>
      <c r="G41" s="27"/>
      <c r="H41" s="27">
        <v>0.0</v>
      </c>
      <c r="I41" s="27">
        <v>0.0</v>
      </c>
      <c r="J41" s="27">
        <v>0.0</v>
      </c>
      <c r="K41" s="27">
        <v>0.0</v>
      </c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</row>
    <row r="42" ht="14.25" customHeight="1">
      <c r="A42" s="27"/>
      <c r="B42" s="27"/>
      <c r="C42" s="27"/>
      <c r="D42" s="27"/>
      <c r="E42" s="27"/>
      <c r="F42" s="27"/>
      <c r="G42" s="27"/>
      <c r="H42" s="27">
        <v>0.0</v>
      </c>
      <c r="I42" s="27">
        <v>0.0</v>
      </c>
      <c r="J42" s="27">
        <v>0.0</v>
      </c>
      <c r="K42" s="27">
        <v>0.0</v>
      </c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</row>
    <row r="43" ht="14.25" customHeight="1">
      <c r="A43" s="27"/>
      <c r="B43" s="27"/>
      <c r="C43" s="27"/>
      <c r="D43" s="27"/>
      <c r="E43" s="27"/>
      <c r="F43" s="27"/>
      <c r="G43" s="27"/>
      <c r="H43" s="27">
        <v>0.0</v>
      </c>
      <c r="I43" s="27">
        <v>0.0</v>
      </c>
      <c r="J43" s="27">
        <v>0.0</v>
      </c>
      <c r="K43" s="27">
        <v>0.0</v>
      </c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</row>
    <row r="44" ht="14.2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</row>
    <row r="45" ht="14.2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</row>
    <row r="46" ht="14.2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</row>
    <row r="47" ht="14.2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</row>
    <row r="48" ht="14.2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</row>
    <row r="49" ht="14.2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</row>
    <row r="50" ht="14.2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</row>
    <row r="51" ht="14.2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</row>
    <row r="52" ht="14.2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</row>
    <row r="53" ht="14.2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</row>
    <row r="54" ht="14.2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</row>
    <row r="55" ht="14.2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</row>
    <row r="56" ht="14.2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</row>
    <row r="57" ht="14.2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</row>
    <row r="58" ht="14.2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</row>
    <row r="59" ht="14.2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</row>
    <row r="60" ht="14.2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</row>
    <row r="61" ht="14.2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</row>
    <row r="62" ht="14.2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</row>
    <row r="63" ht="14.2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</row>
    <row r="64" ht="14.2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</row>
    <row r="65" ht="14.2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</row>
    <row r="66" ht="14.2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</row>
    <row r="67" ht="14.2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</row>
    <row r="68" ht="14.2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</row>
    <row r="69" ht="14.2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</row>
    <row r="70" ht="14.2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</row>
    <row r="71" ht="14.2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</row>
    <row r="72" ht="14.2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</row>
    <row r="73" ht="14.2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</row>
    <row r="74" ht="14.2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</row>
    <row r="75" ht="14.2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</row>
    <row r="76" ht="14.2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</row>
    <row r="77" ht="14.2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</row>
    <row r="78" ht="14.2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</row>
    <row r="79" ht="14.2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</row>
    <row r="80" ht="14.2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</row>
    <row r="81" ht="14.2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</row>
    <row r="82" ht="14.2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</row>
    <row r="83" ht="14.2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</row>
    <row r="84" ht="14.2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</row>
    <row r="85" ht="14.2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</row>
    <row r="86" ht="14.2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</row>
    <row r="87" ht="14.2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</row>
    <row r="88" ht="14.2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</row>
    <row r="89" ht="14.2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</row>
    <row r="90" ht="14.2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</row>
    <row r="91" ht="14.2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</row>
    <row r="92" ht="14.2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</row>
    <row r="93" ht="14.2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</row>
    <row r="94" ht="14.2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</row>
    <row r="95" ht="14.2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</row>
    <row r="96" ht="14.2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</row>
    <row r="97" ht="14.2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</row>
    <row r="98" ht="14.2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</row>
    <row r="99" ht="14.2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</row>
    <row r="100" ht="14.2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</row>
    <row r="101" ht="14.2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</row>
    <row r="102" ht="14.2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</row>
    <row r="103" ht="14.2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</row>
    <row r="104" ht="14.2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</row>
    <row r="105" ht="14.2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</row>
    <row r="106" ht="14.2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</row>
    <row r="107" ht="14.2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</row>
    <row r="108" ht="14.2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</row>
    <row r="109" ht="14.2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</row>
    <row r="110" ht="14.2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</row>
    <row r="111" ht="14.2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</row>
    <row r="112" ht="14.2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</row>
    <row r="113" ht="14.2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</row>
    <row r="114" ht="14.2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</row>
    <row r="115" ht="14.2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</row>
    <row r="116" ht="14.2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</row>
    <row r="117" ht="14.2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</row>
    <row r="118" ht="14.2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</row>
    <row r="119" ht="14.2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</row>
    <row r="120" ht="14.2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</row>
    <row r="121" ht="14.2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</row>
    <row r="122" ht="14.2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</row>
    <row r="123" ht="14.2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</row>
    <row r="124" ht="14.2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</row>
    <row r="125" ht="14.2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</row>
    <row r="126" ht="14.2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</row>
    <row r="127" ht="14.2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</row>
    <row r="128" ht="14.2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</row>
    <row r="129" ht="14.2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</row>
    <row r="130" ht="14.2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</row>
    <row r="131" ht="14.2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</row>
    <row r="132" ht="14.2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</row>
    <row r="133" ht="14.2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</row>
    <row r="134" ht="14.2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</row>
    <row r="135" ht="14.2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</row>
    <row r="136" ht="14.2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</row>
    <row r="137" ht="14.2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</row>
    <row r="138" ht="14.2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</row>
    <row r="139" ht="14.2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</row>
    <row r="140" ht="14.2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</row>
    <row r="141" ht="14.2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</row>
    <row r="142" ht="14.2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</row>
    <row r="143" ht="14.2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</row>
    <row r="144" ht="14.2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</row>
    <row r="145" ht="14.2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</row>
    <row r="146" ht="14.2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</row>
    <row r="147" ht="14.2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</row>
    <row r="148" ht="14.2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</row>
    <row r="149" ht="14.2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</row>
    <row r="150" ht="14.2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</row>
    <row r="151" ht="14.2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</row>
    <row r="152" ht="14.2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</row>
    <row r="153" ht="14.2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</row>
    <row r="154" ht="14.2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</row>
    <row r="155" ht="14.2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</row>
    <row r="156" ht="14.2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</row>
    <row r="157" ht="14.2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</row>
    <row r="158" ht="14.2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</row>
    <row r="159" ht="14.2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</row>
    <row r="160" ht="14.2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</row>
    <row r="161" ht="14.2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</row>
    <row r="162" ht="14.2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</row>
    <row r="163" ht="14.2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</row>
    <row r="164" ht="14.2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</row>
    <row r="165" ht="14.2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</row>
    <row r="166" ht="14.2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</row>
    <row r="167" ht="14.2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</row>
    <row r="168" ht="14.2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</row>
    <row r="169" ht="14.2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</row>
    <row r="170" ht="14.2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</row>
    <row r="171" ht="14.2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</row>
    <row r="172" ht="14.2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</row>
    <row r="173" ht="14.2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</row>
    <row r="174" ht="14.2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</row>
    <row r="175" ht="14.2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</row>
    <row r="176" ht="14.2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</row>
    <row r="177" ht="14.2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</row>
    <row r="178" ht="14.2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</row>
    <row r="179" ht="14.2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</row>
    <row r="180" ht="14.2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</row>
    <row r="181" ht="14.2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</row>
    <row r="182" ht="14.2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</row>
    <row r="183" ht="14.2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</row>
    <row r="184" ht="14.2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</row>
    <row r="185" ht="14.2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</row>
    <row r="186" ht="14.2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</row>
    <row r="187" ht="14.2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</row>
    <row r="188" ht="14.2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</row>
    <row r="189" ht="14.2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</row>
    <row r="190" ht="14.2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</row>
    <row r="191" ht="14.2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</row>
    <row r="192" ht="14.2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</row>
    <row r="193" ht="14.2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</row>
    <row r="194" ht="14.2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</row>
    <row r="195" ht="14.2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</row>
    <row r="196" ht="14.2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</row>
    <row r="197" ht="14.2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</row>
    <row r="198" ht="14.2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</row>
    <row r="199" ht="14.2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</row>
    <row r="200" ht="14.2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</row>
    <row r="201" ht="14.2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</row>
    <row r="202" ht="14.2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</row>
    <row r="203" ht="14.2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</row>
    <row r="204" ht="14.2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</row>
    <row r="205" ht="14.2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</row>
    <row r="206" ht="14.2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</row>
    <row r="207" ht="14.2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</row>
    <row r="208" ht="14.2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</row>
    <row r="209" ht="14.2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</row>
    <row r="210" ht="14.2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</row>
    <row r="211" ht="14.2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</row>
    <row r="212" ht="14.2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</row>
    <row r="213" ht="14.2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</row>
    <row r="214" ht="14.2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</row>
    <row r="215" ht="14.2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</row>
    <row r="216" ht="14.2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</row>
    <row r="217" ht="14.2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</row>
    <row r="218" ht="14.2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</row>
    <row r="219" ht="14.2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</row>
    <row r="220" ht="14.2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</row>
    <row r="221" ht="14.2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</row>
    <row r="222" ht="14.2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</row>
    <row r="223" ht="14.2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</row>
    <row r="224" ht="14.2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</row>
    <row r="225" ht="14.2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</row>
    <row r="226" ht="14.2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</row>
    <row r="227" ht="14.2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</row>
    <row r="228" ht="14.2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</row>
    <row r="229" ht="14.2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</row>
    <row r="230" ht="14.2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</row>
    <row r="231" ht="14.2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</row>
    <row r="232" ht="14.2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</row>
    <row r="233" ht="14.2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</row>
    <row r="234" ht="14.2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</row>
    <row r="235" ht="14.2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</row>
    <row r="236" ht="14.2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</row>
    <row r="237" ht="14.2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</row>
    <row r="238" ht="14.2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</row>
    <row r="239" ht="14.2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</row>
    <row r="240" ht="14.2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</row>
    <row r="241" ht="14.2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</row>
    <row r="242" ht="14.2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</row>
    <row r="243" ht="14.2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</row>
    <row r="244" ht="14.2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</row>
    <row r="245" ht="14.2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</row>
    <row r="246" ht="14.2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</row>
    <row r="247" ht="14.2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</row>
    <row r="248" ht="14.2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</row>
    <row r="249" ht="14.2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</row>
    <row r="250" ht="14.2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</row>
    <row r="251" ht="14.2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</row>
    <row r="252" ht="14.2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</row>
    <row r="253" ht="14.2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</row>
    <row r="254" ht="14.2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</row>
    <row r="255" ht="14.2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</row>
    <row r="256" ht="14.2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</row>
    <row r="257" ht="14.2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</row>
    <row r="258" ht="14.2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</row>
    <row r="259" ht="14.2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</row>
    <row r="260" ht="14.2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</row>
    <row r="261" ht="14.2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</row>
    <row r="262" ht="14.2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</row>
    <row r="263" ht="14.2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</row>
    <row r="264" ht="14.2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</row>
    <row r="265" ht="14.2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</row>
    <row r="266" ht="14.2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</row>
    <row r="267" ht="14.2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</row>
    <row r="268" ht="14.2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</row>
    <row r="269" ht="14.2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</row>
    <row r="270" ht="14.2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</row>
    <row r="271" ht="14.2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</row>
    <row r="272" ht="14.2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</row>
    <row r="273" ht="14.2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</row>
    <row r="274" ht="14.2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</row>
    <row r="275" ht="14.2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</row>
    <row r="276" ht="14.2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</row>
    <row r="277" ht="14.2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</row>
    <row r="278" ht="14.2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</row>
    <row r="279" ht="14.2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</row>
    <row r="280" ht="14.2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</row>
    <row r="281" ht="14.2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</row>
    <row r="282" ht="14.2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</row>
    <row r="283" ht="14.2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</row>
    <row r="284" ht="14.2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</row>
    <row r="285" ht="14.2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</row>
    <row r="286" ht="14.2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</row>
    <row r="287" ht="14.2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</row>
    <row r="288" ht="14.2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</row>
    <row r="289" ht="14.2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</row>
    <row r="290" ht="14.2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</row>
    <row r="291" ht="14.2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</row>
    <row r="292" ht="14.2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</row>
    <row r="293" ht="14.2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</row>
    <row r="294" ht="14.2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</row>
    <row r="295" ht="14.2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</row>
    <row r="296" ht="14.2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</row>
    <row r="297" ht="14.2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</row>
    <row r="298" ht="14.2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</row>
    <row r="299" ht="14.2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</row>
    <row r="300" ht="14.2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</row>
    <row r="301" ht="14.2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</row>
    <row r="302" ht="14.2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</row>
    <row r="303" ht="14.2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</row>
    <row r="304" ht="14.2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</row>
    <row r="305" ht="14.2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</row>
    <row r="306" ht="14.2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</row>
    <row r="307" ht="14.2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</row>
    <row r="308" ht="14.2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</row>
    <row r="309" ht="14.2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</row>
    <row r="310" ht="14.2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</row>
    <row r="311" ht="14.2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</row>
    <row r="312" ht="14.2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</row>
    <row r="313" ht="14.2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</row>
    <row r="314" ht="14.2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</row>
    <row r="315" ht="14.2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</row>
    <row r="316" ht="14.2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</row>
    <row r="317" ht="14.2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</row>
    <row r="318" ht="14.2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</row>
    <row r="319" ht="14.2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</row>
    <row r="320" ht="14.2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</row>
    <row r="321" ht="14.2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</row>
    <row r="322" ht="14.2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</row>
    <row r="323" ht="14.2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</row>
    <row r="324" ht="14.2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</row>
    <row r="325" ht="14.2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</row>
    <row r="326" ht="14.2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</row>
    <row r="327" ht="14.2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</row>
    <row r="328" ht="14.2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</row>
    <row r="329" ht="14.2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</row>
    <row r="330" ht="14.2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</row>
    <row r="331" ht="14.2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</row>
    <row r="332" ht="14.2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</row>
    <row r="333" ht="14.2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</row>
    <row r="334" ht="14.2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</row>
    <row r="335" ht="14.2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</row>
    <row r="336" ht="14.2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</row>
    <row r="337" ht="14.2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</row>
    <row r="338" ht="14.2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</row>
    <row r="339" ht="14.2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</row>
    <row r="340" ht="14.2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</row>
    <row r="341" ht="14.2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</row>
    <row r="342" ht="14.2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</row>
    <row r="343" ht="14.2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</row>
    <row r="344" ht="14.2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</row>
    <row r="345" ht="14.2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</row>
    <row r="346" ht="14.2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</row>
    <row r="347" ht="14.2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</row>
    <row r="348" ht="14.2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</row>
    <row r="349" ht="14.2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</row>
    <row r="350" ht="14.2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</row>
    <row r="351" ht="14.2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</row>
    <row r="352" ht="14.2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</row>
    <row r="353" ht="14.2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</row>
    <row r="354" ht="14.2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</row>
    <row r="355" ht="14.2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</row>
    <row r="356" ht="14.2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</row>
    <row r="357" ht="14.2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</row>
    <row r="358" ht="14.2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</row>
    <row r="359" ht="14.2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</row>
    <row r="360" ht="14.2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</row>
    <row r="361" ht="14.2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</row>
    <row r="362" ht="14.2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</row>
    <row r="363" ht="14.2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</row>
    <row r="364" ht="14.2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</row>
    <row r="365" ht="14.2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</row>
    <row r="366" ht="14.2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</row>
    <row r="367" ht="14.2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</row>
    <row r="368" ht="14.2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</row>
    <row r="369" ht="14.2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</row>
    <row r="370" ht="14.2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</row>
    <row r="371" ht="14.2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</row>
    <row r="372" ht="14.2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</row>
    <row r="373" ht="14.2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</row>
    <row r="374" ht="14.2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</row>
    <row r="375" ht="14.2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</row>
    <row r="376" ht="14.2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</row>
    <row r="377" ht="14.2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</row>
    <row r="378" ht="14.2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</row>
    <row r="379" ht="14.2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</row>
    <row r="380" ht="14.2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</row>
    <row r="381" ht="14.2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</row>
    <row r="382" ht="14.2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</row>
    <row r="383" ht="14.2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</row>
    <row r="384" ht="14.2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</row>
    <row r="385" ht="14.2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</row>
    <row r="386" ht="14.2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</row>
    <row r="387" ht="14.2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</row>
    <row r="388" ht="14.2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</row>
    <row r="389" ht="14.2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</row>
    <row r="390" ht="14.2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</row>
    <row r="391" ht="14.2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</row>
    <row r="392" ht="14.2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</row>
    <row r="393" ht="14.2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</row>
    <row r="394" ht="14.2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</row>
    <row r="395" ht="14.2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</row>
    <row r="396" ht="14.2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</row>
    <row r="397" ht="14.2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</row>
    <row r="398" ht="14.2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</row>
    <row r="399" ht="14.2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</row>
    <row r="400" ht="14.2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</row>
    <row r="401" ht="14.2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</row>
    <row r="402" ht="14.2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</row>
    <row r="403" ht="14.2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</row>
    <row r="404" ht="14.2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</row>
    <row r="405" ht="14.2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</row>
    <row r="406" ht="14.2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</row>
    <row r="407" ht="14.2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</row>
    <row r="408" ht="14.2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</row>
    <row r="409" ht="14.2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</row>
    <row r="410" ht="14.2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</row>
    <row r="411" ht="14.2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</row>
    <row r="412" ht="14.2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</row>
    <row r="413" ht="14.2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</row>
    <row r="414" ht="14.2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</row>
    <row r="415" ht="14.2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</row>
    <row r="416" ht="14.2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</row>
    <row r="417" ht="14.2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</row>
    <row r="418" ht="14.2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</row>
    <row r="419" ht="14.2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</row>
    <row r="420" ht="14.2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</row>
    <row r="421" ht="14.2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</row>
    <row r="422" ht="14.2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</row>
    <row r="423" ht="14.2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</row>
    <row r="424" ht="14.2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</row>
    <row r="425" ht="14.2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</row>
    <row r="426" ht="14.2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</row>
    <row r="427" ht="14.2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</row>
    <row r="428" ht="14.2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</row>
    <row r="429" ht="14.2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</row>
    <row r="430" ht="14.2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</row>
    <row r="431" ht="14.2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</row>
    <row r="432" ht="14.2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</row>
    <row r="433" ht="14.2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</row>
    <row r="434" ht="14.2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</row>
    <row r="435" ht="14.2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</row>
    <row r="436" ht="14.2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</row>
    <row r="437" ht="14.2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</row>
    <row r="438" ht="14.2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</row>
    <row r="439" ht="14.2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</row>
    <row r="440" ht="14.2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</row>
    <row r="441" ht="14.2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</row>
    <row r="442" ht="14.2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</row>
    <row r="443" ht="14.2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</row>
    <row r="444" ht="14.2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</row>
    <row r="445" ht="14.2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</row>
    <row r="446" ht="14.2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</row>
    <row r="447" ht="14.2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</row>
    <row r="448" ht="14.2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</row>
    <row r="449" ht="14.2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</row>
    <row r="450" ht="14.2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</row>
    <row r="451" ht="14.2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</row>
    <row r="452" ht="14.2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</row>
    <row r="453" ht="14.2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</row>
    <row r="454" ht="14.2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</row>
    <row r="455" ht="14.2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</row>
    <row r="456" ht="14.2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</row>
    <row r="457" ht="14.2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</row>
    <row r="458" ht="14.2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</row>
    <row r="459" ht="14.2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</row>
    <row r="460" ht="14.2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</row>
    <row r="461" ht="14.2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</row>
    <row r="462" ht="14.2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</row>
    <row r="463" ht="14.2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</row>
    <row r="464" ht="14.2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</row>
    <row r="465" ht="14.2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</row>
    <row r="466" ht="14.2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</row>
    <row r="467" ht="14.2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</row>
    <row r="468" ht="14.2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</row>
    <row r="469" ht="14.2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</row>
    <row r="470" ht="14.2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</row>
    <row r="471" ht="14.2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</row>
    <row r="472" ht="14.2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</row>
    <row r="473" ht="14.2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</row>
    <row r="474" ht="14.2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</row>
    <row r="475" ht="14.2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</row>
    <row r="476" ht="14.2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</row>
    <row r="477" ht="14.2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</row>
    <row r="478" ht="14.2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</row>
    <row r="479" ht="14.2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</row>
    <row r="480" ht="14.2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</row>
    <row r="481" ht="14.2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</row>
    <row r="482" ht="14.2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</row>
    <row r="483" ht="14.2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</row>
    <row r="484" ht="14.2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</row>
    <row r="485" ht="14.2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</row>
    <row r="486" ht="14.2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</row>
    <row r="487" ht="14.2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</row>
    <row r="488" ht="14.2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  <c r="AI488" s="27"/>
      <c r="AJ488" s="27"/>
    </row>
    <row r="489" ht="14.2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</row>
    <row r="490" ht="14.2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</row>
    <row r="491" ht="14.2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</row>
    <row r="492" ht="14.2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</row>
    <row r="493" ht="14.2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  <c r="AJ493" s="27"/>
    </row>
    <row r="494" ht="14.2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  <c r="AJ494" s="27"/>
    </row>
    <row r="495" ht="14.2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</row>
    <row r="496" ht="14.2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</row>
    <row r="497" ht="14.2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  <c r="AJ497" s="27"/>
    </row>
    <row r="498" ht="14.2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  <c r="AI498" s="27"/>
      <c r="AJ498" s="27"/>
    </row>
    <row r="499" ht="14.2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</row>
    <row r="500" ht="14.2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  <c r="AI500" s="27"/>
      <c r="AJ500" s="27"/>
    </row>
    <row r="501" ht="14.2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</row>
    <row r="502" ht="14.2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  <c r="AI502" s="27"/>
      <c r="AJ502" s="27"/>
    </row>
    <row r="503" ht="14.2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</row>
    <row r="504" ht="14.2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</row>
    <row r="505" ht="14.2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</row>
    <row r="506" ht="14.2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</row>
    <row r="507" ht="14.2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</row>
    <row r="508" ht="14.2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  <c r="AI508" s="27"/>
      <c r="AJ508" s="27"/>
    </row>
    <row r="509" ht="14.2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</row>
    <row r="510" ht="14.2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</row>
    <row r="511" ht="14.2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</row>
    <row r="512" ht="14.2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</row>
    <row r="513" ht="14.2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</row>
    <row r="514" ht="14.2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</row>
    <row r="515" ht="14.2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</row>
    <row r="516" ht="14.2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</row>
    <row r="517" ht="14.2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</row>
    <row r="518" ht="14.2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  <c r="AJ518" s="27"/>
    </row>
    <row r="519" ht="14.2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</row>
    <row r="520" ht="14.2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</row>
    <row r="521" ht="14.2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</row>
    <row r="522" ht="14.2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</row>
    <row r="523" ht="14.2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</row>
    <row r="524" ht="14.2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</row>
    <row r="525" ht="14.2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</row>
    <row r="526" ht="14.2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</row>
    <row r="527" ht="14.2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</row>
    <row r="528" ht="14.2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</row>
    <row r="529" ht="14.2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</row>
    <row r="530" ht="14.2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</row>
    <row r="531" ht="14.2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</row>
    <row r="532" ht="14.2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</row>
    <row r="533" ht="14.2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</row>
    <row r="534" ht="14.2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</row>
    <row r="535" ht="14.2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</row>
    <row r="536" ht="14.2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</row>
    <row r="537" ht="14.2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</row>
    <row r="538" ht="14.2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</row>
    <row r="539" ht="14.2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</row>
    <row r="540" ht="14.2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  <c r="AJ540" s="27"/>
    </row>
    <row r="541" ht="14.2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</row>
    <row r="542" ht="14.2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  <c r="AI542" s="27"/>
      <c r="AJ542" s="27"/>
    </row>
    <row r="543" ht="14.2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  <c r="AI543" s="27"/>
      <c r="AJ543" s="27"/>
    </row>
    <row r="544" ht="14.2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  <c r="AJ544" s="27"/>
    </row>
    <row r="545" ht="14.2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  <c r="AJ545" s="27"/>
    </row>
    <row r="546" ht="14.2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  <c r="AJ546" s="27"/>
    </row>
    <row r="547" ht="14.2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  <c r="AJ547" s="27"/>
    </row>
    <row r="548" ht="14.2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  <c r="AJ548" s="27"/>
    </row>
    <row r="549" ht="14.2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  <c r="AJ549" s="27"/>
    </row>
    <row r="550" ht="14.2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</row>
    <row r="551" ht="14.2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  <c r="AJ551" s="27"/>
    </row>
    <row r="552" ht="14.2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  <c r="AI552" s="27"/>
      <c r="AJ552" s="27"/>
    </row>
    <row r="553" ht="14.2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</row>
    <row r="554" ht="14.2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  <c r="AJ554" s="27"/>
    </row>
    <row r="555" ht="14.2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</row>
    <row r="556" ht="14.2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  <c r="AJ556" s="27"/>
    </row>
    <row r="557" ht="14.2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  <c r="AI557" s="27"/>
      <c r="AJ557" s="27"/>
    </row>
    <row r="558" ht="14.2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  <c r="AH558" s="27"/>
      <c r="AI558" s="27"/>
      <c r="AJ558" s="27"/>
    </row>
    <row r="559" ht="14.2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</row>
    <row r="560" ht="14.2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  <c r="AJ560" s="27"/>
    </row>
    <row r="561" ht="14.2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  <c r="AJ561" s="27"/>
    </row>
    <row r="562" ht="14.2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  <c r="AI562" s="27"/>
      <c r="AJ562" s="27"/>
    </row>
    <row r="563" ht="14.2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  <c r="AJ563" s="27"/>
    </row>
    <row r="564" ht="14.2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  <c r="AI564" s="27"/>
      <c r="AJ564" s="27"/>
    </row>
    <row r="565" ht="14.2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  <c r="AJ565" s="27"/>
    </row>
    <row r="566" ht="14.2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  <c r="AI566" s="27"/>
      <c r="AJ566" s="27"/>
    </row>
    <row r="567" ht="14.2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  <c r="AI567" s="27"/>
      <c r="AJ567" s="27"/>
    </row>
    <row r="568" ht="14.2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</row>
    <row r="569" ht="14.2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</row>
    <row r="570" ht="14.2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  <c r="AJ570" s="27"/>
    </row>
    <row r="571" ht="14.2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</row>
    <row r="572" ht="14.2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</row>
    <row r="573" ht="14.2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</row>
    <row r="574" ht="14.2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  <c r="AI574" s="27"/>
      <c r="AJ574" s="27"/>
    </row>
    <row r="575" ht="14.2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</row>
    <row r="576" ht="14.2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  <c r="AJ576" s="27"/>
    </row>
    <row r="577" ht="14.2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</row>
    <row r="578" ht="14.2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  <c r="AI578" s="27"/>
      <c r="AJ578" s="27"/>
    </row>
    <row r="579" ht="14.2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</row>
    <row r="580" ht="14.2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  <c r="AI580" s="27"/>
      <c r="AJ580" s="27"/>
    </row>
    <row r="581" ht="14.2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</row>
    <row r="582" ht="14.2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  <c r="AI582" s="27"/>
      <c r="AJ582" s="27"/>
    </row>
    <row r="583" ht="14.2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  <c r="AI583" s="27"/>
      <c r="AJ583" s="27"/>
    </row>
    <row r="584" ht="14.2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  <c r="AI584" s="27"/>
      <c r="AJ584" s="27"/>
    </row>
    <row r="585" ht="14.2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  <c r="AI585" s="27"/>
      <c r="AJ585" s="27"/>
    </row>
    <row r="586" ht="14.2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</row>
    <row r="587" ht="14.2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  <c r="AH587" s="27"/>
      <c r="AI587" s="27"/>
      <c r="AJ587" s="27"/>
    </row>
    <row r="588" ht="14.2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  <c r="AH588" s="27"/>
      <c r="AI588" s="27"/>
      <c r="AJ588" s="27"/>
    </row>
    <row r="589" ht="14.2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  <c r="AI589" s="27"/>
      <c r="AJ589" s="27"/>
    </row>
    <row r="590" ht="14.2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  <c r="AH590" s="27"/>
      <c r="AI590" s="27"/>
      <c r="AJ590" s="27"/>
    </row>
    <row r="591" ht="14.2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  <c r="AI591" s="27"/>
      <c r="AJ591" s="27"/>
    </row>
    <row r="592" ht="14.2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  <c r="AI592" s="27"/>
      <c r="AJ592" s="27"/>
    </row>
    <row r="593" ht="14.2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  <c r="AI593" s="27"/>
      <c r="AJ593" s="27"/>
    </row>
    <row r="594" ht="14.2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  <c r="AI594" s="27"/>
      <c r="AJ594" s="27"/>
    </row>
    <row r="595" ht="14.2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</row>
    <row r="596" ht="14.2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  <c r="AI596" s="27"/>
      <c r="AJ596" s="27"/>
    </row>
    <row r="597" ht="14.2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  <c r="AH597" s="27"/>
      <c r="AI597" s="27"/>
      <c r="AJ597" s="27"/>
    </row>
    <row r="598" ht="14.2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  <c r="AH598" s="27"/>
      <c r="AI598" s="27"/>
      <c r="AJ598" s="27"/>
    </row>
    <row r="599" ht="14.2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  <c r="AI599" s="27"/>
      <c r="AJ599" s="27"/>
    </row>
    <row r="600" ht="14.2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  <c r="AI600" s="27"/>
      <c r="AJ600" s="27"/>
    </row>
    <row r="601" ht="14.2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  <c r="AJ601" s="27"/>
    </row>
    <row r="602" ht="14.2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  <c r="AI602" s="27"/>
      <c r="AJ602" s="27"/>
    </row>
    <row r="603" ht="14.2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  <c r="AJ603" s="27"/>
    </row>
    <row r="604" ht="14.2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</row>
    <row r="605" ht="14.2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  <c r="AJ605" s="27"/>
    </row>
    <row r="606" ht="14.2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  <c r="AI606" s="27"/>
      <c r="AJ606" s="27"/>
    </row>
    <row r="607" ht="14.2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  <c r="AI607" s="27"/>
      <c r="AJ607" s="27"/>
    </row>
    <row r="608" ht="14.2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  <c r="AH608" s="27"/>
      <c r="AI608" s="27"/>
      <c r="AJ608" s="27"/>
    </row>
    <row r="609" ht="14.2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  <c r="AJ609" s="27"/>
    </row>
    <row r="610" ht="14.2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  <c r="AI610" s="27"/>
      <c r="AJ610" s="27"/>
    </row>
    <row r="611" ht="14.2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  <c r="AJ611" s="27"/>
    </row>
    <row r="612" ht="14.2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  <c r="AJ612" s="27"/>
    </row>
    <row r="613" ht="14.2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</row>
    <row r="614" ht="14.2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  <c r="AI614" s="27"/>
      <c r="AJ614" s="27"/>
    </row>
    <row r="615" ht="14.2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</row>
    <row r="616" ht="14.2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  <c r="AJ616" s="27"/>
    </row>
    <row r="617" ht="14.2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</row>
    <row r="618" ht="14.2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  <c r="AI618" s="27"/>
      <c r="AJ618" s="27"/>
    </row>
    <row r="619" ht="14.2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</row>
    <row r="620" ht="14.2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</row>
    <row r="621" ht="14.2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</row>
    <row r="622" ht="14.2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</row>
    <row r="623" ht="14.2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  <c r="AJ623" s="27"/>
    </row>
    <row r="624" ht="14.2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  <c r="AJ624" s="27"/>
    </row>
    <row r="625" ht="14.2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</row>
    <row r="626" ht="14.2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  <c r="AJ626" s="27"/>
    </row>
    <row r="627" ht="14.2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  <c r="AI627" s="27"/>
      <c r="AJ627" s="27"/>
    </row>
    <row r="628" ht="14.2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  <c r="AI628" s="27"/>
      <c r="AJ628" s="27"/>
    </row>
    <row r="629" ht="14.2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</row>
    <row r="630" ht="14.2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  <c r="AJ630" s="27"/>
    </row>
    <row r="631" ht="14.2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</row>
    <row r="632" ht="14.2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  <c r="AI632" s="27"/>
      <c r="AJ632" s="27"/>
    </row>
    <row r="633" ht="14.2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  <c r="AI633" s="27"/>
      <c r="AJ633" s="27"/>
    </row>
    <row r="634" ht="14.2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  <c r="AI634" s="27"/>
      <c r="AJ634" s="27"/>
    </row>
    <row r="635" ht="14.2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  <c r="AI635" s="27"/>
      <c r="AJ635" s="27"/>
    </row>
    <row r="636" ht="14.2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  <c r="AI636" s="27"/>
      <c r="AJ636" s="27"/>
    </row>
    <row r="637" ht="14.2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  <c r="AI637" s="27"/>
      <c r="AJ637" s="27"/>
    </row>
    <row r="638" ht="14.2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  <c r="AI638" s="27"/>
      <c r="AJ638" s="27"/>
    </row>
    <row r="639" ht="14.2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  <c r="AI639" s="27"/>
      <c r="AJ639" s="27"/>
    </row>
    <row r="640" ht="14.2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</row>
    <row r="641" ht="14.2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  <c r="AI641" s="27"/>
      <c r="AJ641" s="27"/>
    </row>
    <row r="642" ht="14.2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  <c r="AI642" s="27"/>
      <c r="AJ642" s="27"/>
    </row>
    <row r="643" ht="14.2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  <c r="AI643" s="27"/>
      <c r="AJ643" s="27"/>
    </row>
    <row r="644" ht="14.2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  <c r="AI644" s="27"/>
      <c r="AJ644" s="27"/>
    </row>
    <row r="645" ht="14.2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  <c r="AI645" s="27"/>
      <c r="AJ645" s="27"/>
    </row>
    <row r="646" ht="14.2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  <c r="AH646" s="27"/>
      <c r="AI646" s="27"/>
      <c r="AJ646" s="27"/>
    </row>
    <row r="647" ht="14.2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  <c r="AI647" s="27"/>
      <c r="AJ647" s="27"/>
    </row>
    <row r="648" ht="14.2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  <c r="AH648" s="27"/>
      <c r="AI648" s="27"/>
      <c r="AJ648" s="27"/>
    </row>
    <row r="649" ht="14.2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</row>
    <row r="650" ht="14.2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  <c r="AH650" s="27"/>
      <c r="AI650" s="27"/>
      <c r="AJ650" s="27"/>
    </row>
    <row r="651" ht="14.2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  <c r="AI651" s="27"/>
      <c r="AJ651" s="27"/>
    </row>
    <row r="652" ht="14.2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  <c r="AI652" s="27"/>
      <c r="AJ652" s="27"/>
    </row>
    <row r="653" ht="14.2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  <c r="AI653" s="27"/>
      <c r="AJ653" s="27"/>
    </row>
    <row r="654" ht="14.2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  <c r="AH654" s="27"/>
      <c r="AI654" s="27"/>
      <c r="AJ654" s="27"/>
    </row>
    <row r="655" ht="14.2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  <c r="AI655" s="27"/>
      <c r="AJ655" s="27"/>
    </row>
    <row r="656" ht="14.2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  <c r="AH656" s="27"/>
      <c r="AI656" s="27"/>
      <c r="AJ656" s="27"/>
    </row>
    <row r="657" ht="14.2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  <c r="AH657" s="27"/>
      <c r="AI657" s="27"/>
      <c r="AJ657" s="27"/>
    </row>
    <row r="658" ht="14.2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</row>
    <row r="659" ht="14.2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  <c r="AH659" s="27"/>
      <c r="AI659" s="27"/>
      <c r="AJ659" s="27"/>
    </row>
    <row r="660" ht="14.2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  <c r="AH660" s="27"/>
      <c r="AI660" s="27"/>
      <c r="AJ660" s="27"/>
    </row>
    <row r="661" ht="14.2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  <c r="AH661" s="27"/>
      <c r="AI661" s="27"/>
      <c r="AJ661" s="27"/>
    </row>
    <row r="662" ht="14.2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  <c r="AH662" s="27"/>
      <c r="AI662" s="27"/>
      <c r="AJ662" s="27"/>
    </row>
    <row r="663" ht="14.2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  <c r="AI663" s="27"/>
      <c r="AJ663" s="27"/>
    </row>
    <row r="664" ht="14.2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  <c r="AH664" s="27"/>
      <c r="AI664" s="27"/>
      <c r="AJ664" s="27"/>
    </row>
    <row r="665" ht="14.2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  <c r="AH665" s="27"/>
      <c r="AI665" s="27"/>
      <c r="AJ665" s="27"/>
    </row>
    <row r="666" ht="14.2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  <c r="AH666" s="27"/>
      <c r="AI666" s="27"/>
      <c r="AJ666" s="27"/>
    </row>
    <row r="667" ht="14.2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</row>
    <row r="668" ht="14.2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  <c r="AH668" s="27"/>
      <c r="AI668" s="27"/>
      <c r="AJ668" s="27"/>
    </row>
    <row r="669" ht="14.2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  <c r="AH669" s="27"/>
      <c r="AI669" s="27"/>
      <c r="AJ669" s="27"/>
    </row>
    <row r="670" ht="14.2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  <c r="AH670" s="27"/>
      <c r="AI670" s="27"/>
      <c r="AJ670" s="27"/>
    </row>
    <row r="671" ht="14.2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  <c r="AH671" s="27"/>
      <c r="AI671" s="27"/>
      <c r="AJ671" s="27"/>
    </row>
    <row r="672" ht="14.2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  <c r="AH672" s="27"/>
      <c r="AI672" s="27"/>
      <c r="AJ672" s="27"/>
    </row>
    <row r="673" ht="14.2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  <c r="AH673" s="27"/>
      <c r="AI673" s="27"/>
      <c r="AJ673" s="27"/>
    </row>
    <row r="674" ht="14.2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  <c r="AH674" s="27"/>
      <c r="AI674" s="27"/>
      <c r="AJ674" s="27"/>
    </row>
    <row r="675" ht="14.2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  <c r="AH675" s="27"/>
      <c r="AI675" s="27"/>
      <c r="AJ675" s="27"/>
    </row>
    <row r="676" ht="14.2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</row>
    <row r="677" ht="14.2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  <c r="AH677" s="27"/>
      <c r="AI677" s="27"/>
      <c r="AJ677" s="27"/>
    </row>
    <row r="678" ht="14.2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  <c r="AH678" s="27"/>
      <c r="AI678" s="27"/>
      <c r="AJ678" s="27"/>
    </row>
    <row r="679" ht="14.2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  <c r="AH679" s="27"/>
      <c r="AI679" s="27"/>
      <c r="AJ679" s="27"/>
    </row>
    <row r="680" ht="14.2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  <c r="AH680" s="27"/>
      <c r="AI680" s="27"/>
      <c r="AJ680" s="27"/>
    </row>
    <row r="681" ht="14.2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  <c r="AH681" s="27"/>
      <c r="AI681" s="27"/>
      <c r="AJ681" s="27"/>
    </row>
    <row r="682" ht="14.2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  <c r="AH682" s="27"/>
      <c r="AI682" s="27"/>
      <c r="AJ682" s="27"/>
    </row>
    <row r="683" ht="14.2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  <c r="AH683" s="27"/>
      <c r="AI683" s="27"/>
      <c r="AJ683" s="27"/>
    </row>
    <row r="684" ht="14.2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  <c r="AH684" s="27"/>
      <c r="AI684" s="27"/>
      <c r="AJ684" s="27"/>
    </row>
    <row r="685" ht="14.2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</row>
    <row r="686" ht="14.2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  <c r="AI686" s="27"/>
      <c r="AJ686" s="27"/>
    </row>
    <row r="687" ht="14.2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  <c r="AH687" s="27"/>
      <c r="AI687" s="27"/>
      <c r="AJ687" s="27"/>
    </row>
    <row r="688" ht="14.2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  <c r="AH688" s="27"/>
      <c r="AI688" s="27"/>
      <c r="AJ688" s="27"/>
    </row>
    <row r="689" ht="14.2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  <c r="AH689" s="27"/>
      <c r="AI689" s="27"/>
      <c r="AJ689" s="27"/>
    </row>
    <row r="690" ht="14.2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  <c r="AH690" s="27"/>
      <c r="AI690" s="27"/>
      <c r="AJ690" s="27"/>
    </row>
    <row r="691" ht="14.2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  <c r="AH691" s="27"/>
      <c r="AI691" s="27"/>
      <c r="AJ691" s="27"/>
    </row>
    <row r="692" ht="14.2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  <c r="AH692" s="27"/>
      <c r="AI692" s="27"/>
      <c r="AJ692" s="27"/>
    </row>
    <row r="693" ht="14.2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  <c r="AI693" s="27"/>
      <c r="AJ693" s="27"/>
    </row>
    <row r="694" ht="14.2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</row>
    <row r="695" ht="14.2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  <c r="AI695" s="27"/>
      <c r="AJ695" s="27"/>
    </row>
    <row r="696" ht="14.2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  <c r="AI696" s="27"/>
      <c r="AJ696" s="27"/>
    </row>
    <row r="697" ht="14.2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  <c r="AH697" s="27"/>
      <c r="AI697" s="27"/>
      <c r="AJ697" s="27"/>
    </row>
    <row r="698" ht="14.2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  <c r="AH698" s="27"/>
      <c r="AI698" s="27"/>
      <c r="AJ698" s="27"/>
    </row>
    <row r="699" ht="14.2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  <c r="AH699" s="27"/>
      <c r="AI699" s="27"/>
      <c r="AJ699" s="27"/>
    </row>
    <row r="700" ht="14.2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  <c r="AH700" s="27"/>
      <c r="AI700" s="27"/>
      <c r="AJ700" s="27"/>
    </row>
    <row r="701" ht="14.2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  <c r="AH701" s="27"/>
      <c r="AI701" s="27"/>
      <c r="AJ701" s="27"/>
    </row>
    <row r="702" ht="14.2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  <c r="AH702" s="27"/>
      <c r="AI702" s="27"/>
      <c r="AJ702" s="27"/>
    </row>
    <row r="703" ht="14.2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</row>
    <row r="704" ht="14.2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  <c r="AH704" s="27"/>
      <c r="AI704" s="27"/>
      <c r="AJ704" s="27"/>
    </row>
    <row r="705" ht="14.2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  <c r="AH705" s="27"/>
      <c r="AI705" s="27"/>
      <c r="AJ705" s="27"/>
    </row>
    <row r="706" ht="14.2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  <c r="AI706" s="27"/>
      <c r="AJ706" s="27"/>
    </row>
    <row r="707" ht="14.2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  <c r="AH707" s="27"/>
      <c r="AI707" s="27"/>
      <c r="AJ707" s="27"/>
    </row>
    <row r="708" ht="14.2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  <c r="AH708" s="27"/>
      <c r="AI708" s="27"/>
      <c r="AJ708" s="27"/>
    </row>
    <row r="709" ht="14.2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  <c r="AH709" s="27"/>
      <c r="AI709" s="27"/>
      <c r="AJ709" s="27"/>
    </row>
    <row r="710" ht="14.2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  <c r="AH710" s="27"/>
      <c r="AI710" s="27"/>
      <c r="AJ710" s="27"/>
    </row>
    <row r="711" ht="14.2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  <c r="AH711" s="27"/>
      <c r="AI711" s="27"/>
      <c r="AJ711" s="27"/>
    </row>
    <row r="712" ht="14.2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</row>
    <row r="713" ht="14.2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  <c r="AI713" s="27"/>
      <c r="AJ713" s="27"/>
    </row>
    <row r="714" ht="14.2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  <c r="AH714" s="27"/>
      <c r="AI714" s="27"/>
      <c r="AJ714" s="27"/>
    </row>
    <row r="715" ht="14.2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  <c r="AH715" s="27"/>
      <c r="AI715" s="27"/>
      <c r="AJ715" s="27"/>
    </row>
    <row r="716" ht="14.2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  <c r="AI716" s="27"/>
      <c r="AJ716" s="27"/>
    </row>
    <row r="717" ht="14.2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  <c r="AH717" s="27"/>
      <c r="AI717" s="27"/>
      <c r="AJ717" s="27"/>
    </row>
    <row r="718" ht="14.2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  <c r="AH718" s="27"/>
      <c r="AI718" s="27"/>
      <c r="AJ718" s="27"/>
    </row>
    <row r="719" ht="14.2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  <c r="AH719" s="27"/>
      <c r="AI719" s="27"/>
      <c r="AJ719" s="27"/>
    </row>
    <row r="720" ht="14.2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  <c r="AH720" s="27"/>
      <c r="AI720" s="27"/>
      <c r="AJ720" s="27"/>
    </row>
    <row r="721" ht="14.2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</row>
    <row r="722" ht="14.2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  <c r="AH722" s="27"/>
      <c r="AI722" s="27"/>
      <c r="AJ722" s="27"/>
    </row>
    <row r="723" ht="14.2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  <c r="AH723" s="27"/>
      <c r="AI723" s="27"/>
      <c r="AJ723" s="27"/>
    </row>
    <row r="724" ht="14.2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  <c r="AH724" s="27"/>
      <c r="AI724" s="27"/>
      <c r="AJ724" s="27"/>
    </row>
    <row r="725" ht="14.2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  <c r="AH725" s="27"/>
      <c r="AI725" s="27"/>
      <c r="AJ725" s="27"/>
    </row>
    <row r="726" ht="14.2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  <c r="AI726" s="27"/>
      <c r="AJ726" s="27"/>
    </row>
    <row r="727" ht="14.2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  <c r="AH727" s="27"/>
      <c r="AI727" s="27"/>
      <c r="AJ727" s="27"/>
    </row>
    <row r="728" ht="14.2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  <c r="AH728" s="27"/>
      <c r="AI728" s="27"/>
      <c r="AJ728" s="27"/>
    </row>
    <row r="729" ht="14.2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  <c r="AH729" s="27"/>
      <c r="AI729" s="27"/>
      <c r="AJ729" s="27"/>
    </row>
    <row r="730" ht="14.2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</row>
    <row r="731" ht="14.2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  <c r="AH731" s="27"/>
      <c r="AI731" s="27"/>
      <c r="AJ731" s="27"/>
    </row>
    <row r="732" ht="14.2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  <c r="AH732" s="27"/>
      <c r="AI732" s="27"/>
      <c r="AJ732" s="27"/>
    </row>
    <row r="733" ht="14.2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  <c r="AI733" s="27"/>
      <c r="AJ733" s="27"/>
    </row>
    <row r="734" ht="14.2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  <c r="AH734" s="27"/>
      <c r="AI734" s="27"/>
      <c r="AJ734" s="27"/>
    </row>
    <row r="735" ht="14.2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  <c r="AH735" s="27"/>
      <c r="AI735" s="27"/>
      <c r="AJ735" s="27"/>
    </row>
    <row r="736" ht="14.2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  <c r="AI736" s="27"/>
      <c r="AJ736" s="27"/>
    </row>
    <row r="737" ht="14.2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  <c r="AH737" s="27"/>
      <c r="AI737" s="27"/>
      <c r="AJ737" s="27"/>
    </row>
    <row r="738" ht="14.2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  <c r="AI738" s="27"/>
      <c r="AJ738" s="27"/>
    </row>
    <row r="739" ht="14.2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</row>
    <row r="740" ht="14.2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  <c r="AH740" s="27"/>
      <c r="AI740" s="27"/>
      <c r="AJ740" s="27"/>
    </row>
    <row r="741" ht="14.2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  <c r="AH741" s="27"/>
      <c r="AI741" s="27"/>
      <c r="AJ741" s="27"/>
    </row>
    <row r="742" ht="14.2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  <c r="AI742" s="27"/>
      <c r="AJ742" s="27"/>
    </row>
    <row r="743" ht="14.2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  <c r="AI743" s="27"/>
      <c r="AJ743" s="27"/>
    </row>
    <row r="744" ht="14.2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  <c r="AH744" s="27"/>
      <c r="AI744" s="27"/>
      <c r="AJ744" s="27"/>
    </row>
    <row r="745" ht="14.2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  <c r="AI745" s="27"/>
      <c r="AJ745" s="27"/>
    </row>
    <row r="746" ht="14.2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  <c r="AI746" s="27"/>
      <c r="AJ746" s="27"/>
    </row>
    <row r="747" ht="14.2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  <c r="AH747" s="27"/>
      <c r="AI747" s="27"/>
      <c r="AJ747" s="27"/>
    </row>
    <row r="748" ht="14.2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</row>
    <row r="749" ht="14.2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  <c r="AH749" s="27"/>
      <c r="AI749" s="27"/>
      <c r="AJ749" s="27"/>
    </row>
    <row r="750" ht="14.2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  <c r="AH750" s="27"/>
      <c r="AI750" s="27"/>
      <c r="AJ750" s="27"/>
    </row>
    <row r="751" ht="14.2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  <c r="AH751" s="27"/>
      <c r="AI751" s="27"/>
      <c r="AJ751" s="27"/>
    </row>
    <row r="752" ht="14.2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  <c r="AH752" s="27"/>
      <c r="AI752" s="27"/>
      <c r="AJ752" s="27"/>
    </row>
    <row r="753" ht="14.2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  <c r="AH753" s="27"/>
      <c r="AI753" s="27"/>
      <c r="AJ753" s="27"/>
    </row>
    <row r="754" ht="14.2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  <c r="AH754" s="27"/>
      <c r="AI754" s="27"/>
      <c r="AJ754" s="27"/>
    </row>
    <row r="755" ht="14.2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  <c r="AH755" s="27"/>
      <c r="AI755" s="27"/>
      <c r="AJ755" s="27"/>
    </row>
    <row r="756" ht="14.2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  <c r="AI756" s="27"/>
      <c r="AJ756" s="27"/>
    </row>
    <row r="757" ht="14.2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</row>
    <row r="758" ht="14.2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  <c r="AH758" s="27"/>
      <c r="AI758" s="27"/>
      <c r="AJ758" s="27"/>
    </row>
    <row r="759" ht="14.2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  <c r="AH759" s="27"/>
      <c r="AI759" s="27"/>
      <c r="AJ759" s="27"/>
    </row>
    <row r="760" ht="14.2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  <c r="AH760" s="27"/>
      <c r="AI760" s="27"/>
      <c r="AJ760" s="27"/>
    </row>
    <row r="761" ht="14.2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  <c r="AH761" s="27"/>
      <c r="AI761" s="27"/>
      <c r="AJ761" s="27"/>
    </row>
    <row r="762" ht="14.2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  <c r="AH762" s="27"/>
      <c r="AI762" s="27"/>
      <c r="AJ762" s="27"/>
    </row>
    <row r="763" ht="14.2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  <c r="AH763" s="27"/>
      <c r="AI763" s="27"/>
      <c r="AJ763" s="27"/>
    </row>
    <row r="764" ht="14.2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  <c r="AH764" s="27"/>
      <c r="AI764" s="27"/>
      <c r="AJ764" s="27"/>
    </row>
    <row r="765" ht="14.2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  <c r="AH765" s="27"/>
      <c r="AI765" s="27"/>
      <c r="AJ765" s="27"/>
    </row>
    <row r="766" ht="14.2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</row>
    <row r="767" ht="14.2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  <c r="AH767" s="27"/>
      <c r="AI767" s="27"/>
      <c r="AJ767" s="27"/>
    </row>
    <row r="768" ht="14.2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  <c r="AH768" s="27"/>
      <c r="AI768" s="27"/>
      <c r="AJ768" s="27"/>
    </row>
    <row r="769" ht="14.2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  <c r="AH769" s="27"/>
      <c r="AI769" s="27"/>
      <c r="AJ769" s="27"/>
    </row>
    <row r="770" ht="14.2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  <c r="AH770" s="27"/>
      <c r="AI770" s="27"/>
      <c r="AJ770" s="27"/>
    </row>
    <row r="771" ht="14.2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  <c r="AH771" s="27"/>
      <c r="AI771" s="27"/>
      <c r="AJ771" s="27"/>
    </row>
    <row r="772" ht="14.2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  <c r="AH772" s="27"/>
      <c r="AI772" s="27"/>
      <c r="AJ772" s="27"/>
    </row>
    <row r="773" ht="14.2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  <c r="AH773" s="27"/>
      <c r="AI773" s="27"/>
      <c r="AJ773" s="27"/>
    </row>
    <row r="774" ht="14.2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  <c r="AH774" s="27"/>
      <c r="AI774" s="27"/>
      <c r="AJ774" s="27"/>
    </row>
    <row r="775" ht="14.2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</row>
    <row r="776" ht="14.2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  <c r="AI776" s="27"/>
      <c r="AJ776" s="27"/>
    </row>
    <row r="777" ht="14.2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  <c r="AH777" s="27"/>
      <c r="AI777" s="27"/>
      <c r="AJ777" s="27"/>
    </row>
    <row r="778" ht="14.2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  <c r="AH778" s="27"/>
      <c r="AI778" s="27"/>
      <c r="AJ778" s="27"/>
    </row>
    <row r="779" ht="14.2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  <c r="AI779" s="27"/>
      <c r="AJ779" s="27"/>
    </row>
    <row r="780" ht="14.2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  <c r="AH780" s="27"/>
      <c r="AI780" s="27"/>
      <c r="AJ780" s="27"/>
    </row>
    <row r="781" ht="14.2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  <c r="AH781" s="27"/>
      <c r="AI781" s="27"/>
      <c r="AJ781" s="27"/>
    </row>
    <row r="782" ht="14.2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  <c r="AH782" s="27"/>
      <c r="AI782" s="27"/>
      <c r="AJ782" s="27"/>
    </row>
    <row r="783" ht="14.2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  <c r="AH783" s="27"/>
      <c r="AI783" s="27"/>
      <c r="AJ783" s="27"/>
    </row>
    <row r="784" ht="14.2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</row>
    <row r="785" ht="14.2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  <c r="AH785" s="27"/>
      <c r="AI785" s="27"/>
      <c r="AJ785" s="27"/>
    </row>
    <row r="786" ht="14.2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  <c r="AI786" s="27"/>
      <c r="AJ786" s="27"/>
    </row>
    <row r="787" ht="14.2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  <c r="AH787" s="27"/>
      <c r="AI787" s="27"/>
      <c r="AJ787" s="27"/>
    </row>
    <row r="788" ht="14.2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  <c r="AH788" s="27"/>
      <c r="AI788" s="27"/>
      <c r="AJ788" s="27"/>
    </row>
    <row r="789" ht="14.2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  <c r="AH789" s="27"/>
      <c r="AI789" s="27"/>
      <c r="AJ789" s="27"/>
    </row>
    <row r="790" ht="14.2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  <c r="AH790" s="27"/>
      <c r="AI790" s="27"/>
      <c r="AJ790" s="27"/>
    </row>
    <row r="791" ht="14.2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  <c r="AH791" s="27"/>
      <c r="AI791" s="27"/>
      <c r="AJ791" s="27"/>
    </row>
    <row r="792" ht="14.2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  <c r="AH792" s="27"/>
      <c r="AI792" s="27"/>
      <c r="AJ792" s="27"/>
    </row>
    <row r="793" ht="14.2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</row>
    <row r="794" ht="14.2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  <c r="AH794" s="27"/>
      <c r="AI794" s="27"/>
      <c r="AJ794" s="27"/>
    </row>
    <row r="795" ht="14.2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  <c r="AH795" s="27"/>
      <c r="AI795" s="27"/>
      <c r="AJ795" s="27"/>
    </row>
    <row r="796" ht="14.2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  <c r="AI796" s="27"/>
      <c r="AJ796" s="27"/>
    </row>
    <row r="797" ht="14.2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  <c r="AH797" s="27"/>
      <c r="AI797" s="27"/>
      <c r="AJ797" s="27"/>
    </row>
    <row r="798" ht="14.2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  <c r="AH798" s="27"/>
      <c r="AI798" s="27"/>
      <c r="AJ798" s="27"/>
    </row>
    <row r="799" ht="14.2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  <c r="AH799" s="27"/>
      <c r="AI799" s="27"/>
      <c r="AJ799" s="27"/>
    </row>
    <row r="800" ht="14.2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  <c r="AH800" s="27"/>
      <c r="AI800" s="27"/>
      <c r="AJ800" s="27"/>
    </row>
    <row r="801" ht="14.2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  <c r="AH801" s="27"/>
      <c r="AI801" s="27"/>
      <c r="AJ801" s="27"/>
    </row>
    <row r="802" ht="14.2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</row>
    <row r="803" ht="14.2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  <c r="AH803" s="27"/>
      <c r="AI803" s="27"/>
      <c r="AJ803" s="27"/>
    </row>
    <row r="804" ht="14.2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  <c r="AH804" s="27"/>
      <c r="AI804" s="27"/>
      <c r="AJ804" s="27"/>
    </row>
    <row r="805" ht="14.2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  <c r="AH805" s="27"/>
      <c r="AI805" s="27"/>
      <c r="AJ805" s="27"/>
    </row>
    <row r="806" ht="14.2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  <c r="AI806" s="27"/>
      <c r="AJ806" s="27"/>
    </row>
    <row r="807" ht="14.2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  <c r="AH807" s="27"/>
      <c r="AI807" s="27"/>
      <c r="AJ807" s="27"/>
    </row>
    <row r="808" ht="14.2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  <c r="AH808" s="27"/>
      <c r="AI808" s="27"/>
      <c r="AJ808" s="27"/>
    </row>
    <row r="809" ht="14.2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  <c r="AH809" s="27"/>
      <c r="AI809" s="27"/>
      <c r="AJ809" s="27"/>
    </row>
    <row r="810" ht="14.2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  <c r="AH810" s="27"/>
      <c r="AI810" s="27"/>
      <c r="AJ810" s="27"/>
    </row>
    <row r="811" ht="14.2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</row>
    <row r="812" ht="14.2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  <c r="AH812" s="27"/>
      <c r="AI812" s="27"/>
      <c r="AJ812" s="27"/>
    </row>
    <row r="813" ht="14.2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  <c r="AH813" s="27"/>
      <c r="AI813" s="27"/>
      <c r="AJ813" s="27"/>
    </row>
    <row r="814" ht="14.2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  <c r="AH814" s="27"/>
      <c r="AI814" s="27"/>
      <c r="AJ814" s="27"/>
    </row>
    <row r="815" ht="14.2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  <c r="AH815" s="27"/>
      <c r="AI815" s="27"/>
      <c r="AJ815" s="27"/>
    </row>
    <row r="816" ht="14.2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  <c r="AI816" s="27"/>
      <c r="AJ816" s="27"/>
    </row>
    <row r="817" ht="14.2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  <c r="AH817" s="27"/>
      <c r="AI817" s="27"/>
      <c r="AJ817" s="27"/>
    </row>
    <row r="818" ht="14.2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  <c r="AH818" s="27"/>
      <c r="AI818" s="27"/>
      <c r="AJ818" s="27"/>
    </row>
    <row r="819" ht="14.2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  <c r="AH819" s="27"/>
      <c r="AI819" s="27"/>
      <c r="AJ819" s="27"/>
    </row>
    <row r="820" ht="14.2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</row>
    <row r="821" ht="14.2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  <c r="AH821" s="27"/>
      <c r="AI821" s="27"/>
      <c r="AJ821" s="27"/>
    </row>
    <row r="822" ht="14.2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  <c r="AH822" s="27"/>
      <c r="AI822" s="27"/>
      <c r="AJ822" s="27"/>
    </row>
    <row r="823" ht="14.2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  <c r="AH823" s="27"/>
      <c r="AI823" s="27"/>
      <c r="AJ823" s="27"/>
    </row>
    <row r="824" ht="14.2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  <c r="AH824" s="27"/>
      <c r="AI824" s="27"/>
      <c r="AJ824" s="27"/>
    </row>
    <row r="825" ht="14.2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  <c r="AH825" s="27"/>
      <c r="AI825" s="27"/>
      <c r="AJ825" s="27"/>
    </row>
    <row r="826" ht="14.2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  <c r="AI826" s="27"/>
      <c r="AJ826" s="27"/>
    </row>
    <row r="827" ht="14.2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  <c r="AH827" s="27"/>
      <c r="AI827" s="27"/>
      <c r="AJ827" s="27"/>
    </row>
    <row r="828" ht="14.2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  <c r="AH828" s="27"/>
      <c r="AI828" s="27"/>
      <c r="AJ828" s="27"/>
    </row>
    <row r="829" ht="14.2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</row>
    <row r="830" ht="14.2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  <c r="AH830" s="27"/>
      <c r="AI830" s="27"/>
      <c r="AJ830" s="27"/>
    </row>
    <row r="831" ht="14.2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  <c r="AH831" s="27"/>
      <c r="AI831" s="27"/>
      <c r="AJ831" s="27"/>
    </row>
    <row r="832" ht="14.2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  <c r="AH832" s="27"/>
      <c r="AI832" s="27"/>
      <c r="AJ832" s="27"/>
    </row>
    <row r="833" ht="14.2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  <c r="AH833" s="27"/>
      <c r="AI833" s="27"/>
      <c r="AJ833" s="27"/>
    </row>
    <row r="834" ht="14.2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  <c r="AH834" s="27"/>
      <c r="AI834" s="27"/>
      <c r="AJ834" s="27"/>
    </row>
    <row r="835" ht="14.2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  <c r="AH835" s="27"/>
      <c r="AI835" s="27"/>
      <c r="AJ835" s="27"/>
    </row>
    <row r="836" ht="14.2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  <c r="AI836" s="27"/>
      <c r="AJ836" s="27"/>
    </row>
    <row r="837" ht="14.2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  <c r="AH837" s="27"/>
      <c r="AI837" s="27"/>
      <c r="AJ837" s="27"/>
    </row>
    <row r="838" ht="14.2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</row>
    <row r="839" ht="14.2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  <c r="AH839" s="27"/>
      <c r="AI839" s="27"/>
      <c r="AJ839" s="27"/>
    </row>
    <row r="840" ht="14.2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  <c r="AH840" s="27"/>
      <c r="AI840" s="27"/>
      <c r="AJ840" s="27"/>
    </row>
    <row r="841" ht="14.2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  <c r="AH841" s="27"/>
      <c r="AI841" s="27"/>
      <c r="AJ841" s="27"/>
    </row>
    <row r="842" ht="14.2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  <c r="AH842" s="27"/>
      <c r="AI842" s="27"/>
      <c r="AJ842" s="27"/>
    </row>
    <row r="843" ht="14.2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  <c r="AH843" s="27"/>
      <c r="AI843" s="27"/>
      <c r="AJ843" s="27"/>
    </row>
    <row r="844" ht="14.2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  <c r="AH844" s="27"/>
      <c r="AI844" s="27"/>
      <c r="AJ844" s="27"/>
    </row>
    <row r="845" ht="14.2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  <c r="AH845" s="27"/>
      <c r="AI845" s="27"/>
      <c r="AJ845" s="27"/>
    </row>
    <row r="846" ht="14.2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  <c r="AI846" s="27"/>
      <c r="AJ846" s="27"/>
    </row>
    <row r="847" ht="14.2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</row>
    <row r="848" ht="14.2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  <c r="AH848" s="27"/>
      <c r="AI848" s="27"/>
      <c r="AJ848" s="27"/>
    </row>
    <row r="849" ht="14.2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  <c r="AH849" s="27"/>
      <c r="AI849" s="27"/>
      <c r="AJ849" s="27"/>
    </row>
    <row r="850" ht="14.2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  <c r="AH850" s="27"/>
      <c r="AI850" s="27"/>
      <c r="AJ850" s="27"/>
    </row>
    <row r="851" ht="14.2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  <c r="AH851" s="27"/>
      <c r="AI851" s="27"/>
      <c r="AJ851" s="27"/>
    </row>
    <row r="852" ht="14.2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  <c r="AH852" s="27"/>
      <c r="AI852" s="27"/>
      <c r="AJ852" s="27"/>
    </row>
    <row r="853" ht="14.2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  <c r="AH853" s="27"/>
      <c r="AI853" s="27"/>
      <c r="AJ853" s="27"/>
    </row>
    <row r="854" ht="14.2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  <c r="AH854" s="27"/>
      <c r="AI854" s="27"/>
      <c r="AJ854" s="27"/>
    </row>
    <row r="855" ht="14.2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  <c r="AH855" s="27"/>
      <c r="AI855" s="27"/>
      <c r="AJ855" s="27"/>
    </row>
    <row r="856" ht="14.2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</row>
    <row r="857" ht="14.2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  <c r="AH857" s="27"/>
      <c r="AI857" s="27"/>
      <c r="AJ857" s="27"/>
    </row>
    <row r="858" ht="14.2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  <c r="AH858" s="27"/>
      <c r="AI858" s="27"/>
      <c r="AJ858" s="27"/>
    </row>
    <row r="859" ht="14.2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  <c r="AH859" s="27"/>
      <c r="AI859" s="27"/>
      <c r="AJ859" s="27"/>
    </row>
    <row r="860" ht="14.2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  <c r="AH860" s="27"/>
      <c r="AI860" s="27"/>
      <c r="AJ860" s="27"/>
    </row>
    <row r="861" ht="14.2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  <c r="AH861" s="27"/>
      <c r="AI861" s="27"/>
      <c r="AJ861" s="27"/>
    </row>
    <row r="862" ht="14.2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  <c r="AH862" s="27"/>
      <c r="AI862" s="27"/>
      <c r="AJ862" s="27"/>
    </row>
    <row r="863" ht="14.2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  <c r="AH863" s="27"/>
      <c r="AI863" s="27"/>
      <c r="AJ863" s="27"/>
    </row>
    <row r="864" ht="14.2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  <c r="AH864" s="27"/>
      <c r="AI864" s="27"/>
      <c r="AJ864" s="27"/>
    </row>
    <row r="865" ht="14.2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</row>
    <row r="866" ht="14.2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  <c r="AI866" s="27"/>
      <c r="AJ866" s="27"/>
    </row>
    <row r="867" ht="14.2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  <c r="AH867" s="27"/>
      <c r="AI867" s="27"/>
      <c r="AJ867" s="27"/>
    </row>
    <row r="868" ht="14.2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  <c r="AH868" s="27"/>
      <c r="AI868" s="27"/>
      <c r="AJ868" s="27"/>
    </row>
    <row r="869" ht="14.2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  <c r="AH869" s="27"/>
      <c r="AI869" s="27"/>
      <c r="AJ869" s="27"/>
    </row>
    <row r="870" ht="14.2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  <c r="AH870" s="27"/>
      <c r="AI870" s="27"/>
      <c r="AJ870" s="27"/>
    </row>
    <row r="871" ht="14.2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  <c r="AH871" s="27"/>
      <c r="AI871" s="27"/>
      <c r="AJ871" s="27"/>
    </row>
    <row r="872" ht="14.2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  <c r="AH872" s="27"/>
      <c r="AI872" s="27"/>
      <c r="AJ872" s="27"/>
    </row>
    <row r="873" ht="14.2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  <c r="AH873" s="27"/>
      <c r="AI873" s="27"/>
      <c r="AJ873" s="27"/>
    </row>
    <row r="874" ht="14.2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</row>
    <row r="875" ht="14.2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  <c r="AH875" s="27"/>
      <c r="AI875" s="27"/>
      <c r="AJ875" s="27"/>
    </row>
    <row r="876" ht="14.2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  <c r="AI876" s="27"/>
      <c r="AJ876" s="27"/>
    </row>
    <row r="877" ht="14.2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  <c r="AH877" s="27"/>
      <c r="AI877" s="27"/>
      <c r="AJ877" s="27"/>
    </row>
    <row r="878" ht="14.2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  <c r="AH878" s="27"/>
      <c r="AI878" s="27"/>
      <c r="AJ878" s="27"/>
    </row>
    <row r="879" ht="14.2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  <c r="AH879" s="27"/>
      <c r="AI879" s="27"/>
      <c r="AJ879" s="27"/>
    </row>
    <row r="880" ht="14.2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  <c r="AH880" s="27"/>
      <c r="AI880" s="27"/>
      <c r="AJ880" s="27"/>
    </row>
    <row r="881" ht="14.2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  <c r="AH881" s="27"/>
      <c r="AI881" s="27"/>
      <c r="AJ881" s="27"/>
    </row>
    <row r="882" ht="14.2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  <c r="AH882" s="27"/>
      <c r="AI882" s="27"/>
      <c r="AJ882" s="27"/>
    </row>
    <row r="883" ht="14.2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</row>
    <row r="884" ht="14.2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  <c r="AH884" s="27"/>
      <c r="AI884" s="27"/>
      <c r="AJ884" s="27"/>
    </row>
    <row r="885" ht="14.2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  <c r="AH885" s="27"/>
      <c r="AI885" s="27"/>
      <c r="AJ885" s="27"/>
    </row>
    <row r="886" ht="14.2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  <c r="AI886" s="27"/>
      <c r="AJ886" s="27"/>
    </row>
    <row r="887" ht="14.2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  <c r="AH887" s="27"/>
      <c r="AI887" s="27"/>
      <c r="AJ887" s="27"/>
    </row>
    <row r="888" ht="14.2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  <c r="AH888" s="27"/>
      <c r="AI888" s="27"/>
      <c r="AJ888" s="27"/>
    </row>
    <row r="889" ht="14.2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  <c r="AH889" s="27"/>
      <c r="AI889" s="27"/>
      <c r="AJ889" s="27"/>
    </row>
    <row r="890" ht="14.2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  <c r="AH890" s="27"/>
      <c r="AI890" s="27"/>
      <c r="AJ890" s="27"/>
    </row>
    <row r="891" ht="14.2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  <c r="AH891" s="27"/>
      <c r="AI891" s="27"/>
      <c r="AJ891" s="27"/>
    </row>
    <row r="892" ht="14.2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</row>
    <row r="893" ht="14.2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  <c r="AH893" s="27"/>
      <c r="AI893" s="27"/>
      <c r="AJ893" s="27"/>
    </row>
    <row r="894" ht="14.2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  <c r="AH894" s="27"/>
      <c r="AI894" s="27"/>
      <c r="AJ894" s="27"/>
    </row>
    <row r="895" ht="14.2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  <c r="AH895" s="27"/>
      <c r="AI895" s="27"/>
      <c r="AJ895" s="27"/>
    </row>
    <row r="896" ht="14.2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  <c r="AH896" s="27"/>
      <c r="AI896" s="27"/>
      <c r="AJ896" s="27"/>
    </row>
    <row r="897" ht="14.2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  <c r="AH897" s="27"/>
      <c r="AI897" s="27"/>
      <c r="AJ897" s="27"/>
    </row>
    <row r="898" ht="14.2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  <c r="AH898" s="27"/>
      <c r="AI898" s="27"/>
      <c r="AJ898" s="27"/>
    </row>
    <row r="899" ht="14.2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  <c r="AH899" s="27"/>
      <c r="AI899" s="27"/>
      <c r="AJ899" s="27"/>
    </row>
    <row r="900" ht="14.2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  <c r="AH900" s="27"/>
      <c r="AI900" s="27"/>
      <c r="AJ900" s="27"/>
    </row>
    <row r="901" ht="14.2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</row>
    <row r="902" ht="14.2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  <c r="AH902" s="27"/>
      <c r="AI902" s="27"/>
      <c r="AJ902" s="27"/>
    </row>
    <row r="903" ht="14.2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  <c r="AH903" s="27"/>
      <c r="AI903" s="27"/>
      <c r="AJ903" s="27"/>
    </row>
    <row r="904" ht="14.2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  <c r="AH904" s="27"/>
      <c r="AI904" s="27"/>
      <c r="AJ904" s="27"/>
    </row>
    <row r="905" ht="14.2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  <c r="AH905" s="27"/>
      <c r="AI905" s="27"/>
      <c r="AJ905" s="27"/>
    </row>
    <row r="906" ht="14.2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  <c r="AH906" s="27"/>
      <c r="AI906" s="27"/>
      <c r="AJ906" s="27"/>
    </row>
    <row r="907" ht="14.2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  <c r="AH907" s="27"/>
      <c r="AI907" s="27"/>
      <c r="AJ907" s="27"/>
    </row>
    <row r="908" ht="14.2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  <c r="AH908" s="27"/>
      <c r="AI908" s="27"/>
      <c r="AJ908" s="27"/>
    </row>
    <row r="909" ht="14.2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  <c r="AH909" s="27"/>
      <c r="AI909" s="27"/>
      <c r="AJ909" s="27"/>
    </row>
    <row r="910" ht="14.2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  <c r="AH910" s="27"/>
      <c r="AI910" s="27"/>
      <c r="AJ910" s="27"/>
    </row>
    <row r="911" ht="14.2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  <c r="AI911" s="27"/>
      <c r="AJ911" s="27"/>
    </row>
    <row r="912" ht="14.2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  <c r="AH912" s="27"/>
      <c r="AI912" s="27"/>
      <c r="AJ912" s="27"/>
    </row>
    <row r="913" ht="14.2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  <c r="AH913" s="27"/>
      <c r="AI913" s="27"/>
      <c r="AJ913" s="27"/>
    </row>
    <row r="914" ht="14.2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  <c r="AH914" s="27"/>
      <c r="AI914" s="27"/>
      <c r="AJ914" s="27"/>
    </row>
    <row r="915" ht="14.2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  <c r="AH915" s="27"/>
      <c r="AI915" s="27"/>
      <c r="AJ915" s="27"/>
    </row>
    <row r="916" ht="14.2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  <c r="AI916" s="27"/>
      <c r="AJ916" s="27"/>
    </row>
    <row r="917" ht="14.2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  <c r="AI917" s="27"/>
      <c r="AJ917" s="27"/>
    </row>
    <row r="918" ht="14.2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  <c r="AH918" s="27"/>
      <c r="AI918" s="27"/>
      <c r="AJ918" s="27"/>
    </row>
    <row r="919" ht="14.2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  <c r="AI919" s="27"/>
      <c r="AJ919" s="27"/>
    </row>
    <row r="920" ht="14.2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  <c r="AH920" s="27"/>
      <c r="AI920" s="27"/>
      <c r="AJ920" s="27"/>
    </row>
    <row r="921" ht="14.2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  <c r="AH921" s="27"/>
      <c r="AI921" s="27"/>
      <c r="AJ921" s="27"/>
    </row>
    <row r="922" ht="14.2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  <c r="AH922" s="27"/>
      <c r="AI922" s="27"/>
      <c r="AJ922" s="27"/>
    </row>
    <row r="923" ht="14.2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  <c r="AH923" s="27"/>
      <c r="AI923" s="27"/>
      <c r="AJ923" s="27"/>
    </row>
    <row r="924" ht="14.2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  <c r="AH924" s="27"/>
      <c r="AI924" s="27"/>
      <c r="AJ924" s="27"/>
    </row>
    <row r="925" ht="14.2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  <c r="AH925" s="27"/>
      <c r="AI925" s="27"/>
      <c r="AJ925" s="27"/>
    </row>
    <row r="926" ht="14.2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  <c r="AI926" s="27"/>
      <c r="AJ926" s="27"/>
    </row>
    <row r="927" ht="14.2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  <c r="AH927" s="27"/>
      <c r="AI927" s="27"/>
      <c r="AJ927" s="27"/>
    </row>
    <row r="928" ht="14.2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  <c r="AH928" s="27"/>
      <c r="AI928" s="27"/>
      <c r="AJ928" s="27"/>
    </row>
    <row r="929" ht="14.2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  <c r="AH929" s="27"/>
      <c r="AI929" s="27"/>
      <c r="AJ929" s="27"/>
    </row>
    <row r="930" ht="14.2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  <c r="AH930" s="27"/>
      <c r="AI930" s="27"/>
      <c r="AJ930" s="27"/>
    </row>
    <row r="931" ht="14.2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  <c r="AH931" s="27"/>
      <c r="AI931" s="27"/>
      <c r="AJ931" s="27"/>
    </row>
    <row r="932" ht="14.2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  <c r="AH932" s="27"/>
      <c r="AI932" s="27"/>
      <c r="AJ932" s="27"/>
    </row>
    <row r="933" ht="14.2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  <c r="AH933" s="27"/>
      <c r="AI933" s="27"/>
      <c r="AJ933" s="27"/>
    </row>
    <row r="934" ht="14.2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  <c r="AH934" s="27"/>
      <c r="AI934" s="27"/>
      <c r="AJ934" s="27"/>
    </row>
    <row r="935" ht="14.2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  <c r="AH935" s="27"/>
      <c r="AI935" s="27"/>
      <c r="AJ935" s="27"/>
    </row>
    <row r="936" ht="14.2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  <c r="AI936" s="27"/>
      <c r="AJ936" s="27"/>
    </row>
    <row r="937" ht="14.2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  <c r="AH937" s="27"/>
      <c r="AI937" s="27"/>
      <c r="AJ937" s="27"/>
    </row>
    <row r="938" ht="14.2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  <c r="AH938" s="27"/>
      <c r="AI938" s="27"/>
      <c r="AJ938" s="27"/>
    </row>
    <row r="939" ht="14.2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  <c r="AH939" s="27"/>
      <c r="AI939" s="27"/>
      <c r="AJ939" s="27"/>
    </row>
    <row r="940" ht="14.2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  <c r="AH940" s="27"/>
      <c r="AI940" s="27"/>
      <c r="AJ940" s="27"/>
    </row>
    <row r="941" ht="14.2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  <c r="AH941" s="27"/>
      <c r="AI941" s="27"/>
      <c r="AJ941" s="27"/>
    </row>
    <row r="942" ht="14.2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  <c r="AH942" s="27"/>
      <c r="AI942" s="27"/>
      <c r="AJ942" s="27"/>
    </row>
    <row r="943" ht="14.2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  <c r="AH943" s="27"/>
      <c r="AI943" s="27"/>
      <c r="AJ943" s="27"/>
    </row>
    <row r="944" ht="14.2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  <c r="AH944" s="27"/>
      <c r="AI944" s="27"/>
      <c r="AJ944" s="27"/>
    </row>
    <row r="945" ht="14.2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  <c r="AH945" s="27"/>
      <c r="AI945" s="27"/>
      <c r="AJ945" s="27"/>
    </row>
    <row r="946" ht="14.2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  <c r="AI946" s="27"/>
      <c r="AJ946" s="27"/>
    </row>
    <row r="947" ht="14.2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  <c r="AH947" s="27"/>
      <c r="AI947" s="27"/>
      <c r="AJ947" s="27"/>
    </row>
    <row r="948" ht="14.2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  <c r="AH948" s="27"/>
      <c r="AI948" s="27"/>
      <c r="AJ948" s="27"/>
    </row>
    <row r="949" ht="14.2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  <c r="AH949" s="27"/>
      <c r="AI949" s="27"/>
      <c r="AJ949" s="27"/>
    </row>
    <row r="950" ht="14.2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  <c r="AH950" s="27"/>
      <c r="AI950" s="27"/>
      <c r="AJ950" s="27"/>
    </row>
    <row r="951" ht="14.2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  <c r="AH951" s="27"/>
      <c r="AI951" s="27"/>
      <c r="AJ951" s="27"/>
    </row>
    <row r="952" ht="14.2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  <c r="AH952" s="27"/>
      <c r="AI952" s="27"/>
      <c r="AJ952" s="27"/>
    </row>
    <row r="953" ht="14.2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  <c r="AH953" s="27"/>
      <c r="AI953" s="27"/>
      <c r="AJ953" s="27"/>
    </row>
    <row r="954" ht="14.2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  <c r="AH954" s="27"/>
      <c r="AI954" s="27"/>
      <c r="AJ954" s="27"/>
    </row>
    <row r="955" ht="14.2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  <c r="AH955" s="27"/>
      <c r="AI955" s="27"/>
      <c r="AJ955" s="27"/>
    </row>
    <row r="956" ht="14.2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  <c r="AI956" s="27"/>
      <c r="AJ956" s="27"/>
    </row>
    <row r="957" ht="14.2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  <c r="AH957" s="27"/>
      <c r="AI957" s="27"/>
      <c r="AJ957" s="27"/>
    </row>
    <row r="958" ht="14.2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  <c r="AH958" s="27"/>
      <c r="AI958" s="27"/>
      <c r="AJ958" s="27"/>
    </row>
    <row r="959" ht="14.2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  <c r="AH959" s="27"/>
      <c r="AI959" s="27"/>
      <c r="AJ959" s="27"/>
    </row>
    <row r="960" ht="14.2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27"/>
      <c r="AH960" s="27"/>
      <c r="AI960" s="27"/>
      <c r="AJ960" s="27"/>
    </row>
    <row r="961" ht="14.2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  <c r="AH961" s="27"/>
      <c r="AI961" s="27"/>
      <c r="AJ961" s="27"/>
    </row>
    <row r="962" ht="14.2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  <c r="AH962" s="27"/>
      <c r="AI962" s="27"/>
      <c r="AJ962" s="27"/>
    </row>
    <row r="963" ht="14.2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  <c r="AH963" s="27"/>
      <c r="AI963" s="27"/>
      <c r="AJ963" s="27"/>
    </row>
    <row r="964" ht="14.2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  <c r="AH964" s="27"/>
      <c r="AI964" s="27"/>
      <c r="AJ964" s="27"/>
    </row>
    <row r="965" ht="14.2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  <c r="AH965" s="27"/>
      <c r="AI965" s="27"/>
      <c r="AJ965" s="27"/>
    </row>
    <row r="966" ht="14.2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  <c r="AH966" s="27"/>
      <c r="AI966" s="27"/>
      <c r="AJ966" s="27"/>
    </row>
    <row r="967" ht="14.2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  <c r="AH967" s="27"/>
      <c r="AI967" s="27"/>
      <c r="AJ967" s="27"/>
    </row>
    <row r="968" ht="14.2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27"/>
      <c r="AH968" s="27"/>
      <c r="AI968" s="27"/>
      <c r="AJ968" s="27"/>
    </row>
    <row r="969" ht="14.2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27"/>
      <c r="AH969" s="27"/>
      <c r="AI969" s="27"/>
      <c r="AJ969" s="27"/>
    </row>
    <row r="970" ht="14.2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27"/>
      <c r="AH970" s="27"/>
      <c r="AI970" s="27"/>
      <c r="AJ970" s="27"/>
    </row>
    <row r="971" ht="14.2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27"/>
      <c r="AH971" s="27"/>
      <c r="AI971" s="27"/>
      <c r="AJ971" s="27"/>
    </row>
    <row r="972" ht="14.2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  <c r="AG972" s="27"/>
      <c r="AH972" s="27"/>
      <c r="AI972" s="27"/>
      <c r="AJ972" s="27"/>
    </row>
    <row r="973" ht="14.2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27"/>
      <c r="AH973" s="27"/>
      <c r="AI973" s="27"/>
      <c r="AJ973" s="27"/>
    </row>
    <row r="974" ht="14.2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  <c r="AG974" s="27"/>
      <c r="AH974" s="27"/>
      <c r="AI974" s="27"/>
      <c r="AJ974" s="27"/>
    </row>
    <row r="975" ht="14.2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27"/>
      <c r="AH975" s="27"/>
      <c r="AI975" s="27"/>
      <c r="AJ975" s="27"/>
    </row>
    <row r="976" ht="14.2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  <c r="AH976" s="27"/>
      <c r="AI976" s="27"/>
      <c r="AJ976" s="27"/>
    </row>
    <row r="977" ht="14.2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27"/>
      <c r="AH977" s="27"/>
      <c r="AI977" s="27"/>
      <c r="AJ977" s="27"/>
    </row>
    <row r="978" ht="14.2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  <c r="AG978" s="27"/>
      <c r="AH978" s="27"/>
      <c r="AI978" s="27"/>
      <c r="AJ978" s="27"/>
    </row>
    <row r="979" ht="14.2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27"/>
      <c r="AH979" s="27"/>
      <c r="AI979" s="27"/>
      <c r="AJ979" s="27"/>
    </row>
    <row r="980" ht="14.2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  <c r="AG980" s="27"/>
      <c r="AH980" s="27"/>
      <c r="AI980" s="27"/>
      <c r="AJ980" s="27"/>
    </row>
    <row r="981" ht="14.2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27"/>
      <c r="AH981" s="27"/>
      <c r="AI981" s="27"/>
      <c r="AJ981" s="27"/>
    </row>
    <row r="982" ht="14.2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  <c r="AG982" s="27"/>
      <c r="AH982" s="27"/>
      <c r="AI982" s="27"/>
      <c r="AJ982" s="27"/>
    </row>
    <row r="983" ht="14.2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27"/>
      <c r="AH983" s="27"/>
      <c r="AI983" s="27"/>
      <c r="AJ983" s="27"/>
    </row>
    <row r="984" ht="14.2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27"/>
      <c r="AG984" s="27"/>
      <c r="AH984" s="27"/>
      <c r="AI984" s="27"/>
      <c r="AJ984" s="27"/>
    </row>
    <row r="985" ht="14.2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  <c r="AG985" s="27"/>
      <c r="AH985" s="27"/>
      <c r="AI985" s="27"/>
      <c r="AJ985" s="27"/>
    </row>
    <row r="986" ht="14.2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27"/>
      <c r="AH986" s="27"/>
      <c r="AI986" s="27"/>
      <c r="AJ986" s="27"/>
    </row>
    <row r="987" ht="14.2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  <c r="AG987" s="27"/>
      <c r="AH987" s="27"/>
      <c r="AI987" s="27"/>
      <c r="AJ987" s="27"/>
    </row>
    <row r="988" ht="14.2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  <c r="AF988" s="27"/>
      <c r="AG988" s="27"/>
      <c r="AH988" s="27"/>
      <c r="AI988" s="27"/>
      <c r="AJ988" s="27"/>
    </row>
    <row r="989" ht="14.2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  <c r="AF989" s="27"/>
      <c r="AG989" s="27"/>
      <c r="AH989" s="27"/>
      <c r="AI989" s="27"/>
      <c r="AJ989" s="27"/>
    </row>
    <row r="990" ht="14.2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  <c r="AF990" s="27"/>
      <c r="AG990" s="27"/>
      <c r="AH990" s="27"/>
      <c r="AI990" s="27"/>
      <c r="AJ990" s="27"/>
    </row>
    <row r="991" ht="14.2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  <c r="AF991" s="27"/>
      <c r="AG991" s="27"/>
      <c r="AH991" s="27"/>
      <c r="AI991" s="27"/>
      <c r="AJ991" s="27"/>
    </row>
    <row r="992" ht="14.2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  <c r="AF992" s="27"/>
      <c r="AG992" s="27"/>
      <c r="AH992" s="27"/>
      <c r="AI992" s="27"/>
      <c r="AJ992" s="27"/>
    </row>
    <row r="993" ht="14.2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  <c r="AF993" s="27"/>
      <c r="AG993" s="27"/>
      <c r="AH993" s="27"/>
      <c r="AI993" s="27"/>
      <c r="AJ993" s="27"/>
    </row>
    <row r="994" ht="14.2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  <c r="AF994" s="27"/>
      <c r="AG994" s="27"/>
      <c r="AH994" s="27"/>
      <c r="AI994" s="27"/>
      <c r="AJ994" s="27"/>
    </row>
    <row r="995" ht="14.2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  <c r="AE995" s="27"/>
      <c r="AF995" s="27"/>
      <c r="AG995" s="27"/>
      <c r="AH995" s="27"/>
      <c r="AI995" s="27"/>
      <c r="AJ995" s="27"/>
    </row>
    <row r="996" ht="14.2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  <c r="AF996" s="27"/>
      <c r="AG996" s="27"/>
      <c r="AH996" s="27"/>
      <c r="AI996" s="27"/>
      <c r="AJ996" s="27"/>
    </row>
    <row r="997" ht="14.2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  <c r="AE997" s="27"/>
      <c r="AF997" s="27"/>
      <c r="AG997" s="27"/>
      <c r="AH997" s="27"/>
      <c r="AI997" s="27"/>
      <c r="AJ997" s="27"/>
    </row>
    <row r="998" ht="14.2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  <c r="AE998" s="27"/>
      <c r="AF998" s="27"/>
      <c r="AG998" s="27"/>
      <c r="AH998" s="27"/>
      <c r="AI998" s="27"/>
      <c r="AJ998" s="27"/>
    </row>
    <row r="999" ht="14.2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  <c r="AE999" s="27"/>
      <c r="AF999" s="27"/>
      <c r="AG999" s="27"/>
      <c r="AH999" s="27"/>
      <c r="AI999" s="27"/>
      <c r="AJ999" s="27"/>
    </row>
    <row r="1000" ht="14.2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  <c r="AE1000" s="27"/>
      <c r="AF1000" s="27"/>
      <c r="AG1000" s="27"/>
      <c r="AH1000" s="27"/>
      <c r="AI1000" s="27"/>
      <c r="AJ1000" s="27"/>
    </row>
  </sheetData>
  <mergeCells count="10">
    <mergeCell ref="AB6:AB7"/>
    <mergeCell ref="S12:T12"/>
    <mergeCell ref="S15:T15"/>
    <mergeCell ref="A1:C1"/>
    <mergeCell ref="E1:F1"/>
    <mergeCell ref="H1:K1"/>
    <mergeCell ref="AC6:AD6"/>
    <mergeCell ref="AE6:AF6"/>
    <mergeCell ref="AG6:AH6"/>
    <mergeCell ref="AI6:AJ6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57"/>
    <col customWidth="1" min="2" max="2" width="19.86"/>
    <col customWidth="1" min="3" max="3" width="8.57"/>
    <col customWidth="1" min="4" max="4" width="15.43"/>
    <col customWidth="1" min="5" max="7" width="13.0"/>
    <col customWidth="1" min="8" max="26" width="8.57"/>
  </cols>
  <sheetData>
    <row r="1" ht="15.0" customHeight="1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ht="15.0" customHeight="1">
      <c r="A2" s="49"/>
      <c r="B2" s="49"/>
      <c r="C2" s="49" t="s">
        <v>261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5.0" customHeight="1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ht="15.0" customHeight="1">
      <c r="A4" s="49"/>
      <c r="B4" s="50" t="s">
        <v>262</v>
      </c>
      <c r="C4" s="49"/>
      <c r="D4" s="51" t="s">
        <v>263</v>
      </c>
      <c r="E4" s="25"/>
      <c r="F4" s="25"/>
      <c r="G4" s="26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ht="15.0" customHeight="1">
      <c r="A5" s="49"/>
      <c r="B5" s="52" t="s">
        <v>264</v>
      </c>
      <c r="C5" s="49"/>
      <c r="D5" s="52" t="s">
        <v>264</v>
      </c>
      <c r="E5" s="52" t="s">
        <v>264</v>
      </c>
      <c r="F5" s="52" t="s">
        <v>264</v>
      </c>
      <c r="G5" s="52" t="s">
        <v>1</v>
      </c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ht="15.0" customHeight="1">
      <c r="A6" s="49"/>
      <c r="B6" s="49" t="s">
        <v>265</v>
      </c>
      <c r="C6" s="49"/>
      <c r="D6" s="49" t="s">
        <v>266</v>
      </c>
      <c r="E6" s="49" t="s">
        <v>267</v>
      </c>
      <c r="F6" s="49" t="s">
        <v>268</v>
      </c>
      <c r="G6" s="49" t="s">
        <v>180</v>
      </c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ht="15.0" customHeight="1">
      <c r="A7" s="49"/>
      <c r="B7" s="53">
        <v>9.0</v>
      </c>
      <c r="C7" s="49"/>
      <c r="D7" s="54">
        <f>($B$7*2*39.997)/(79.886*3)</f>
        <v>3.004055779</v>
      </c>
      <c r="E7" s="54">
        <f>($B$7*301.62)/(79.886*3)</f>
        <v>11.32689082</v>
      </c>
      <c r="F7" s="54">
        <f>($B$7*257.613)/(79.886*3)</f>
        <v>9.67427334</v>
      </c>
      <c r="G7" s="54">
        <f>($B$7*2)/(79.886*3)/0.1*1000</f>
        <v>751.0702751</v>
      </c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15.0" customHeight="1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ht="15.0" customHeight="1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15.0" customHeight="1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15.0" customHeight="1">
      <c r="A11" s="49"/>
      <c r="B11" s="49"/>
      <c r="C11" s="49"/>
      <c r="D11" s="50" t="s">
        <v>269</v>
      </c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15.0" customHeight="1">
      <c r="A12" s="49"/>
      <c r="B12" s="49"/>
      <c r="C12" s="49"/>
      <c r="D12" s="52" t="s">
        <v>1</v>
      </c>
      <c r="E12" s="52" t="s">
        <v>1</v>
      </c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ht="15.0" customHeight="1">
      <c r="A13" s="49"/>
      <c r="B13" s="49"/>
      <c r="C13" s="49"/>
      <c r="D13" s="49" t="s">
        <v>180</v>
      </c>
      <c r="E13" s="49" t="s">
        <v>270</v>
      </c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15.0" customHeight="1">
      <c r="A14" s="49"/>
      <c r="B14" s="49"/>
      <c r="C14" s="49"/>
      <c r="D14" s="54">
        <f>($G$7*0.1*36.5*100)/(1.19*37*1000)</f>
        <v>6.226224175</v>
      </c>
      <c r="E14" s="54">
        <f>$G$7-$D$14</f>
        <v>744.844051</v>
      </c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15.0" customHeight="1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15.0" customHeight="1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15.0" customHeight="1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15.0" customHeight="1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15.0" customHeight="1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15.0" customHeight="1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15.0" customHeight="1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15.0" customHeight="1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15.0" customHeight="1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15.0" customHeight="1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15.0" customHeight="1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15.0" customHeight="1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15.0" customHeight="1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15.0" customHeight="1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15.0" customHeight="1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15.0" customHeight="1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15.0" customHeigh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15.75" customHeight="1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15.7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15.7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15.7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15.7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15.7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15.7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15.75" customHeight="1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15.7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15.7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15.7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15.7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15.7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15.7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15.7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15.7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15.7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15.7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15.75" customHeight="1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15.75" customHeight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15.75" customHeight="1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15.75" customHeight="1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15.7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15.75" customHeight="1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15.75" customHeight="1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15.75" customHeigh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15.75" customHeight="1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15.75" customHeight="1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ht="15.75" customHeight="1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ht="15.75" customHeight="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ht="15.75" customHeight="1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ht="15.75" customHeight="1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ht="15.75" customHeight="1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ht="15.75" customHeight="1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ht="15.75" customHeight="1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ht="15.75" customHeight="1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ht="15.75" customHeight="1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ht="15.75" customHeight="1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ht="15.75" customHeight="1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ht="15.75" customHeight="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ht="15.75" customHeight="1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15.75" customHeight="1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15.75" customHeight="1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15.75" customHeight="1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15.75" customHeight="1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15.75" customHeight="1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15.75" customHeight="1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15.75" customHeight="1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15.75" customHeight="1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15.75" customHeight="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ht="15.75" customHeight="1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15.75" customHeight="1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ht="15.75" customHeight="1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ht="15.75" customHeight="1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ht="15.75" customHeight="1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ht="15.75" customHeight="1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ht="15.75" customHeight="1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ht="15.75" customHeight="1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ht="15.75" customHeight="1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ht="15.75" customHeight="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ht="15.75" customHeight="1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ht="15.75" customHeight="1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ht="15.75" customHeight="1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ht="15.75" customHeight="1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ht="15.75" customHeight="1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ht="15.75" customHeight="1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ht="15.75" customHeight="1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ht="15.75" customHeight="1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ht="15.75" customHeight="1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ht="15.75" customHeight="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ht="15.75" customHeight="1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ht="15.75" customHeight="1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ht="15.75" customHeight="1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ht="15.75" customHeight="1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ht="15.75" customHeight="1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ht="15.75" customHeight="1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ht="15.75" customHeight="1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ht="15.75" customHeight="1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15.75" customHeight="1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15.75" customHeight="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15.75" customHeight="1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15.75" customHeight="1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15.75" customHeight="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15.75" customHeight="1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15.75" customHeight="1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15.75" customHeight="1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15.75" customHeight="1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15.75" customHeight="1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15.75" customHeight="1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15.75" customHeight="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15.75" customHeight="1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15.75" customHeight="1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15.75" customHeight="1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15.75" customHeight="1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15.75" customHeight="1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15.75" customHeight="1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15.75" customHeight="1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15.75" customHeight="1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15.75" customHeight="1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15.75" customHeight="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15.75" customHeight="1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15.75" customHeight="1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15.75" customHeight="1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15.75" customHeight="1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15.75" customHeight="1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15.75" customHeight="1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15.75" customHeight="1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15.75" customHeight="1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15.75" customHeight="1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15.75" customHeight="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15.75" customHeight="1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15.75" customHeight="1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15.75" customHeight="1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15.75" customHeigh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15.75" customHeight="1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15.75" customHeight="1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15.75" customHeight="1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15.75" customHeight="1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15.75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15.75" customHeight="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15.75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15.75" customHeigh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15.75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15.75" customHeight="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15.75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15.75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15.7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15.75" customHeight="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15.7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15.75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15.7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15.75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15.7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15.75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15.7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ht="15.75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ht="15.7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15.75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ht="15.7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ht="15.75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ht="15.7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15.75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15.7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15.7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15.7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15.75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ht="15.7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ht="15.7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ht="15.7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ht="15.7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ht="15.7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15.75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15.7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15.7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15.7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15.7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15.7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15.75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15.7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15.7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15.7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15.7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15.7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15.7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15.7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15.7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15.7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15.7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15.7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15.7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15.7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15.7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15.7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15.7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15.7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15.7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15.7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15.7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15.7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15.7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15.7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15.7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15.7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15.7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15.7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15.7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15.7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15.7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15.7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4:G4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57"/>
    <col customWidth="1" min="2" max="2" width="27.71"/>
    <col customWidth="1" min="3" max="3" width="27.0"/>
    <col customWidth="1" min="4" max="4" width="28.86"/>
    <col customWidth="1" min="5" max="5" width="24.57"/>
    <col customWidth="1" min="6" max="10" width="15.0"/>
    <col customWidth="1" min="11" max="25" width="8.57"/>
    <col customWidth="1" min="26" max="26" width="14.0"/>
  </cols>
  <sheetData>
    <row r="1" ht="15.0" customHeight="1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ht="15.0" customHeigh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 ht="15.0" customHeight="1">
      <c r="A3" s="49"/>
      <c r="B3" s="49"/>
      <c r="C3" s="55" t="s">
        <v>196</v>
      </c>
      <c r="D3" s="55"/>
      <c r="E3" s="55"/>
      <c r="F3" s="55"/>
      <c r="G3" s="55"/>
      <c r="H3" s="55"/>
      <c r="I3" s="55"/>
      <c r="J3" s="55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</row>
    <row r="4" ht="15.0" customHeigh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</row>
    <row r="5" ht="15.0" customHeight="1">
      <c r="A5" s="49"/>
      <c r="B5" s="56" t="s">
        <v>271</v>
      </c>
      <c r="C5" s="56" t="s">
        <v>272</v>
      </c>
      <c r="D5" s="56" t="s">
        <v>273</v>
      </c>
      <c r="E5" s="56" t="s">
        <v>274</v>
      </c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</row>
    <row r="6" ht="15.0" customHeight="1">
      <c r="A6" s="49"/>
      <c r="B6" s="56" t="s">
        <v>265</v>
      </c>
      <c r="C6" s="57">
        <v>79.886</v>
      </c>
      <c r="D6" s="56"/>
      <c r="E6" s="56"/>
      <c r="F6" s="49"/>
      <c r="G6" s="49"/>
      <c r="H6" s="49"/>
      <c r="I6" s="49"/>
      <c r="J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</row>
    <row r="7" ht="15.0" customHeight="1">
      <c r="A7" s="49"/>
      <c r="B7" s="56" t="s">
        <v>266</v>
      </c>
      <c r="C7" s="57">
        <v>39.997</v>
      </c>
      <c r="D7" s="56"/>
      <c r="E7" s="56"/>
      <c r="F7" s="49"/>
      <c r="G7" s="49"/>
      <c r="H7" s="49"/>
      <c r="I7" s="49"/>
      <c r="J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</row>
    <row r="8" ht="15.0" customHeight="1">
      <c r="A8" s="49"/>
      <c r="B8" s="56" t="s">
        <v>267</v>
      </c>
      <c r="C8" s="57">
        <v>301.62</v>
      </c>
      <c r="D8" s="56"/>
      <c r="E8" s="56"/>
      <c r="F8" s="49"/>
      <c r="G8" s="49"/>
      <c r="H8" s="49"/>
      <c r="I8" s="49"/>
      <c r="J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</row>
    <row r="9" ht="15.0" customHeight="1">
      <c r="A9" s="49"/>
      <c r="B9" s="56" t="s">
        <v>268</v>
      </c>
      <c r="C9" s="57">
        <v>257.6127</v>
      </c>
      <c r="D9" s="56"/>
      <c r="E9" s="56"/>
      <c r="F9" s="49"/>
      <c r="G9" s="49"/>
      <c r="H9" s="49"/>
      <c r="I9" s="49"/>
      <c r="J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</row>
    <row r="10" ht="15.0" customHeight="1">
      <c r="A10" s="49"/>
      <c r="B10" s="56" t="s">
        <v>180</v>
      </c>
      <c r="C10" s="57">
        <v>36.458</v>
      </c>
      <c r="D10" s="56">
        <v>0.37</v>
      </c>
      <c r="E10" s="56">
        <v>1.2</v>
      </c>
      <c r="F10" s="49"/>
      <c r="G10" s="49"/>
      <c r="H10" s="49"/>
      <c r="I10" s="49"/>
      <c r="J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</row>
    <row r="11" ht="15.0" customHeight="1">
      <c r="A11" s="49"/>
      <c r="B11" s="56" t="s">
        <v>275</v>
      </c>
      <c r="C11" s="57">
        <v>18.01528</v>
      </c>
      <c r="D11" s="56"/>
      <c r="E11" s="56"/>
      <c r="F11" s="49"/>
      <c r="G11" s="49"/>
      <c r="H11" s="49"/>
      <c r="I11" s="49"/>
      <c r="J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</row>
    <row r="12" ht="15.0" customHeight="1">
      <c r="A12" s="49"/>
      <c r="B12" s="56" t="s">
        <v>276</v>
      </c>
      <c r="C12" s="57">
        <v>58.44</v>
      </c>
      <c r="D12" s="56"/>
      <c r="E12" s="56"/>
      <c r="F12" s="49"/>
      <c r="G12" s="49"/>
      <c r="H12" s="49"/>
      <c r="I12" s="49"/>
      <c r="J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</row>
    <row r="13" ht="15.0" customHeight="1">
      <c r="A13" s="49"/>
      <c r="B13" s="56" t="s">
        <v>277</v>
      </c>
      <c r="C13" s="57">
        <v>288.25</v>
      </c>
      <c r="D13" s="56"/>
      <c r="E13" s="58">
        <v>0.96</v>
      </c>
      <c r="F13" s="49"/>
      <c r="G13" s="49"/>
      <c r="H13" s="49"/>
      <c r="I13" s="49"/>
      <c r="J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</row>
    <row r="14" ht="15.0" customHeight="1">
      <c r="A14" s="49"/>
      <c r="B14" s="56" t="s">
        <v>278</v>
      </c>
      <c r="C14" s="57">
        <v>60.1</v>
      </c>
      <c r="D14" s="56"/>
      <c r="E14" s="56">
        <v>0.78</v>
      </c>
      <c r="F14" s="49"/>
      <c r="G14" s="49"/>
      <c r="H14" s="49"/>
      <c r="I14" s="49"/>
      <c r="J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</row>
    <row r="15" ht="15.0" customHeight="1">
      <c r="A15" s="49"/>
      <c r="B15" s="56" t="s">
        <v>279</v>
      </c>
      <c r="C15" s="57">
        <v>60.052</v>
      </c>
      <c r="D15" s="56"/>
      <c r="E15" s="56">
        <v>1.05</v>
      </c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</row>
    <row r="16" ht="15.0" customHeight="1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</row>
    <row r="17" ht="15.0" customHeight="1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</row>
    <row r="18" ht="15.0" customHeight="1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</row>
    <row r="19" ht="15.0" customHeight="1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</row>
    <row r="20" ht="15.0" customHeight="1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</row>
    <row r="21" ht="15.0" customHeight="1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</row>
    <row r="22" ht="15.0" customHeight="1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</row>
    <row r="23" ht="15.0" customHeight="1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</row>
    <row r="24" ht="15.0" customHeight="1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</row>
    <row r="25" ht="15.0" customHeight="1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</row>
    <row r="26" ht="14.25" customHeight="1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</row>
    <row r="27" ht="14.25" customHeight="1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</row>
    <row r="28" ht="14.25" customHeight="1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</row>
    <row r="29" ht="14.25" customHeight="1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</row>
    <row r="30" ht="14.25" customHeight="1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</row>
    <row r="31" ht="14.25" customHeigh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</row>
    <row r="32" ht="14.25" customHeight="1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</row>
    <row r="33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</row>
    <row r="34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</row>
    <row r="35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</row>
    <row r="36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</row>
    <row r="37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</row>
    <row r="38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</row>
    <row r="39" ht="14.25" customHeight="1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</row>
    <row r="40" ht="14.2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</row>
    <row r="41" ht="14.2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</row>
    <row r="42" ht="14.2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</row>
    <row r="43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</row>
    <row r="44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</row>
    <row r="45" ht="14.2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</row>
    <row r="46" ht="14.2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</row>
    <row r="47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</row>
    <row r="48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</row>
    <row r="49" ht="14.2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</row>
    <row r="50" ht="14.25" customHeight="1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</row>
    <row r="51" ht="14.25" customHeight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</row>
    <row r="52" ht="14.25" customHeight="1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</row>
    <row r="53" ht="14.25" customHeight="1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</row>
    <row r="54" ht="14.2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</row>
    <row r="55" ht="14.25" customHeight="1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</row>
    <row r="56" ht="14.25" customHeight="1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</row>
    <row r="57" ht="14.25" customHeigh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</row>
    <row r="58" ht="14.25" customHeight="1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</row>
    <row r="59" ht="14.25" customHeight="1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</row>
    <row r="60" ht="14.25" customHeight="1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</row>
    <row r="61" ht="14.25" customHeight="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</row>
    <row r="62" ht="14.25" customHeight="1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</row>
    <row r="63" ht="14.25" customHeight="1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</row>
    <row r="64" ht="14.25" customHeight="1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</row>
    <row r="65" ht="14.25" customHeight="1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</row>
    <row r="66" ht="14.25" customHeight="1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</row>
    <row r="67" ht="14.25" customHeight="1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</row>
    <row r="68" ht="14.25" customHeight="1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</row>
    <row r="69" ht="14.25" customHeight="1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</row>
    <row r="70" ht="14.25" customHeight="1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</row>
    <row r="71" ht="14.25" customHeight="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</row>
    <row r="72" ht="14.25" customHeight="1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</row>
    <row r="73" ht="14.25" customHeight="1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</row>
    <row r="74" ht="14.25" customHeight="1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</row>
    <row r="75" ht="14.25" customHeight="1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</row>
    <row r="76" ht="14.25" customHeight="1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</row>
    <row r="77" ht="14.25" customHeight="1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</row>
    <row r="78" ht="14.25" customHeight="1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</row>
    <row r="79" ht="14.25" customHeight="1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</row>
    <row r="80" ht="14.25" customHeight="1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</row>
    <row r="81" ht="14.25" customHeight="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</row>
    <row r="82" ht="14.25" customHeight="1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</row>
    <row r="83" ht="14.25" customHeight="1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</row>
    <row r="84" ht="14.25" customHeight="1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</row>
    <row r="85" ht="14.25" customHeight="1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</row>
    <row r="86" ht="14.25" customHeight="1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</row>
    <row r="87" ht="14.25" customHeight="1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</row>
    <row r="88" ht="14.25" customHeight="1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</row>
    <row r="89" ht="14.25" customHeight="1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</row>
    <row r="90" ht="14.25" customHeight="1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</row>
    <row r="91" ht="14.25" customHeight="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</row>
    <row r="92" ht="14.25" customHeight="1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</row>
    <row r="93" ht="14.25" customHeight="1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</row>
    <row r="94" ht="14.25" customHeight="1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</row>
    <row r="95" ht="14.25" customHeight="1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</row>
    <row r="96" ht="14.25" customHeight="1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</row>
    <row r="97" ht="14.25" customHeight="1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</row>
    <row r="98" ht="14.25" customHeight="1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</row>
    <row r="99" ht="14.25" customHeight="1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</row>
    <row r="100" ht="14.25" customHeight="1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</row>
    <row r="101" ht="14.25" customHeight="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</row>
    <row r="102" ht="14.25" customHeight="1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</row>
    <row r="103" ht="14.25" customHeight="1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</row>
    <row r="104" ht="14.25" customHeight="1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</row>
    <row r="105" ht="14.25" customHeight="1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</row>
    <row r="106" ht="14.25" customHeight="1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</row>
    <row r="107" ht="14.25" customHeight="1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</row>
    <row r="108" ht="14.25" customHeight="1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</row>
    <row r="109" ht="14.25" customHeight="1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</row>
    <row r="110" ht="14.25" customHeight="1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</row>
    <row r="111" ht="14.25" customHeight="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</row>
    <row r="112" ht="14.25" customHeight="1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</row>
    <row r="113" ht="14.25" customHeight="1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</row>
    <row r="114" ht="14.25" customHeight="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</row>
    <row r="115" ht="14.25" customHeight="1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</row>
    <row r="116" ht="14.25" customHeight="1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</row>
    <row r="117" ht="14.25" customHeight="1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</row>
    <row r="118" ht="14.25" customHeight="1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</row>
    <row r="119" ht="14.25" customHeight="1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</row>
    <row r="120" ht="14.25" customHeight="1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</row>
    <row r="121" ht="14.25" customHeight="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</row>
    <row r="122" ht="14.25" customHeight="1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</row>
    <row r="123" ht="14.25" customHeight="1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</row>
    <row r="124" ht="14.25" customHeight="1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</row>
    <row r="125" ht="14.25" customHeight="1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</row>
    <row r="126" ht="14.25" customHeight="1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</row>
    <row r="127" ht="14.25" customHeight="1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</row>
    <row r="128" ht="14.25" customHeight="1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</row>
    <row r="129" ht="14.25" customHeight="1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</row>
    <row r="130" ht="14.25" customHeight="1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</row>
    <row r="131" ht="14.25" customHeight="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</row>
    <row r="132" ht="14.25" customHeight="1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</row>
    <row r="133" ht="14.25" customHeight="1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</row>
    <row r="134" ht="14.25" customHeight="1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</row>
    <row r="135" ht="14.25" customHeight="1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</row>
    <row r="136" ht="14.25" customHeight="1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</row>
    <row r="137" ht="14.25" customHeight="1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</row>
    <row r="138" ht="14.25" customHeight="1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</row>
    <row r="139" ht="14.25" customHeight="1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</row>
    <row r="140" ht="14.25" customHeight="1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</row>
    <row r="141" ht="14.25" customHeight="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</row>
    <row r="142" ht="14.25" customHeight="1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</row>
    <row r="143" ht="14.25" customHeight="1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</row>
    <row r="144" ht="14.25" customHeight="1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</row>
    <row r="145" ht="14.25" customHeigh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</row>
    <row r="146" ht="14.25" customHeight="1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</row>
    <row r="147" ht="14.25" customHeight="1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</row>
    <row r="148" ht="14.25" customHeight="1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</row>
    <row r="149" ht="14.25" customHeight="1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</row>
    <row r="150" ht="14.25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</row>
    <row r="151" ht="14.25" customHeight="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</row>
    <row r="152" ht="14.25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</row>
    <row r="153" ht="14.25" customHeigh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</row>
    <row r="154" ht="14.25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</row>
    <row r="155" ht="14.25" customHeight="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</row>
    <row r="156" ht="14.25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</row>
    <row r="157" ht="14.25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</row>
    <row r="158" ht="14.2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</row>
    <row r="159" ht="14.25" customHeight="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</row>
    <row r="160" ht="14.2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</row>
    <row r="161" ht="14.25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</row>
    <row r="162" ht="14.2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</row>
    <row r="163" ht="14.25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</row>
    <row r="164" ht="14.2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</row>
    <row r="165" ht="14.25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</row>
    <row r="166" ht="14.2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</row>
    <row r="167" ht="14.25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</row>
    <row r="168" ht="14.2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</row>
    <row r="169" ht="14.25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</row>
    <row r="170" ht="14.2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</row>
    <row r="171" ht="14.25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</row>
    <row r="172" ht="14.2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</row>
    <row r="173" ht="14.25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</row>
    <row r="174" ht="14.2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</row>
    <row r="175" ht="14.2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</row>
    <row r="176" ht="14.2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</row>
    <row r="177" ht="14.25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</row>
    <row r="178" ht="14.2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</row>
    <row r="179" ht="14.2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</row>
    <row r="180" ht="14.2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</row>
    <row r="181" ht="14.2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</row>
    <row r="182" ht="14.2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</row>
    <row r="183" ht="14.25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</row>
    <row r="184" ht="14.2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</row>
    <row r="185" ht="14.2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</row>
    <row r="186" ht="14.2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</row>
    <row r="187" ht="14.2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</row>
    <row r="188" ht="14.2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</row>
    <row r="189" ht="14.25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</row>
    <row r="190" ht="14.2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</row>
    <row r="191" ht="14.2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</row>
    <row r="192" ht="14.2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</row>
    <row r="193" ht="14.2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</row>
    <row r="194" ht="14.2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</row>
    <row r="195" ht="14.2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</row>
    <row r="196" ht="14.2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</row>
    <row r="197" ht="14.2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</row>
    <row r="198" ht="14.2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</row>
    <row r="199" ht="14.2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</row>
    <row r="200" ht="14.2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</row>
    <row r="201" ht="14.2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</row>
    <row r="202" ht="14.2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</row>
    <row r="203" ht="14.2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</row>
    <row r="204" ht="14.2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</row>
    <row r="205" ht="14.2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</row>
    <row r="206" ht="14.2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</row>
    <row r="207" ht="14.2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</row>
    <row r="208" ht="14.2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</row>
    <row r="209" ht="14.2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</row>
    <row r="210" ht="14.2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</row>
    <row r="211" ht="14.2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</row>
    <row r="212" ht="14.2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</row>
    <row r="213" ht="14.2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</row>
    <row r="214" ht="14.2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</row>
    <row r="215" ht="14.2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</row>
    <row r="216" ht="14.2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</row>
    <row r="217" ht="14.2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</row>
    <row r="218" ht="14.2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</row>
    <row r="219" ht="14.2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</row>
    <row r="220" ht="14.2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</row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showGridLines="0"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4.43" defaultRowHeight="15.0"/>
  <cols>
    <col customWidth="1" min="1" max="1" width="2.29"/>
    <col customWidth="1" min="2" max="2" width="13.29"/>
    <col customWidth="1" min="3" max="3" width="10.29"/>
    <col customWidth="1" min="4" max="4" width="12.71"/>
    <col customWidth="1" min="5" max="5" width="10.29"/>
    <col customWidth="1" min="6" max="6" width="11.29"/>
    <col customWidth="1" min="7" max="7" width="17.71"/>
    <col customWidth="1" min="8" max="8" width="10.43"/>
    <col customWidth="1" min="9" max="9" width="21.71"/>
    <col customWidth="1" min="10" max="10" width="22.29"/>
    <col customWidth="1" min="11" max="11" width="24.71"/>
    <col customWidth="1" min="12" max="12" width="25.57"/>
    <col customWidth="1" min="13" max="14" width="17.0"/>
    <col customWidth="1" min="15" max="15" width="17.29"/>
    <col customWidth="1" min="16" max="16" width="16.71"/>
    <col customWidth="1" hidden="1" min="17" max="17" width="16.71"/>
    <col customWidth="1" hidden="1" min="18" max="18" width="15.14"/>
    <col customWidth="1" min="19" max="19" width="18.0"/>
    <col customWidth="1" min="20" max="20" width="22.29"/>
    <col customWidth="1" min="21" max="21" width="13.86"/>
    <col customWidth="1" min="22" max="22" width="14.0"/>
    <col customWidth="1" min="23" max="23" width="24.71"/>
    <col customWidth="1" min="24" max="24" width="11.86"/>
    <col customWidth="1" min="25" max="25" width="14.29"/>
    <col customWidth="1" min="26" max="26" width="8.71"/>
  </cols>
  <sheetData>
    <row r="1" ht="14.25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14.25" customHeight="1">
      <c r="A2" s="27"/>
      <c r="B2" s="27"/>
      <c r="C2" s="27"/>
      <c r="D2" s="59" t="s">
        <v>280</v>
      </c>
      <c r="E2" s="25"/>
      <c r="F2" s="25"/>
      <c r="G2" s="25"/>
      <c r="H2" s="26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4.25" customHeight="1">
      <c r="A3" s="27"/>
      <c r="B3" s="27"/>
      <c r="C3" s="27"/>
      <c r="D3" s="60" t="s">
        <v>281</v>
      </c>
      <c r="E3" s="60">
        <v>-1.0</v>
      </c>
      <c r="F3" s="60">
        <v>0.0</v>
      </c>
      <c r="G3" s="60">
        <v>1.0</v>
      </c>
      <c r="H3" s="60" t="s">
        <v>282</v>
      </c>
      <c r="I3" s="27"/>
      <c r="J3" s="27"/>
      <c r="K3" s="27"/>
      <c r="L3" s="27"/>
      <c r="M3" s="27"/>
      <c r="N3" s="27"/>
      <c r="O3" s="27" t="s">
        <v>123</v>
      </c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4.25" customHeight="1">
      <c r="A4" s="27"/>
      <c r="B4" s="27"/>
      <c r="C4" s="27"/>
      <c r="D4" s="61" t="s">
        <v>265</v>
      </c>
      <c r="E4" s="62">
        <v>3.0</v>
      </c>
      <c r="F4" s="62">
        <v>6.0</v>
      </c>
      <c r="G4" s="62">
        <v>9.0</v>
      </c>
      <c r="H4" s="63" t="s">
        <v>207</v>
      </c>
      <c r="I4" s="27"/>
      <c r="J4" s="27"/>
      <c r="K4" s="27"/>
      <c r="L4" s="27"/>
      <c r="M4" s="27"/>
      <c r="N4" s="27"/>
      <c r="O4" s="27" t="s">
        <v>35</v>
      </c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4.25" customHeight="1">
      <c r="A5" s="27"/>
      <c r="B5" s="27"/>
      <c r="C5" s="27"/>
      <c r="D5" s="61" t="s">
        <v>266</v>
      </c>
      <c r="E5" s="62">
        <v>6.0</v>
      </c>
      <c r="F5" s="62">
        <v>8.0</v>
      </c>
      <c r="G5" s="62">
        <v>10.0</v>
      </c>
      <c r="H5" s="63" t="s">
        <v>227</v>
      </c>
      <c r="I5" s="27"/>
      <c r="J5" s="27"/>
      <c r="K5" s="27"/>
      <c r="L5" s="27"/>
      <c r="M5" s="27"/>
      <c r="N5" s="27"/>
      <c r="O5" s="27" t="s">
        <v>30</v>
      </c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4.25" customHeight="1">
      <c r="A6" s="27"/>
      <c r="B6" s="27"/>
      <c r="C6" s="27"/>
      <c r="D6" s="61" t="s">
        <v>283</v>
      </c>
      <c r="E6" s="62">
        <v>100.0</v>
      </c>
      <c r="F6" s="62">
        <v>150.0</v>
      </c>
      <c r="G6" s="62">
        <v>200.0</v>
      </c>
      <c r="H6" s="63" t="s">
        <v>284</v>
      </c>
      <c r="I6" s="27"/>
      <c r="J6" s="27"/>
      <c r="K6" s="27"/>
      <c r="L6" s="27"/>
      <c r="M6" s="27"/>
      <c r="N6" s="27"/>
      <c r="O6" s="27" t="s">
        <v>33</v>
      </c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4.25" customHeight="1">
      <c r="A7" s="27"/>
      <c r="B7" s="27"/>
      <c r="C7" s="27"/>
      <c r="D7" s="61" t="s">
        <v>285</v>
      </c>
      <c r="E7" s="62">
        <v>8.0</v>
      </c>
      <c r="F7" s="62">
        <v>16.0</v>
      </c>
      <c r="G7" s="62">
        <v>24.0</v>
      </c>
      <c r="H7" s="63" t="s">
        <v>249</v>
      </c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4.25" customHeight="1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4.25" customHeight="1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4.25" customHeight="1">
      <c r="A10" s="27"/>
      <c r="B10" s="64" t="s">
        <v>286</v>
      </c>
      <c r="C10" s="64" t="s">
        <v>287</v>
      </c>
      <c r="D10" s="64" t="s">
        <v>288</v>
      </c>
      <c r="E10" s="64" t="s">
        <v>289</v>
      </c>
      <c r="F10" s="64" t="s">
        <v>290</v>
      </c>
      <c r="G10" s="64" t="s">
        <v>265</v>
      </c>
      <c r="H10" s="64" t="s">
        <v>266</v>
      </c>
      <c r="I10" s="64" t="s">
        <v>283</v>
      </c>
      <c r="J10" s="64" t="s">
        <v>285</v>
      </c>
      <c r="K10" s="64" t="s">
        <v>291</v>
      </c>
      <c r="L10" s="64" t="s">
        <v>292</v>
      </c>
      <c r="M10" s="64" t="s">
        <v>293</v>
      </c>
      <c r="N10" s="64" t="s">
        <v>294</v>
      </c>
      <c r="O10" s="64" t="s">
        <v>295</v>
      </c>
      <c r="P10" s="64" t="s">
        <v>296</v>
      </c>
      <c r="Q10" s="64" t="s">
        <v>20</v>
      </c>
      <c r="R10" s="64" t="s">
        <v>297</v>
      </c>
      <c r="S10" s="64" t="s">
        <v>298</v>
      </c>
      <c r="T10" s="64" t="s">
        <v>299</v>
      </c>
      <c r="U10" s="64" t="s">
        <v>300</v>
      </c>
      <c r="V10" s="64" t="s">
        <v>301</v>
      </c>
      <c r="W10" s="64" t="s">
        <v>302</v>
      </c>
      <c r="X10" s="64" t="s">
        <v>303</v>
      </c>
      <c r="Y10" s="64" t="s">
        <v>304</v>
      </c>
      <c r="Z10" s="27"/>
    </row>
    <row r="11" ht="14.25" customHeight="1">
      <c r="A11" s="27"/>
      <c r="B11" s="65">
        <v>0.0</v>
      </c>
      <c r="C11" s="65"/>
      <c r="D11" s="65"/>
      <c r="E11" s="66" t="s">
        <v>305</v>
      </c>
      <c r="F11" s="67" t="s">
        <v>305</v>
      </c>
      <c r="G11" s="65" t="s">
        <v>306</v>
      </c>
      <c r="H11" s="65" t="s">
        <v>306</v>
      </c>
      <c r="I11" s="65" t="s">
        <v>306</v>
      </c>
      <c r="J11" s="65" t="s">
        <v>306</v>
      </c>
      <c r="K11" s="68"/>
      <c r="L11" s="68"/>
      <c r="M11" s="68"/>
      <c r="N11" s="68"/>
      <c r="O11" s="68"/>
      <c r="P11" s="68">
        <f>IFERROR('Experimental Results'!$O11/'Experimental Results'!$L11,0)</f>
        <v>0</v>
      </c>
      <c r="Q11" s="65"/>
      <c r="R11" s="65"/>
      <c r="S11" s="68">
        <v>253.3023</v>
      </c>
      <c r="T11" s="65"/>
      <c r="U11" s="65"/>
      <c r="V11" s="65"/>
      <c r="W11" s="65"/>
      <c r="X11" s="69">
        <v>350.0</v>
      </c>
      <c r="Y11" s="69">
        <f>'Experimental Results'!$X11/1000</f>
        <v>0.35</v>
      </c>
      <c r="Z11" s="27"/>
    </row>
    <row r="12" ht="14.25" customHeight="1">
      <c r="A12" s="27"/>
      <c r="B12" s="65">
        <v>0.1</v>
      </c>
      <c r="C12" s="65"/>
      <c r="D12" s="65"/>
      <c r="E12" s="66" t="s">
        <v>307</v>
      </c>
      <c r="F12" s="67" t="s">
        <v>307</v>
      </c>
      <c r="G12" s="65" t="s">
        <v>306</v>
      </c>
      <c r="H12" s="65" t="s">
        <v>306</v>
      </c>
      <c r="I12" s="65" t="s">
        <v>306</v>
      </c>
      <c r="J12" s="65" t="s">
        <v>306</v>
      </c>
      <c r="K12" s="68"/>
      <c r="L12" s="68"/>
      <c r="M12" s="68"/>
      <c r="N12" s="68"/>
      <c r="O12" s="68"/>
      <c r="P12" s="68">
        <f>IFERROR('Experimental Results'!$O12/'Experimental Results'!$L12,0)</f>
        <v>0</v>
      </c>
      <c r="Q12" s="65"/>
      <c r="R12" s="65"/>
      <c r="S12" s="68">
        <v>111.0833</v>
      </c>
      <c r="T12" s="65"/>
      <c r="U12" s="65"/>
      <c r="V12" s="65"/>
      <c r="W12" s="65"/>
      <c r="X12" s="69">
        <v>1700.0</v>
      </c>
      <c r="Y12" s="69">
        <f>'Experimental Results'!$X12/1000</f>
        <v>1.7</v>
      </c>
      <c r="Z12" s="27"/>
    </row>
    <row r="13" ht="14.25" customHeight="1">
      <c r="A13" s="27"/>
      <c r="B13" s="70">
        <v>1.0</v>
      </c>
      <c r="C13" s="70">
        <v>1.0</v>
      </c>
      <c r="D13" s="71">
        <v>13.0</v>
      </c>
      <c r="E13" s="66" t="s">
        <v>308</v>
      </c>
      <c r="F13" s="67">
        <v>1.0</v>
      </c>
      <c r="G13" s="70">
        <v>0.0</v>
      </c>
      <c r="H13" s="70">
        <v>0.0</v>
      </c>
      <c r="I13" s="70">
        <v>0.0</v>
      </c>
      <c r="J13" s="70">
        <v>0.0</v>
      </c>
      <c r="K13" s="72">
        <v>28.935661840857982</v>
      </c>
      <c r="L13" s="72">
        <v>28.935661840857982</v>
      </c>
      <c r="M13" s="72"/>
      <c r="N13" s="72"/>
      <c r="O13" s="72"/>
      <c r="P13" s="72">
        <f>IFERROR('Experimental Results'!$O13/'Experimental Results'!$L13,0)</f>
        <v>0</v>
      </c>
      <c r="Q13" s="70" t="s">
        <v>309</v>
      </c>
      <c r="R13" s="70"/>
      <c r="S13" s="72">
        <v>93.74915</v>
      </c>
      <c r="T13" s="70">
        <v>268.0</v>
      </c>
      <c r="U13" s="70"/>
      <c r="V13" s="70"/>
      <c r="W13" s="73">
        <f t="shared" ref="W13:W16" si="1">V13/(HLOOKUP(G13,$E$3:$G$7,2,FALSE))</f>
        <v>0</v>
      </c>
      <c r="X13" s="74">
        <v>40.93768192</v>
      </c>
      <c r="Y13" s="74">
        <v>6.822946986666667</v>
      </c>
      <c r="Z13" s="27"/>
    </row>
    <row r="14" ht="14.25" customHeight="1">
      <c r="A14" s="27"/>
      <c r="B14" s="70">
        <v>2.0</v>
      </c>
      <c r="C14" s="70">
        <v>6.0</v>
      </c>
      <c r="D14" s="71">
        <v>14.0</v>
      </c>
      <c r="E14" s="66" t="s">
        <v>308</v>
      </c>
      <c r="F14" s="67">
        <v>6.0</v>
      </c>
      <c r="G14" s="70">
        <v>0.0</v>
      </c>
      <c r="H14" s="70">
        <v>0.0</v>
      </c>
      <c r="I14" s="70">
        <v>0.0</v>
      </c>
      <c r="J14" s="70">
        <v>0.0</v>
      </c>
      <c r="K14" s="72">
        <v>23.337614350211478</v>
      </c>
      <c r="L14" s="72">
        <v>23.337614350211478</v>
      </c>
      <c r="M14" s="72"/>
      <c r="N14" s="72"/>
      <c r="O14" s="72"/>
      <c r="P14" s="72">
        <f>IFERROR('Experimental Results'!$O14/'Experimental Results'!$L14,0)</f>
        <v>0</v>
      </c>
      <c r="Q14" s="70" t="s">
        <v>309</v>
      </c>
      <c r="R14" s="70"/>
      <c r="S14" s="72">
        <v>110.90855</v>
      </c>
      <c r="T14" s="70">
        <v>265.0</v>
      </c>
      <c r="U14" s="70"/>
      <c r="V14" s="70"/>
      <c r="W14" s="73">
        <f t="shared" si="1"/>
        <v>0</v>
      </c>
      <c r="X14" s="74">
        <v>40.93768192</v>
      </c>
      <c r="Y14" s="74">
        <v>6.822946986666667</v>
      </c>
      <c r="Z14" s="27"/>
    </row>
    <row r="15" ht="14.25" customHeight="1">
      <c r="A15" s="27"/>
      <c r="B15" s="70">
        <v>3.0</v>
      </c>
      <c r="C15" s="70">
        <v>11.0</v>
      </c>
      <c r="D15" s="71">
        <v>15.0</v>
      </c>
      <c r="E15" s="66" t="s">
        <v>308</v>
      </c>
      <c r="F15" s="67">
        <v>11.0</v>
      </c>
      <c r="G15" s="70">
        <v>0.0</v>
      </c>
      <c r="H15" s="70">
        <v>0.0</v>
      </c>
      <c r="I15" s="70">
        <v>0.0</v>
      </c>
      <c r="J15" s="70">
        <v>0.0</v>
      </c>
      <c r="K15" s="72">
        <v>24.83690875062037</v>
      </c>
      <c r="L15" s="72">
        <v>24.83690875062037</v>
      </c>
      <c r="M15" s="72"/>
      <c r="N15" s="72"/>
      <c r="O15" s="72"/>
      <c r="P15" s="72">
        <f>IFERROR('Experimental Results'!$O15/'Experimental Results'!$L15,0)</f>
        <v>0</v>
      </c>
      <c r="Q15" s="70" t="s">
        <v>309</v>
      </c>
      <c r="R15" s="70"/>
      <c r="S15" s="72">
        <v>87.1818</v>
      </c>
      <c r="T15" s="70">
        <v>262.0</v>
      </c>
      <c r="U15" s="70"/>
      <c r="V15" s="70"/>
      <c r="W15" s="73">
        <f t="shared" si="1"/>
        <v>0</v>
      </c>
      <c r="X15" s="74">
        <v>40.93768192</v>
      </c>
      <c r="Y15" s="74">
        <v>6.822946986666667</v>
      </c>
      <c r="Z15" s="27"/>
    </row>
    <row r="16" ht="14.25" customHeight="1">
      <c r="A16" s="27"/>
      <c r="B16" s="75">
        <v>4.0</v>
      </c>
      <c r="C16" s="75">
        <v>2.0</v>
      </c>
      <c r="D16" s="75">
        <v>5.0</v>
      </c>
      <c r="E16" s="66" t="s">
        <v>308</v>
      </c>
      <c r="F16" s="67">
        <v>2.0</v>
      </c>
      <c r="G16" s="75">
        <v>-1.0</v>
      </c>
      <c r="H16" s="75">
        <v>-1.0</v>
      </c>
      <c r="I16" s="76">
        <v>-1.0</v>
      </c>
      <c r="J16" s="75">
        <v>-1.0</v>
      </c>
      <c r="K16" s="77">
        <v>116.6593557084319</v>
      </c>
      <c r="L16" s="77">
        <v>40.176509118488646</v>
      </c>
      <c r="M16" s="77">
        <v>168.934299573302</v>
      </c>
      <c r="N16" s="77"/>
      <c r="O16" s="77"/>
      <c r="P16" s="77">
        <f>IFERROR('Experimental Results'!$O16/'Experimental Results'!$L16,0)</f>
        <v>0</v>
      </c>
      <c r="Q16" s="75" t="s">
        <v>310</v>
      </c>
      <c r="R16" s="75"/>
      <c r="S16" s="77">
        <v>21.6167</v>
      </c>
      <c r="T16" s="75"/>
      <c r="U16" s="75"/>
      <c r="V16" s="75">
        <v>2.3844</v>
      </c>
      <c r="W16" s="78">
        <f t="shared" si="1"/>
        <v>0.7948</v>
      </c>
      <c r="X16" s="79">
        <v>22.86226144</v>
      </c>
      <c r="Y16" s="79">
        <v>7.620753813333334</v>
      </c>
      <c r="Z16" s="27"/>
    </row>
    <row r="17" ht="14.25" customHeight="1">
      <c r="A17" s="27"/>
      <c r="B17" s="80">
        <v>5.0</v>
      </c>
      <c r="C17" s="80">
        <v>14.0</v>
      </c>
      <c r="D17" s="80"/>
      <c r="E17" s="66" t="s">
        <v>311</v>
      </c>
      <c r="F17" s="67">
        <v>42.0</v>
      </c>
      <c r="G17" s="80">
        <v>-1.0</v>
      </c>
      <c r="H17" s="80">
        <v>1.0</v>
      </c>
      <c r="I17" s="81">
        <v>-1.0</v>
      </c>
      <c r="J17" s="80">
        <v>-1.0</v>
      </c>
      <c r="K17" s="82">
        <v>90.85482192578095</v>
      </c>
      <c r="L17" s="82">
        <v>23.81163712463474</v>
      </c>
      <c r="M17" s="82">
        <v>147.79560901716545</v>
      </c>
      <c r="N17" s="82"/>
      <c r="O17" s="82"/>
      <c r="P17" s="82">
        <f>IFERROR('Experimental Results'!$O17/'Experimental Results'!$L17,0)</f>
        <v>0</v>
      </c>
      <c r="Q17" s="80" t="s">
        <v>310</v>
      </c>
      <c r="R17" s="80"/>
      <c r="S17" s="82"/>
      <c r="T17" s="80"/>
      <c r="U17" s="80"/>
      <c r="V17" s="80"/>
      <c r="W17" s="80"/>
      <c r="X17" s="83">
        <v>27.649102400000004</v>
      </c>
      <c r="Y17" s="83">
        <v>9.216367466666668</v>
      </c>
      <c r="Z17" s="27"/>
    </row>
    <row r="18" ht="14.25" customHeight="1">
      <c r="A18" s="27"/>
      <c r="B18" s="75">
        <v>6.0</v>
      </c>
      <c r="C18" s="75">
        <v>5.0</v>
      </c>
      <c r="D18" s="75"/>
      <c r="E18" s="66" t="s">
        <v>308</v>
      </c>
      <c r="F18" s="67">
        <v>5.0</v>
      </c>
      <c r="G18" s="75">
        <v>1.0</v>
      </c>
      <c r="H18" s="75">
        <v>1.0</v>
      </c>
      <c r="I18" s="76">
        <v>-1.0</v>
      </c>
      <c r="J18" s="75">
        <v>-1.0</v>
      </c>
      <c r="K18" s="77">
        <v>61.45332449013431</v>
      </c>
      <c r="L18" s="77">
        <v>27.019938650306745</v>
      </c>
      <c r="M18" s="77">
        <v>133.18954498977507</v>
      </c>
      <c r="N18" s="77"/>
      <c r="O18" s="77"/>
      <c r="P18" s="77">
        <f>IFERROR('Experimental Results'!$O18/'Experimental Results'!$L18,0)</f>
        <v>0</v>
      </c>
      <c r="Q18" s="75" t="s">
        <v>310</v>
      </c>
      <c r="R18" s="75"/>
      <c r="S18" s="77">
        <v>62.39035</v>
      </c>
      <c r="T18" s="75"/>
      <c r="U18" s="75"/>
      <c r="V18" s="75">
        <v>7.9746</v>
      </c>
      <c r="W18" s="78">
        <f t="shared" ref="W18:W20" si="2">V18/(HLOOKUP(G18,$E$3:$G$7,2,FALSE))</f>
        <v>0.8860666667</v>
      </c>
      <c r="X18" s="79">
        <v>29.7491024</v>
      </c>
      <c r="Y18" s="79">
        <v>3.3054558222222226</v>
      </c>
      <c r="Z18" s="27"/>
    </row>
    <row r="19" ht="14.25" customHeight="1">
      <c r="A19" s="27"/>
      <c r="B19" s="75">
        <v>7.0</v>
      </c>
      <c r="C19" s="75">
        <v>3.0</v>
      </c>
      <c r="D19" s="75"/>
      <c r="E19" s="66" t="s">
        <v>308</v>
      </c>
      <c r="F19" s="67">
        <v>3.0</v>
      </c>
      <c r="G19" s="75">
        <v>1.0</v>
      </c>
      <c r="H19" s="75">
        <v>-1.0</v>
      </c>
      <c r="I19" s="76">
        <v>-1.0</v>
      </c>
      <c r="J19" s="75">
        <v>1.0</v>
      </c>
      <c r="K19" s="77">
        <v>117.28889316706164</v>
      </c>
      <c r="L19" s="77">
        <v>34.49949031600408</v>
      </c>
      <c r="M19" s="77">
        <v>178.76617251190646</v>
      </c>
      <c r="N19" s="77"/>
      <c r="O19" s="77"/>
      <c r="P19" s="77">
        <f>IFERROR('Experimental Results'!$O19/'Experimental Results'!$L19,0)</f>
        <v>0</v>
      </c>
      <c r="Q19" s="75" t="s">
        <v>310</v>
      </c>
      <c r="R19" s="75"/>
      <c r="S19" s="77">
        <v>148.1896</v>
      </c>
      <c r="T19" s="75"/>
      <c r="U19" s="75"/>
      <c r="V19" s="75"/>
      <c r="W19" s="78">
        <f t="shared" si="2"/>
        <v>0</v>
      </c>
      <c r="X19" s="79">
        <v>54.22626144</v>
      </c>
      <c r="Y19" s="79">
        <v>6.02514016</v>
      </c>
      <c r="Z19" s="27"/>
    </row>
    <row r="20" ht="14.25" customHeight="1">
      <c r="A20" s="27"/>
      <c r="B20" s="75">
        <v>8.0</v>
      </c>
      <c r="C20" s="75">
        <v>4.0</v>
      </c>
      <c r="D20" s="75"/>
      <c r="E20" s="66" t="s">
        <v>308</v>
      </c>
      <c r="F20" s="67">
        <v>4.0</v>
      </c>
      <c r="G20" s="75">
        <v>-1.0</v>
      </c>
      <c r="H20" s="75">
        <v>1.0</v>
      </c>
      <c r="I20" s="76">
        <v>-1.0</v>
      </c>
      <c r="J20" s="75">
        <v>1.0</v>
      </c>
      <c r="K20" s="77">
        <v>38.68301796191532</v>
      </c>
      <c r="L20" s="77">
        <v>38.68301796191532</v>
      </c>
      <c r="M20" s="77"/>
      <c r="N20" s="77"/>
      <c r="O20" s="77"/>
      <c r="P20" s="77">
        <f>IFERROR('Experimental Results'!$O20/'Experimental Results'!$L20,0)</f>
        <v>0</v>
      </c>
      <c r="Q20" s="75" t="s">
        <v>312</v>
      </c>
      <c r="R20" s="75"/>
      <c r="S20" s="77">
        <v>95.5258</v>
      </c>
      <c r="T20" s="75">
        <v>266.0</v>
      </c>
      <c r="U20" s="75"/>
      <c r="V20" s="75"/>
      <c r="W20" s="78">
        <f t="shared" si="2"/>
        <v>0</v>
      </c>
      <c r="X20" s="79">
        <v>56.9131024</v>
      </c>
      <c r="Y20" s="79">
        <v>18.971034133333333</v>
      </c>
      <c r="Z20" s="27"/>
    </row>
    <row r="21" ht="14.25" customHeight="1">
      <c r="A21" s="27"/>
      <c r="B21" s="80">
        <v>9.0</v>
      </c>
      <c r="C21" s="80">
        <v>15.0</v>
      </c>
      <c r="D21" s="80"/>
      <c r="E21" s="66" t="s">
        <v>311</v>
      </c>
      <c r="F21" s="67">
        <v>43.0</v>
      </c>
      <c r="G21" s="80">
        <f t="shared" ref="G21:H21" si="3">1</f>
        <v>1</v>
      </c>
      <c r="H21" s="80">
        <f t="shared" si="3"/>
        <v>1</v>
      </c>
      <c r="I21" s="81">
        <v>-1.0</v>
      </c>
      <c r="J21" s="80">
        <v>1.0</v>
      </c>
      <c r="K21" s="82">
        <v>43.861764599486335</v>
      </c>
      <c r="L21" s="82">
        <v>21.21274590646719</v>
      </c>
      <c r="M21" s="82">
        <v>146.27471868965978</v>
      </c>
      <c r="N21" s="82"/>
      <c r="O21" s="82"/>
      <c r="P21" s="82">
        <f>IFERROR('Experimental Results'!$O21/'Experimental Results'!$L21,0)</f>
        <v>0</v>
      </c>
      <c r="Q21" s="80" t="s">
        <v>310</v>
      </c>
      <c r="R21" s="80"/>
      <c r="S21" s="82"/>
      <c r="T21" s="80"/>
      <c r="U21" s="80"/>
      <c r="V21" s="80"/>
      <c r="W21" s="80"/>
      <c r="X21" s="83">
        <v>59.0131024</v>
      </c>
      <c r="Y21" s="83">
        <v>6.557011377777778</v>
      </c>
      <c r="Z21" s="27"/>
    </row>
    <row r="22" ht="14.25" customHeight="1">
      <c r="A22" s="27"/>
      <c r="B22" s="80">
        <v>10.0</v>
      </c>
      <c r="C22" s="80">
        <v>13.0</v>
      </c>
      <c r="D22" s="80"/>
      <c r="E22" s="66" t="s">
        <v>311</v>
      </c>
      <c r="F22" s="67">
        <v>33.0</v>
      </c>
      <c r="G22" s="80">
        <v>-1.0</v>
      </c>
      <c r="H22" s="80">
        <v>-1.0</v>
      </c>
      <c r="I22" s="84">
        <v>1.0</v>
      </c>
      <c r="J22" s="80">
        <v>-1.0</v>
      </c>
      <c r="K22" s="82">
        <v>26.380006065559197</v>
      </c>
      <c r="L22" s="82">
        <v>26.380006065559197</v>
      </c>
      <c r="M22" s="82"/>
      <c r="N22" s="82"/>
      <c r="O22" s="82"/>
      <c r="P22" s="82">
        <f>IFERROR('Experimental Results'!$O22/'Experimental Results'!$L22,0)</f>
        <v>0</v>
      </c>
      <c r="Q22" s="80" t="s">
        <v>312</v>
      </c>
      <c r="R22" s="80"/>
      <c r="S22" s="82">
        <v>107.8619</v>
      </c>
      <c r="T22" s="80">
        <v>279.0</v>
      </c>
      <c r="U22" s="80"/>
      <c r="V22" s="80"/>
      <c r="W22" s="80">
        <f t="shared" ref="W22:W27" si="4">V22/(HLOOKUP(G22,$E$3:$G$7,2,FALSE))</f>
        <v>0</v>
      </c>
      <c r="X22" s="83">
        <v>22.86226144</v>
      </c>
      <c r="Y22" s="83">
        <v>7.620753813333334</v>
      </c>
      <c r="Z22" s="27"/>
    </row>
    <row r="23" ht="14.25" customHeight="1">
      <c r="A23" s="27"/>
      <c r="B23" s="75">
        <v>11.0</v>
      </c>
      <c r="C23" s="75">
        <v>9.0</v>
      </c>
      <c r="D23" s="75"/>
      <c r="E23" s="66" t="s">
        <v>308</v>
      </c>
      <c r="F23" s="67">
        <v>9.0</v>
      </c>
      <c r="G23" s="75">
        <v>-1.0</v>
      </c>
      <c r="H23" s="75">
        <v>1.0</v>
      </c>
      <c r="I23" s="71">
        <v>1.0</v>
      </c>
      <c r="J23" s="75">
        <v>-1.0</v>
      </c>
      <c r="K23" s="77">
        <v>116.17287181659486</v>
      </c>
      <c r="L23" s="77">
        <v>66.00194801865996</v>
      </c>
      <c r="M23" s="77"/>
      <c r="N23" s="77">
        <v>212.6554175818542</v>
      </c>
      <c r="O23" s="77"/>
      <c r="P23" s="77">
        <f>IFERROR('Experimental Results'!$O23/'Experimental Results'!$L23,0)</f>
        <v>0</v>
      </c>
      <c r="Q23" s="75" t="s">
        <v>313</v>
      </c>
      <c r="R23" s="75"/>
      <c r="S23" s="77">
        <v>126.92895</v>
      </c>
      <c r="T23" s="75">
        <v>285.0</v>
      </c>
      <c r="U23" s="75"/>
      <c r="V23" s="75">
        <v>1.6361</v>
      </c>
      <c r="W23" s="78">
        <f t="shared" si="4"/>
        <v>0.5453666667</v>
      </c>
      <c r="X23" s="79">
        <v>27.649102400000004</v>
      </c>
      <c r="Y23" s="79">
        <v>9.216367466666668</v>
      </c>
      <c r="Z23" s="27"/>
    </row>
    <row r="24" ht="14.25" customHeight="1">
      <c r="A24" s="27"/>
      <c r="B24" s="75">
        <v>12.0</v>
      </c>
      <c r="C24" s="75">
        <v>8.0</v>
      </c>
      <c r="D24" s="75"/>
      <c r="E24" s="66" t="s">
        <v>308</v>
      </c>
      <c r="F24" s="67">
        <v>8.0</v>
      </c>
      <c r="G24" s="75">
        <v>1.0</v>
      </c>
      <c r="H24" s="75">
        <v>-1.0</v>
      </c>
      <c r="I24" s="71">
        <v>1.0</v>
      </c>
      <c r="J24" s="75">
        <v>-1.0</v>
      </c>
      <c r="K24" s="77">
        <v>53.165378532422174</v>
      </c>
      <c r="L24" s="77">
        <v>25.929352108815564</v>
      </c>
      <c r="M24" s="77">
        <v>125.26074259491031</v>
      </c>
      <c r="N24" s="77"/>
      <c r="O24" s="77"/>
      <c r="P24" s="77">
        <f>IFERROR('Experimental Results'!$O24/'Experimental Results'!$L24,0)</f>
        <v>0</v>
      </c>
      <c r="Q24" s="75" t="s">
        <v>310</v>
      </c>
      <c r="R24" s="75"/>
      <c r="S24" s="77">
        <v>54.941</v>
      </c>
      <c r="T24" s="75">
        <v>321.0</v>
      </c>
      <c r="U24" s="85"/>
      <c r="V24" s="75">
        <v>3.4937</v>
      </c>
      <c r="W24" s="78">
        <f t="shared" si="4"/>
        <v>0.3881888889</v>
      </c>
      <c r="X24" s="79">
        <v>24.96226144</v>
      </c>
      <c r="Y24" s="79">
        <v>2.7735846044444443</v>
      </c>
      <c r="Z24" s="27"/>
    </row>
    <row r="25" ht="14.25" customHeight="1">
      <c r="A25" s="27"/>
      <c r="B25" s="75">
        <v>13.0</v>
      </c>
      <c r="C25" s="75">
        <v>7.0</v>
      </c>
      <c r="D25" s="75"/>
      <c r="E25" s="66" t="s">
        <v>308</v>
      </c>
      <c r="F25" s="67">
        <v>7.0</v>
      </c>
      <c r="G25" s="75">
        <v>-1.0</v>
      </c>
      <c r="H25" s="75">
        <v>-1.0</v>
      </c>
      <c r="I25" s="71">
        <v>1.0</v>
      </c>
      <c r="J25" s="75">
        <v>1.0</v>
      </c>
      <c r="K25" s="77">
        <v>80.05257577918171</v>
      </c>
      <c r="L25" s="77">
        <v>23.607963246554363</v>
      </c>
      <c r="M25" s="77">
        <v>102.58545465052445</v>
      </c>
      <c r="N25" s="77">
        <v>159.46662682553327</v>
      </c>
      <c r="O25" s="77"/>
      <c r="P25" s="77">
        <f>IFERROR('Experimental Results'!$O25/'Experimental Results'!$L25,0)</f>
        <v>0</v>
      </c>
      <c r="Q25" s="75" t="s">
        <v>314</v>
      </c>
      <c r="R25" s="75"/>
      <c r="S25" s="77">
        <v>132.4228</v>
      </c>
      <c r="T25" s="75">
        <v>273.0</v>
      </c>
      <c r="U25" s="75"/>
      <c r="V25" s="75"/>
      <c r="W25" s="78">
        <f t="shared" si="4"/>
        <v>0</v>
      </c>
      <c r="X25" s="79">
        <v>52.12626144</v>
      </c>
      <c r="Y25" s="79">
        <v>17.37542048</v>
      </c>
      <c r="Z25" s="27"/>
    </row>
    <row r="26" ht="14.25" customHeight="1">
      <c r="A26" s="27"/>
      <c r="B26" s="80">
        <v>14.0</v>
      </c>
      <c r="C26" s="80">
        <v>12.0</v>
      </c>
      <c r="D26" s="80"/>
      <c r="E26" s="66" t="s">
        <v>311</v>
      </c>
      <c r="F26" s="67">
        <v>32.0</v>
      </c>
      <c r="G26" s="80">
        <v>-1.0</v>
      </c>
      <c r="H26" s="80">
        <v>1.0</v>
      </c>
      <c r="I26" s="84">
        <v>1.0</v>
      </c>
      <c r="J26" s="80">
        <v>1.0</v>
      </c>
      <c r="K26" s="82">
        <v>144.5091626897952</v>
      </c>
      <c r="L26" s="82">
        <v>72.86250973160249</v>
      </c>
      <c r="M26" s="82"/>
      <c r="N26" s="82">
        <v>201.3147232495051</v>
      </c>
      <c r="O26" s="82"/>
      <c r="P26" s="82">
        <f>IFERROR('Experimental Results'!$O26/'Experimental Results'!$L26,0)</f>
        <v>0</v>
      </c>
      <c r="Q26" s="80" t="s">
        <v>313</v>
      </c>
      <c r="R26" s="80"/>
      <c r="S26" s="82">
        <v>123.1414</v>
      </c>
      <c r="T26" s="80">
        <v>311.0</v>
      </c>
      <c r="U26" s="80"/>
      <c r="V26" s="80"/>
      <c r="W26" s="80">
        <f t="shared" si="4"/>
        <v>0</v>
      </c>
      <c r="X26" s="83">
        <v>56.9131024</v>
      </c>
      <c r="Y26" s="83">
        <v>18.971034133333333</v>
      </c>
      <c r="Z26" s="27"/>
    </row>
    <row r="27" ht="14.25" customHeight="1">
      <c r="A27" s="27"/>
      <c r="B27" s="75">
        <v>15.0</v>
      </c>
      <c r="C27" s="75">
        <v>10.0</v>
      </c>
      <c r="D27" s="86">
        <v>23.0</v>
      </c>
      <c r="E27" s="66" t="s">
        <v>308</v>
      </c>
      <c r="F27" s="67">
        <v>10.0</v>
      </c>
      <c r="G27" s="75">
        <v>1.0</v>
      </c>
      <c r="H27" s="75">
        <v>1.0</v>
      </c>
      <c r="I27" s="71">
        <v>1.0</v>
      </c>
      <c r="J27" s="75">
        <v>1.0</v>
      </c>
      <c r="K27" s="77">
        <v>175.6981732647967</v>
      </c>
      <c r="L27" s="77">
        <v>70.67858907124904</v>
      </c>
      <c r="M27" s="77"/>
      <c r="N27" s="77">
        <v>324.3256039676622</v>
      </c>
      <c r="O27" s="77"/>
      <c r="P27" s="77">
        <f>IFERROR('Experimental Results'!$O27/'Experimental Results'!$L27,0)</f>
        <v>0</v>
      </c>
      <c r="Q27" s="75" t="s">
        <v>313</v>
      </c>
      <c r="R27" s="75"/>
      <c r="S27" s="77">
        <v>316.5091</v>
      </c>
      <c r="T27" s="75"/>
      <c r="U27" s="75"/>
      <c r="V27" s="75"/>
      <c r="W27" s="78">
        <f t="shared" si="4"/>
        <v>0</v>
      </c>
      <c r="X27" s="79">
        <v>59.0131024</v>
      </c>
      <c r="Y27" s="79">
        <v>6.557011377777778</v>
      </c>
      <c r="Z27" s="27"/>
    </row>
    <row r="28" ht="14.25" customHeight="1">
      <c r="A28" s="27"/>
      <c r="B28" s="87">
        <v>16.0</v>
      </c>
      <c r="C28" s="87"/>
      <c r="D28" s="87"/>
      <c r="E28" s="66" t="s">
        <v>315</v>
      </c>
      <c r="F28" s="67">
        <v>34.0</v>
      </c>
      <c r="G28" s="87">
        <v>-1.0</v>
      </c>
      <c r="H28" s="87">
        <v>0.0</v>
      </c>
      <c r="I28" s="87">
        <v>0.0</v>
      </c>
      <c r="J28" s="87">
        <v>0.0</v>
      </c>
      <c r="K28" s="88">
        <v>17.404441725919742</v>
      </c>
      <c r="L28" s="88">
        <v>17.404441725919742</v>
      </c>
      <c r="M28" s="88"/>
      <c r="N28" s="88"/>
      <c r="O28" s="88">
        <v>386.23399707242265</v>
      </c>
      <c r="P28" s="88">
        <f>IFERROR('Experimental Results'!$O28/'Experimental Results'!$L28,0)</f>
        <v>22.19169124</v>
      </c>
      <c r="Q28" s="87" t="s">
        <v>316</v>
      </c>
      <c r="R28" s="87"/>
      <c r="S28" s="88">
        <v>95.16585</v>
      </c>
      <c r="T28" s="87">
        <v>272.0</v>
      </c>
      <c r="U28" s="87"/>
      <c r="V28" s="87"/>
      <c r="W28" s="87"/>
      <c r="X28" s="89">
        <v>39.88768192</v>
      </c>
      <c r="Y28" s="89">
        <v>13.295893973333333</v>
      </c>
      <c r="Z28" s="27"/>
    </row>
    <row r="29" ht="14.25" customHeight="1">
      <c r="A29" s="27"/>
      <c r="B29" s="87">
        <v>17.0</v>
      </c>
      <c r="C29" s="87"/>
      <c r="D29" s="87"/>
      <c r="E29" s="66" t="s">
        <v>315</v>
      </c>
      <c r="F29" s="67">
        <v>35.0</v>
      </c>
      <c r="G29" s="87">
        <v>1.0</v>
      </c>
      <c r="H29" s="87">
        <v>0.0</v>
      </c>
      <c r="I29" s="87">
        <v>0.0</v>
      </c>
      <c r="J29" s="87">
        <v>0.0</v>
      </c>
      <c r="K29" s="88">
        <v>20.810681813230666</v>
      </c>
      <c r="L29" s="88">
        <v>20.810681813230666</v>
      </c>
      <c r="M29" s="88"/>
      <c r="N29" s="88"/>
      <c r="O29" s="88">
        <v>438.09908938413616</v>
      </c>
      <c r="P29" s="88">
        <f>IFERROR('Experimental Results'!$O29/'Experimental Results'!$L29,0)</f>
        <v>21.05164518</v>
      </c>
      <c r="Q29" s="87" t="s">
        <v>316</v>
      </c>
      <c r="R29" s="87"/>
      <c r="S29" s="88">
        <v>231.1489</v>
      </c>
      <c r="T29" s="87">
        <v>292.0</v>
      </c>
      <c r="U29" s="87"/>
      <c r="V29" s="87"/>
      <c r="W29" s="87"/>
      <c r="X29" s="89">
        <v>41.98768192</v>
      </c>
      <c r="Y29" s="89">
        <v>4.665297991111111</v>
      </c>
      <c r="Z29" s="27"/>
    </row>
    <row r="30" ht="14.25" customHeight="1">
      <c r="A30" s="27"/>
      <c r="B30" s="87">
        <v>18.0</v>
      </c>
      <c r="C30" s="87"/>
      <c r="D30" s="87"/>
      <c r="E30" s="66" t="s">
        <v>315</v>
      </c>
      <c r="F30" s="67">
        <v>36.0</v>
      </c>
      <c r="G30" s="87">
        <v>0.0</v>
      </c>
      <c r="H30" s="87">
        <v>-1.0</v>
      </c>
      <c r="I30" s="87">
        <v>0.0</v>
      </c>
      <c r="J30" s="87">
        <v>0.0</v>
      </c>
      <c r="K30" s="88">
        <v>18.935135388737628</v>
      </c>
      <c r="L30" s="88">
        <v>18.935135388737628</v>
      </c>
      <c r="M30" s="88"/>
      <c r="N30" s="88"/>
      <c r="O30" s="88">
        <v>424.78432782171103</v>
      </c>
      <c r="P30" s="88">
        <f>IFERROR('Experimental Results'!$O30/'Experimental Results'!$L30,0)</f>
        <v>22.43365675</v>
      </c>
      <c r="Q30" s="87" t="s">
        <v>316</v>
      </c>
      <c r="R30" s="87"/>
      <c r="S30" s="88">
        <v>253.4739</v>
      </c>
      <c r="T30" s="87">
        <v>260.0</v>
      </c>
      <c r="U30" s="87"/>
      <c r="V30" s="87"/>
      <c r="W30" s="87"/>
      <c r="X30" s="89">
        <v>38.54426144</v>
      </c>
      <c r="Y30" s="89">
        <v>6.424043573333333</v>
      </c>
      <c r="Z30" s="27"/>
    </row>
    <row r="31" ht="14.25" customHeight="1">
      <c r="A31" s="27"/>
      <c r="B31" s="87">
        <v>19.0</v>
      </c>
      <c r="C31" s="87"/>
      <c r="D31" s="87"/>
      <c r="E31" s="66" t="s">
        <v>315</v>
      </c>
      <c r="F31" s="67">
        <v>37.0</v>
      </c>
      <c r="G31" s="87">
        <v>0.0</v>
      </c>
      <c r="H31" s="87">
        <v>1.0</v>
      </c>
      <c r="I31" s="87">
        <v>0.0</v>
      </c>
      <c r="J31" s="87">
        <v>0.0</v>
      </c>
      <c r="K31" s="88">
        <v>17.44315941648048</v>
      </c>
      <c r="L31" s="88">
        <v>17.44315941648048</v>
      </c>
      <c r="M31" s="88"/>
      <c r="N31" s="88"/>
      <c r="O31" s="88">
        <v>262.09094493363125</v>
      </c>
      <c r="P31" s="88">
        <f>IFERROR('Experimental Results'!$O31/'Experimental Results'!$L31,0)</f>
        <v>15.02542852</v>
      </c>
      <c r="Q31" s="87" t="s">
        <v>316</v>
      </c>
      <c r="R31" s="87"/>
      <c r="S31" s="88">
        <v>227.4698</v>
      </c>
      <c r="T31" s="87">
        <v>269.0</v>
      </c>
      <c r="U31" s="87"/>
      <c r="V31" s="87"/>
      <c r="W31" s="87"/>
      <c r="X31" s="89">
        <v>43.3311024</v>
      </c>
      <c r="Y31" s="89">
        <v>7.2218504</v>
      </c>
      <c r="Z31" s="27"/>
    </row>
    <row r="32" ht="14.25" customHeight="1">
      <c r="A32" s="27"/>
      <c r="B32" s="87">
        <v>20.0</v>
      </c>
      <c r="C32" s="87"/>
      <c r="D32" s="87"/>
      <c r="E32" s="66" t="s">
        <v>315</v>
      </c>
      <c r="F32" s="67">
        <v>38.0</v>
      </c>
      <c r="G32" s="87">
        <v>0.0</v>
      </c>
      <c r="H32" s="87">
        <v>0.0</v>
      </c>
      <c r="I32" s="87">
        <v>-1.0</v>
      </c>
      <c r="J32" s="87">
        <v>0.0</v>
      </c>
      <c r="K32" s="88">
        <v>105.22269939134621</v>
      </c>
      <c r="L32" s="88">
        <v>24.966007416563667</v>
      </c>
      <c r="M32" s="88">
        <v>120.07198623914555</v>
      </c>
      <c r="N32" s="88"/>
      <c r="O32" s="88">
        <v>152.63431874845887</v>
      </c>
      <c r="P32" s="88">
        <f>IFERROR('Experimental Results'!$O32/'Experimental Results'!$L32,0)</f>
        <v>6.113685549</v>
      </c>
      <c r="Q32" s="87" t="s">
        <v>310</v>
      </c>
      <c r="R32" s="87"/>
      <c r="S32" s="88">
        <v>75.8375</v>
      </c>
      <c r="T32" s="87"/>
      <c r="U32" s="87"/>
      <c r="V32" s="87"/>
      <c r="W32" s="87"/>
      <c r="X32" s="89">
        <v>40.93768192</v>
      </c>
      <c r="Y32" s="89">
        <v>6.822946986666667</v>
      </c>
      <c r="Z32" s="27"/>
    </row>
    <row r="33" ht="14.25" customHeight="1">
      <c r="A33" s="27"/>
      <c r="B33" s="87">
        <v>21.0</v>
      </c>
      <c r="C33" s="87"/>
      <c r="D33" s="87"/>
      <c r="E33" s="66" t="s">
        <v>315</v>
      </c>
      <c r="F33" s="67">
        <v>39.0</v>
      </c>
      <c r="G33" s="87">
        <v>0.0</v>
      </c>
      <c r="H33" s="87">
        <v>0.0</v>
      </c>
      <c r="I33" s="87">
        <v>1.0</v>
      </c>
      <c r="J33" s="87">
        <v>0.0</v>
      </c>
      <c r="K33" s="88">
        <v>171.42836386308636</v>
      </c>
      <c r="L33" s="88">
        <v>81.26405017658296</v>
      </c>
      <c r="M33" s="88"/>
      <c r="N33" s="88">
        <v>190.26015089887505</v>
      </c>
      <c r="O33" s="88">
        <v>7931.0842822398035</v>
      </c>
      <c r="P33" s="88">
        <f>IFERROR('Experimental Results'!$O33/'Experimental Results'!$L33,0)</f>
        <v>97.59646812</v>
      </c>
      <c r="Q33" s="87" t="s">
        <v>317</v>
      </c>
      <c r="R33" s="87"/>
      <c r="S33" s="88">
        <v>206.0112</v>
      </c>
      <c r="T33" s="87">
        <v>292.0</v>
      </c>
      <c r="U33" s="87"/>
      <c r="V33" s="87"/>
      <c r="W33" s="87"/>
      <c r="X33" s="89">
        <v>40.93768192</v>
      </c>
      <c r="Y33" s="89">
        <v>6.822946986666667</v>
      </c>
      <c r="Z33" s="27"/>
    </row>
    <row r="34" ht="14.25" customHeight="1">
      <c r="A34" s="27"/>
      <c r="B34" s="87">
        <v>22.0</v>
      </c>
      <c r="C34" s="87"/>
      <c r="D34" s="71">
        <v>12.0</v>
      </c>
      <c r="E34" s="66" t="s">
        <v>315</v>
      </c>
      <c r="F34" s="67">
        <v>40.0</v>
      </c>
      <c r="G34" s="87">
        <v>0.0</v>
      </c>
      <c r="H34" s="87">
        <v>0.0</v>
      </c>
      <c r="I34" s="87">
        <v>0.0</v>
      </c>
      <c r="J34" s="87">
        <v>-1.0</v>
      </c>
      <c r="K34" s="88">
        <v>27.6137292908703</v>
      </c>
      <c r="L34" s="88">
        <v>18.420844276061665</v>
      </c>
      <c r="M34" s="88">
        <v>62.59776393055876</v>
      </c>
      <c r="N34" s="88"/>
      <c r="O34" s="88">
        <v>105.90971143803759</v>
      </c>
      <c r="P34" s="88">
        <f>IFERROR('Experimental Results'!$O34/'Experimental Results'!$L34,0)</f>
        <v>5.749449366</v>
      </c>
      <c r="Q34" s="87" t="s">
        <v>310</v>
      </c>
      <c r="R34" s="87"/>
      <c r="S34" s="88">
        <v>97.0202</v>
      </c>
      <c r="T34" s="87">
        <v>288.0</v>
      </c>
      <c r="U34" s="87"/>
      <c r="V34" s="87"/>
      <c r="W34" s="87"/>
      <c r="X34" s="89">
        <v>26.305681919999998</v>
      </c>
      <c r="Y34" s="89">
        <v>4.384280319999999</v>
      </c>
      <c r="Z34" s="27"/>
    </row>
    <row r="35" ht="14.25" customHeight="1">
      <c r="A35" s="27"/>
      <c r="B35" s="87">
        <v>23.0</v>
      </c>
      <c r="C35" s="87"/>
      <c r="D35" s="71">
        <v>16.0</v>
      </c>
      <c r="E35" s="66" t="s">
        <v>315</v>
      </c>
      <c r="F35" s="67">
        <v>41.0</v>
      </c>
      <c r="G35" s="87">
        <v>0.0</v>
      </c>
      <c r="H35" s="87">
        <v>0.0</v>
      </c>
      <c r="I35" s="87">
        <v>0.0</v>
      </c>
      <c r="J35" s="87">
        <v>1.0</v>
      </c>
      <c r="K35" s="88">
        <v>26.866022927983465</v>
      </c>
      <c r="L35" s="88">
        <v>26.866022927983465</v>
      </c>
      <c r="M35" s="88"/>
      <c r="N35" s="88"/>
      <c r="O35" s="88">
        <v>168.88898337514357</v>
      </c>
      <c r="P35" s="88">
        <f>IFERROR('Experimental Results'!$O35/'Experimental Results'!$L35,0)</f>
        <v>6.286341072</v>
      </c>
      <c r="Q35" s="87" t="s">
        <v>312</v>
      </c>
      <c r="R35" s="87"/>
      <c r="S35" s="88">
        <v>30.6343</v>
      </c>
      <c r="T35" s="87">
        <v>280.0</v>
      </c>
      <c r="U35" s="87"/>
      <c r="V35" s="87"/>
      <c r="W35" s="87"/>
      <c r="X35" s="89">
        <v>55.56968192</v>
      </c>
      <c r="Y35" s="89">
        <v>9.261613653333333</v>
      </c>
      <c r="Z35" s="27"/>
    </row>
    <row r="36" ht="14.25" customHeight="1">
      <c r="A36" s="27"/>
      <c r="B36" s="90">
        <v>24.0</v>
      </c>
      <c r="C36" s="90"/>
      <c r="D36" s="75">
        <v>1.0</v>
      </c>
      <c r="E36" s="66" t="s">
        <v>318</v>
      </c>
      <c r="F36" s="67">
        <v>21.0</v>
      </c>
      <c r="G36" s="90">
        <v>-1.0</v>
      </c>
      <c r="H36" s="90">
        <v>1.0</v>
      </c>
      <c r="I36" s="90">
        <v>-1.0</v>
      </c>
      <c r="J36" s="90">
        <v>0.5</v>
      </c>
      <c r="K36" s="91"/>
      <c r="L36" s="91"/>
      <c r="M36" s="91"/>
      <c r="N36" s="91"/>
      <c r="O36" s="91"/>
      <c r="P36" s="91">
        <f>IFERROR('Experimental Results'!$O36/'Experimental Results'!$L36,0)</f>
        <v>0</v>
      </c>
      <c r="Q36" s="90"/>
      <c r="R36" s="90"/>
      <c r="S36" s="90"/>
      <c r="T36" s="90"/>
      <c r="U36" s="90"/>
      <c r="V36" s="90"/>
      <c r="W36" s="90"/>
      <c r="X36" s="92">
        <v>13.78489216</v>
      </c>
      <c r="Y36" s="92">
        <v>4.594964053333333</v>
      </c>
      <c r="Z36" s="27"/>
    </row>
    <row r="37" ht="14.25" customHeight="1">
      <c r="A37" s="27"/>
      <c r="B37" s="90">
        <v>25.0</v>
      </c>
      <c r="C37" s="90"/>
      <c r="D37" s="75">
        <v>2.0</v>
      </c>
      <c r="E37" s="66" t="s">
        <v>318</v>
      </c>
      <c r="F37" s="67">
        <v>12.0</v>
      </c>
      <c r="G37" s="90">
        <v>-1.0</v>
      </c>
      <c r="H37" s="90">
        <v>1.0</v>
      </c>
      <c r="I37" s="90">
        <v>-1.0</v>
      </c>
      <c r="J37" s="90">
        <v>1.0</v>
      </c>
      <c r="K37" s="91">
        <v>176.8</v>
      </c>
      <c r="L37" s="91"/>
      <c r="M37" s="91">
        <v>176.8</v>
      </c>
      <c r="N37" s="91"/>
      <c r="O37" s="91"/>
      <c r="P37" s="91">
        <f>IFERROR('Experimental Results'!$O37/'Experimental Results'!$L37,0)</f>
        <v>0</v>
      </c>
      <c r="Q37" s="90"/>
      <c r="R37" s="90"/>
      <c r="S37" s="90"/>
      <c r="T37" s="90"/>
      <c r="U37" s="90"/>
      <c r="V37" s="90"/>
      <c r="W37" s="90"/>
      <c r="X37" s="92">
        <v>14.69939216</v>
      </c>
      <c r="Y37" s="92">
        <v>4.899797386666667</v>
      </c>
      <c r="Z37" s="27"/>
    </row>
    <row r="38" ht="14.25" customHeight="1">
      <c r="A38" s="27"/>
      <c r="B38" s="90">
        <v>26.0</v>
      </c>
      <c r="C38" s="90"/>
      <c r="D38" s="75">
        <v>3.0</v>
      </c>
      <c r="E38" s="66" t="s">
        <v>318</v>
      </c>
      <c r="F38" s="67">
        <v>13.0</v>
      </c>
      <c r="G38" s="90">
        <v>-1.0</v>
      </c>
      <c r="H38" s="90">
        <v>1.0</v>
      </c>
      <c r="I38" s="90">
        <v>-1.0</v>
      </c>
      <c r="J38" s="90">
        <v>2.0</v>
      </c>
      <c r="K38" s="91">
        <v>163.66</v>
      </c>
      <c r="L38" s="91"/>
      <c r="M38" s="91">
        <v>163.66</v>
      </c>
      <c r="N38" s="91"/>
      <c r="O38" s="91"/>
      <c r="P38" s="91">
        <f>IFERROR('Experimental Results'!$O38/'Experimental Results'!$L38,0)</f>
        <v>0</v>
      </c>
      <c r="Q38" s="90"/>
      <c r="R38" s="90"/>
      <c r="S38" s="90"/>
      <c r="T38" s="90"/>
      <c r="U38" s="90"/>
      <c r="V38" s="90"/>
      <c r="W38" s="90"/>
      <c r="X38" s="92">
        <v>16.52839216</v>
      </c>
      <c r="Y38" s="92">
        <v>5.509464053333333</v>
      </c>
      <c r="Z38" s="27"/>
    </row>
    <row r="39" ht="14.25" customHeight="1">
      <c r="A39" s="27"/>
      <c r="B39" s="90">
        <v>27.0</v>
      </c>
      <c r="C39" s="90"/>
      <c r="D39" s="75">
        <v>4.0</v>
      </c>
      <c r="E39" s="66" t="s">
        <v>318</v>
      </c>
      <c r="F39" s="67">
        <v>14.0</v>
      </c>
      <c r="G39" s="90">
        <v>-1.0</v>
      </c>
      <c r="H39" s="90">
        <v>1.0</v>
      </c>
      <c r="I39" s="90">
        <v>-1.0</v>
      </c>
      <c r="J39" s="90">
        <v>4.0</v>
      </c>
      <c r="K39" s="91">
        <v>145.69</v>
      </c>
      <c r="L39" s="91"/>
      <c r="M39" s="91">
        <v>145.69</v>
      </c>
      <c r="N39" s="91"/>
      <c r="O39" s="91"/>
      <c r="P39" s="91">
        <f>IFERROR('Experimental Results'!$O39/'Experimental Results'!$L39,0)</f>
        <v>0</v>
      </c>
      <c r="Q39" s="90"/>
      <c r="R39" s="90"/>
      <c r="S39" s="90"/>
      <c r="T39" s="90"/>
      <c r="U39" s="90"/>
      <c r="V39" s="90"/>
      <c r="W39" s="90"/>
      <c r="X39" s="92">
        <v>20.18639216</v>
      </c>
      <c r="Y39" s="92">
        <v>6.728797386666667</v>
      </c>
      <c r="Z39" s="27"/>
    </row>
    <row r="40" ht="14.25" customHeight="1">
      <c r="A40" s="27"/>
      <c r="B40" s="90">
        <v>28.0</v>
      </c>
      <c r="C40" s="90"/>
      <c r="D40" s="75">
        <v>6.0</v>
      </c>
      <c r="E40" s="66" t="s">
        <v>318</v>
      </c>
      <c r="F40" s="67">
        <v>22.0</v>
      </c>
      <c r="G40" s="90">
        <v>-1.0</v>
      </c>
      <c r="H40" s="90">
        <v>1.0</v>
      </c>
      <c r="I40" s="90">
        <v>-1.0</v>
      </c>
      <c r="J40" s="90">
        <v>16.0</v>
      </c>
      <c r="K40" s="91">
        <v>84.95</v>
      </c>
      <c r="L40" s="91">
        <v>31.92</v>
      </c>
      <c r="M40" s="91">
        <v>110.94</v>
      </c>
      <c r="N40" s="91"/>
      <c r="O40" s="91">
        <v>288.27</v>
      </c>
      <c r="P40" s="91">
        <f>IFERROR('Experimental Results'!$O40/'Experimental Results'!$L40,0)</f>
        <v>9.031015038</v>
      </c>
      <c r="Q40" s="90"/>
      <c r="R40" s="90"/>
      <c r="S40" s="90"/>
      <c r="T40" s="90"/>
      <c r="U40" s="90"/>
      <c r="V40" s="90"/>
      <c r="W40" s="90"/>
      <c r="X40" s="92">
        <v>42.13439216</v>
      </c>
      <c r="Y40" s="92">
        <v>14.044797386666666</v>
      </c>
      <c r="Z40" s="27"/>
    </row>
    <row r="41" ht="14.25" customHeight="1">
      <c r="A41" s="27"/>
      <c r="B41" s="90">
        <v>29.0</v>
      </c>
      <c r="C41" s="90"/>
      <c r="D41" s="75">
        <v>7.0</v>
      </c>
      <c r="E41" s="66" t="s">
        <v>318</v>
      </c>
      <c r="F41" s="67">
        <v>31.0</v>
      </c>
      <c r="G41" s="90">
        <v>-1.0</v>
      </c>
      <c r="H41" s="90">
        <v>1.0</v>
      </c>
      <c r="I41" s="90">
        <v>-1.0</v>
      </c>
      <c r="J41" s="90">
        <v>24.0</v>
      </c>
      <c r="K41" s="91">
        <v>84.55</v>
      </c>
      <c r="L41" s="91">
        <v>20.92</v>
      </c>
      <c r="M41" s="91">
        <v>145.47</v>
      </c>
      <c r="N41" s="91"/>
      <c r="O41" s="91">
        <v>230.76</v>
      </c>
      <c r="P41" s="91">
        <f>IFERROR('Experimental Results'!$O41/'Experimental Results'!$L41,0)</f>
        <v>11.03059273</v>
      </c>
      <c r="Q41" s="90"/>
      <c r="R41" s="90"/>
      <c r="S41" s="90"/>
      <c r="T41" s="90"/>
      <c r="U41" s="90"/>
      <c r="V41" s="90"/>
      <c r="W41" s="90"/>
      <c r="X41" s="92">
        <v>56.76639216</v>
      </c>
      <c r="Y41" s="92">
        <v>18.922130720000002</v>
      </c>
      <c r="Z41" s="27"/>
    </row>
    <row r="42" ht="14.25" customHeight="1">
      <c r="A42" s="27"/>
      <c r="B42" s="90">
        <v>30.0</v>
      </c>
      <c r="C42" s="90"/>
      <c r="D42" s="71">
        <v>8.0</v>
      </c>
      <c r="E42" s="66" t="s">
        <v>318</v>
      </c>
      <c r="F42" s="67">
        <v>23.0</v>
      </c>
      <c r="G42" s="90">
        <v>0.0</v>
      </c>
      <c r="H42" s="90">
        <v>0.0</v>
      </c>
      <c r="I42" s="90">
        <v>0.0</v>
      </c>
      <c r="J42" s="90">
        <v>0.5</v>
      </c>
      <c r="K42" s="91">
        <v>159.25</v>
      </c>
      <c r="L42" s="91"/>
      <c r="M42" s="91">
        <v>159.25</v>
      </c>
      <c r="N42" s="91"/>
      <c r="O42" s="91"/>
      <c r="P42" s="91">
        <f>IFERROR('Experimental Results'!$O42/'Experimental Results'!$L42,0)</f>
        <v>0</v>
      </c>
      <c r="Q42" s="90"/>
      <c r="R42" s="90"/>
      <c r="S42" s="90"/>
      <c r="T42" s="90"/>
      <c r="U42" s="90"/>
      <c r="V42" s="90"/>
      <c r="W42" s="90"/>
      <c r="X42" s="92">
        <v>10.89476144</v>
      </c>
      <c r="Y42" s="92">
        <v>1.8157935733333332</v>
      </c>
      <c r="Z42" s="27"/>
    </row>
    <row r="43" ht="14.25" customHeight="1">
      <c r="A43" s="27"/>
      <c r="B43" s="90">
        <v>31.0</v>
      </c>
      <c r="C43" s="90"/>
      <c r="D43" s="71">
        <v>9.0</v>
      </c>
      <c r="E43" s="66" t="s">
        <v>318</v>
      </c>
      <c r="F43" s="67">
        <v>15.0</v>
      </c>
      <c r="G43" s="90">
        <v>0.0</v>
      </c>
      <c r="H43" s="90">
        <v>0.0</v>
      </c>
      <c r="I43" s="90">
        <v>0.0</v>
      </c>
      <c r="J43" s="90">
        <v>1.0</v>
      </c>
      <c r="K43" s="91">
        <v>129.59</v>
      </c>
      <c r="L43" s="91"/>
      <c r="M43" s="91">
        <v>129.59</v>
      </c>
      <c r="N43" s="91"/>
      <c r="O43" s="91"/>
      <c r="P43" s="91">
        <f>IFERROR('Experimental Results'!$O43/'Experimental Results'!$L43,0)</f>
        <v>0</v>
      </c>
      <c r="Q43" s="90"/>
      <c r="R43" s="90"/>
      <c r="S43" s="90"/>
      <c r="T43" s="90"/>
      <c r="U43" s="90"/>
      <c r="V43" s="90"/>
      <c r="W43" s="90"/>
      <c r="X43" s="92">
        <v>11.80926144</v>
      </c>
      <c r="Y43" s="92">
        <v>1.96821024</v>
      </c>
      <c r="Z43" s="27"/>
    </row>
    <row r="44" ht="14.25" customHeight="1">
      <c r="A44" s="27"/>
      <c r="B44" s="90">
        <v>32.0</v>
      </c>
      <c r="C44" s="90"/>
      <c r="D44" s="71">
        <v>10.0</v>
      </c>
      <c r="E44" s="66" t="s">
        <v>318</v>
      </c>
      <c r="F44" s="67">
        <v>16.0</v>
      </c>
      <c r="G44" s="90">
        <v>0.0</v>
      </c>
      <c r="H44" s="90">
        <v>0.0</v>
      </c>
      <c r="I44" s="90">
        <v>0.0</v>
      </c>
      <c r="J44" s="90">
        <v>2.0</v>
      </c>
      <c r="K44" s="91">
        <v>123.06</v>
      </c>
      <c r="L44" s="91"/>
      <c r="M44" s="91">
        <v>123.06</v>
      </c>
      <c r="N44" s="91"/>
      <c r="O44" s="91"/>
      <c r="P44" s="91">
        <f>IFERROR('Experimental Results'!$O44/'Experimental Results'!$L44,0)</f>
        <v>0</v>
      </c>
      <c r="Q44" s="90"/>
      <c r="R44" s="90"/>
      <c r="S44" s="90"/>
      <c r="T44" s="90"/>
      <c r="U44" s="90"/>
      <c r="V44" s="90"/>
      <c r="W44" s="90"/>
      <c r="X44" s="92">
        <v>13.638261439999999</v>
      </c>
      <c r="Y44" s="92">
        <v>2.273043573333333</v>
      </c>
      <c r="Z44" s="27"/>
    </row>
    <row r="45" ht="14.25" customHeight="1">
      <c r="A45" s="27"/>
      <c r="B45" s="90">
        <v>33.0</v>
      </c>
      <c r="C45" s="90"/>
      <c r="D45" s="71">
        <v>11.0</v>
      </c>
      <c r="E45" s="66" t="s">
        <v>318</v>
      </c>
      <c r="F45" s="67">
        <v>17.0</v>
      </c>
      <c r="G45" s="90">
        <v>0.0</v>
      </c>
      <c r="H45" s="90">
        <v>0.0</v>
      </c>
      <c r="I45" s="90">
        <v>0.0</v>
      </c>
      <c r="J45" s="90">
        <v>4.0</v>
      </c>
      <c r="K45" s="91">
        <v>45.52</v>
      </c>
      <c r="L45" s="91">
        <v>45.52</v>
      </c>
      <c r="M45" s="91"/>
      <c r="N45" s="91"/>
      <c r="O45" s="91">
        <v>302.82</v>
      </c>
      <c r="P45" s="91">
        <f>IFERROR('Experimental Results'!$O45/'Experimental Results'!$L45,0)</f>
        <v>6.652460457</v>
      </c>
      <c r="Q45" s="90"/>
      <c r="R45" s="90"/>
      <c r="S45" s="90"/>
      <c r="T45" s="90"/>
      <c r="U45" s="90"/>
      <c r="V45" s="90"/>
      <c r="W45" s="90"/>
      <c r="X45" s="92">
        <v>17.29626144</v>
      </c>
      <c r="Y45" s="92">
        <v>2.8827102399999998</v>
      </c>
      <c r="Z45" s="27"/>
    </row>
    <row r="46" ht="14.25" customHeight="1">
      <c r="A46" s="27"/>
      <c r="B46" s="90">
        <v>34.0</v>
      </c>
      <c r="C46" s="90"/>
      <c r="D46" s="86">
        <v>17.0</v>
      </c>
      <c r="E46" s="66" t="s">
        <v>318</v>
      </c>
      <c r="F46" s="67">
        <v>26.0</v>
      </c>
      <c r="G46" s="90">
        <v>1.0</v>
      </c>
      <c r="H46" s="90">
        <v>1.0</v>
      </c>
      <c r="I46" s="90">
        <v>1.0</v>
      </c>
      <c r="J46" s="90">
        <v>0.5</v>
      </c>
      <c r="K46" s="91">
        <v>117.66</v>
      </c>
      <c r="L46" s="91"/>
      <c r="M46" s="91">
        <v>117.66</v>
      </c>
      <c r="N46" s="91"/>
      <c r="O46" s="91"/>
      <c r="P46" s="91">
        <f>IFERROR('Experimental Results'!$O46/'Experimental Results'!$L46,0)</f>
        <v>0</v>
      </c>
      <c r="Q46" s="90"/>
      <c r="R46" s="90"/>
      <c r="S46" s="90"/>
      <c r="T46" s="90"/>
      <c r="U46" s="90"/>
      <c r="V46" s="90"/>
      <c r="W46" s="90"/>
      <c r="X46" s="92">
        <v>15.18489216</v>
      </c>
      <c r="Y46" s="92">
        <v>1.68721024</v>
      </c>
      <c r="Z46" s="27"/>
    </row>
    <row r="47" ht="14.25" customHeight="1">
      <c r="A47" s="27"/>
      <c r="B47" s="90">
        <v>35.0</v>
      </c>
      <c r="C47" s="90"/>
      <c r="D47" s="86">
        <v>18.0</v>
      </c>
      <c r="E47" s="66" t="s">
        <v>318</v>
      </c>
      <c r="F47" s="67">
        <v>18.0</v>
      </c>
      <c r="G47" s="90">
        <v>1.0</v>
      </c>
      <c r="H47" s="90">
        <v>1.0</v>
      </c>
      <c r="I47" s="90">
        <v>1.0</v>
      </c>
      <c r="J47" s="90">
        <v>1.0</v>
      </c>
      <c r="K47" s="91">
        <v>65.64</v>
      </c>
      <c r="L47" s="91">
        <v>14.37</v>
      </c>
      <c r="M47" s="91">
        <v>129.55</v>
      </c>
      <c r="N47" s="91"/>
      <c r="O47" s="91">
        <v>117.51</v>
      </c>
      <c r="P47" s="91">
        <f>IFERROR('Experimental Results'!$O47/'Experimental Results'!$L47,0)</f>
        <v>8.177453027</v>
      </c>
      <c r="Q47" s="90"/>
      <c r="R47" s="90"/>
      <c r="S47" s="90"/>
      <c r="T47" s="90"/>
      <c r="U47" s="90"/>
      <c r="V47" s="90"/>
      <c r="W47" s="90"/>
      <c r="X47" s="92">
        <v>16.09939216</v>
      </c>
      <c r="Y47" s="92">
        <v>1.7888213511111113</v>
      </c>
      <c r="Z47" s="27"/>
    </row>
    <row r="48" ht="14.25" customHeight="1">
      <c r="A48" s="27"/>
      <c r="B48" s="90">
        <v>36.0</v>
      </c>
      <c r="C48" s="90"/>
      <c r="D48" s="86">
        <v>19.0</v>
      </c>
      <c r="E48" s="66" t="s">
        <v>318</v>
      </c>
      <c r="F48" s="67">
        <v>19.0</v>
      </c>
      <c r="G48" s="90">
        <v>1.0</v>
      </c>
      <c r="H48" s="90">
        <v>1.0</v>
      </c>
      <c r="I48" s="90">
        <v>1.0</v>
      </c>
      <c r="J48" s="90">
        <v>2.0</v>
      </c>
      <c r="K48" s="91">
        <v>16.01</v>
      </c>
      <c r="L48" s="91">
        <v>16.01</v>
      </c>
      <c r="M48" s="91"/>
      <c r="N48" s="91"/>
      <c r="O48" s="91">
        <v>527.19</v>
      </c>
      <c r="P48" s="91">
        <f>IFERROR('Experimental Results'!$O48/'Experimental Results'!$L48,0)</f>
        <v>32.9287945</v>
      </c>
      <c r="Q48" s="90"/>
      <c r="R48" s="90"/>
      <c r="S48" s="90"/>
      <c r="T48" s="90"/>
      <c r="U48" s="90"/>
      <c r="V48" s="90"/>
      <c r="W48" s="90"/>
      <c r="X48" s="92">
        <v>17.92839216</v>
      </c>
      <c r="Y48" s="92">
        <v>1.9920435733333335</v>
      </c>
      <c r="Z48" s="27"/>
    </row>
    <row r="49" ht="14.25" customHeight="1">
      <c r="A49" s="27"/>
      <c r="B49" s="90">
        <v>37.0</v>
      </c>
      <c r="C49" s="90"/>
      <c r="D49" s="86">
        <v>20.0</v>
      </c>
      <c r="E49" s="66" t="s">
        <v>318</v>
      </c>
      <c r="F49" s="67">
        <v>20.0</v>
      </c>
      <c r="G49" s="90">
        <v>1.0</v>
      </c>
      <c r="H49" s="90">
        <v>1.0</v>
      </c>
      <c r="I49" s="90">
        <v>1.0</v>
      </c>
      <c r="J49" s="90">
        <v>4.0</v>
      </c>
      <c r="K49" s="91">
        <v>42.47</v>
      </c>
      <c r="L49" s="91">
        <v>42.47</v>
      </c>
      <c r="M49" s="91"/>
      <c r="N49" s="91"/>
      <c r="O49" s="91">
        <v>528.91</v>
      </c>
      <c r="P49" s="91">
        <f>IFERROR('Experimental Results'!$O49/'Experimental Results'!$L49,0)</f>
        <v>12.45373205</v>
      </c>
      <c r="Q49" s="90"/>
      <c r="R49" s="90"/>
      <c r="S49" s="90"/>
      <c r="T49" s="90"/>
      <c r="U49" s="90"/>
      <c r="V49" s="90"/>
      <c r="W49" s="90"/>
      <c r="X49" s="92">
        <v>21.58639216</v>
      </c>
      <c r="Y49" s="92">
        <v>2.398488017777778</v>
      </c>
      <c r="Z49" s="27"/>
    </row>
    <row r="50" ht="14.25" customHeight="1">
      <c r="A50" s="27"/>
      <c r="B50" s="90">
        <v>38.0</v>
      </c>
      <c r="C50" s="90"/>
      <c r="D50" s="86">
        <v>21.0</v>
      </c>
      <c r="E50" s="66" t="s">
        <v>318</v>
      </c>
      <c r="F50" s="67">
        <v>24.0</v>
      </c>
      <c r="G50" s="90">
        <v>1.0</v>
      </c>
      <c r="H50" s="90">
        <v>1.0</v>
      </c>
      <c r="I50" s="90">
        <v>1.0</v>
      </c>
      <c r="J50" s="90">
        <v>8.0</v>
      </c>
      <c r="K50" s="91">
        <v>129.43</v>
      </c>
      <c r="L50" s="91">
        <v>69.46</v>
      </c>
      <c r="M50" s="91"/>
      <c r="N50" s="91">
        <v>204.77</v>
      </c>
      <c r="O50" s="91">
        <v>5025.21</v>
      </c>
      <c r="P50" s="91">
        <f>IFERROR('Experimental Results'!$O50/'Experimental Results'!$L50,0)</f>
        <v>72.34681831</v>
      </c>
      <c r="Q50" s="90"/>
      <c r="R50" s="90"/>
      <c r="S50" s="90"/>
      <c r="T50" s="90"/>
      <c r="U50" s="90"/>
      <c r="V50" s="90"/>
      <c r="W50" s="90"/>
      <c r="X50" s="92">
        <v>28.902392159999998</v>
      </c>
      <c r="Y50" s="92">
        <v>3.2113769066666666</v>
      </c>
      <c r="Z50" s="27"/>
    </row>
    <row r="51" ht="14.25" customHeight="1">
      <c r="A51" s="27"/>
      <c r="B51" s="90">
        <v>39.0</v>
      </c>
      <c r="C51" s="90"/>
      <c r="D51" s="86">
        <v>22.0</v>
      </c>
      <c r="E51" s="66" t="s">
        <v>318</v>
      </c>
      <c r="F51" s="67">
        <v>28.0</v>
      </c>
      <c r="G51" s="90">
        <v>1.0</v>
      </c>
      <c r="H51" s="90">
        <v>1.0</v>
      </c>
      <c r="I51" s="90">
        <v>1.0</v>
      </c>
      <c r="J51" s="90">
        <v>16.0</v>
      </c>
      <c r="K51" s="91">
        <v>71.28</v>
      </c>
      <c r="L51" s="91">
        <v>73.65</v>
      </c>
      <c r="M51" s="91"/>
      <c r="N51" s="91">
        <v>171.3</v>
      </c>
      <c r="O51" s="91">
        <v>4690.32</v>
      </c>
      <c r="P51" s="91">
        <f>IFERROR('Experimental Results'!$O51/'Experimental Results'!$L51,0)</f>
        <v>63.68391039</v>
      </c>
      <c r="Q51" s="90"/>
      <c r="R51" s="90"/>
      <c r="S51" s="90"/>
      <c r="T51" s="90"/>
      <c r="U51" s="90"/>
      <c r="V51" s="90"/>
      <c r="W51" s="90"/>
      <c r="X51" s="92">
        <v>43.534392159999996</v>
      </c>
      <c r="Y51" s="92">
        <v>4.837154684444444</v>
      </c>
      <c r="Z51" s="27"/>
    </row>
    <row r="52" ht="14.25" customHeight="1">
      <c r="A52" s="27"/>
      <c r="B52" s="90">
        <v>40.0</v>
      </c>
      <c r="C52" s="90"/>
      <c r="D52" s="86">
        <v>24.0</v>
      </c>
      <c r="E52" s="66" t="s">
        <v>318</v>
      </c>
      <c r="F52" s="67">
        <v>29.0</v>
      </c>
      <c r="G52" s="90">
        <v>1.0</v>
      </c>
      <c r="H52" s="90">
        <v>1.0</v>
      </c>
      <c r="I52" s="90">
        <v>1.0</v>
      </c>
      <c r="J52" s="90">
        <v>48.0</v>
      </c>
      <c r="K52" s="91"/>
      <c r="L52" s="91"/>
      <c r="M52" s="91"/>
      <c r="N52" s="91"/>
      <c r="O52" s="91"/>
      <c r="P52" s="91">
        <f>IFERROR('Experimental Results'!$O52/'Experimental Results'!$L52,0)</f>
        <v>0</v>
      </c>
      <c r="Q52" s="90"/>
      <c r="R52" s="90"/>
      <c r="S52" s="90"/>
      <c r="T52" s="90"/>
      <c r="U52" s="90"/>
      <c r="V52" s="90"/>
      <c r="W52" s="90"/>
      <c r="X52" s="92">
        <v>102.06239216</v>
      </c>
      <c r="Y52" s="92">
        <v>11.340265795555556</v>
      </c>
      <c r="Z52" s="27"/>
    </row>
    <row r="53" ht="14.25" customHeight="1">
      <c r="A53" s="27"/>
      <c r="B53" s="90">
        <v>41.0</v>
      </c>
      <c r="C53" s="90"/>
      <c r="D53" s="86">
        <v>25.0</v>
      </c>
      <c r="E53" s="66" t="s">
        <v>318</v>
      </c>
      <c r="F53" s="67">
        <v>30.0</v>
      </c>
      <c r="G53" s="90">
        <v>1.0</v>
      </c>
      <c r="H53" s="90">
        <v>1.0</v>
      </c>
      <c r="I53" s="90">
        <v>1.0</v>
      </c>
      <c r="J53" s="90">
        <v>72.0</v>
      </c>
      <c r="K53" s="91"/>
      <c r="L53" s="91"/>
      <c r="M53" s="91"/>
      <c r="N53" s="91"/>
      <c r="O53" s="91"/>
      <c r="P53" s="91">
        <f>IFERROR('Experimental Results'!$O53/'Experimental Results'!$L53,0)</f>
        <v>0</v>
      </c>
      <c r="Q53" s="90"/>
      <c r="R53" s="90"/>
      <c r="S53" s="90"/>
      <c r="T53" s="90"/>
      <c r="U53" s="90"/>
      <c r="V53" s="90"/>
      <c r="W53" s="90"/>
      <c r="X53" s="92">
        <v>145.95839216</v>
      </c>
      <c r="Y53" s="92">
        <v>16.21759912888889</v>
      </c>
      <c r="Z53" s="27"/>
    </row>
    <row r="54" ht="14.2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4.2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4.2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4.2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4.25" customHeight="1">
      <c r="A58" s="27"/>
      <c r="B58" s="27"/>
      <c r="C58" s="27"/>
      <c r="D58" s="27"/>
      <c r="E58" s="27"/>
      <c r="F58" s="93" t="s">
        <v>290</v>
      </c>
      <c r="G58" s="93" t="s">
        <v>298</v>
      </c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4.25" customHeight="1">
      <c r="A59" s="27"/>
      <c r="B59" s="27"/>
      <c r="C59" s="27"/>
      <c r="D59" s="27"/>
      <c r="E59" s="27"/>
      <c r="F59" s="94" t="s">
        <v>305</v>
      </c>
      <c r="G59" s="95">
        <v>253.3023</v>
      </c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4.25" customHeight="1">
      <c r="A60" s="27"/>
      <c r="B60" s="27"/>
      <c r="C60" s="27"/>
      <c r="D60" s="27"/>
      <c r="E60" s="27"/>
      <c r="F60" s="94" t="s">
        <v>307</v>
      </c>
      <c r="G60" s="95">
        <v>111.0833</v>
      </c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4.2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4.2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4.2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4.2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4.2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4.2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4.2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4.2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4.2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4.2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4.2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4.2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4.2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4.2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4.2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4.2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4.2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4.2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4.2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4.2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4.2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4.2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4.2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4.2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4.2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4.2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4.2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4.2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4.2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4.2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4.2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4.2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4.2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4.2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4.2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4.2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4.2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4.2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4.2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4.2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4.2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4.2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4.2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4.2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4.2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4.2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4.2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4.2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4.2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4.2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4.2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4.2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4.2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4.2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4.2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4.2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4.2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4.2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4.2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4.2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4.2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4.2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4.2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4.2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4.2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4.2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4.2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4.2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4.2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4.2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4.2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4.2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4.2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4.2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4.2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4.2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4.2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4.2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4.2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4.2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4.2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4.2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4.2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4.2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4.2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4.2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4.2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4.2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4.2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4.2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4.2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4.2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4.2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4.2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4.2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4.2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4.2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4.2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4.2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4.2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4.2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4.2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4.2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4.2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4.2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4.2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4.2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4.2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4.2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4.2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4.2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4.2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4.2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4.2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4.2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4.2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4.2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4.2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4.2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4.2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4.2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4.2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4.2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4.2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4.2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4.2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4.2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4.2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4.2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4.2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4.2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4.2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4.2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4.2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4.2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4.2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4.2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4.2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4.2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4.2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4.2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4.2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4.2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4.2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4.2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4.2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4.2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4.2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4.2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4.2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4.2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4.2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4.2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4.2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4.2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4.2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4.2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4.2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4.2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4.2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4.2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4.2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4.2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4.2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4.2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4.2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4.2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4.2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4.2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4.2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4.2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4.2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4.2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4.2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4.2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4.2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4.2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4.2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4.2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4.2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4.2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4.2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4.2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4.2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4.2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4.2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4.2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4.2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4.2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4.2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4.2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4.2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4.2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4.2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4.2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4.2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4.2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4.2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4.2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4.2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4.2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4.2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4.2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4.2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4.2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4.2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4.2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4.2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4.2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4.2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4.2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4.2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4.2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4.2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4.2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4.2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4.2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4.2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4.2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4.2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4.2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4.2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4.2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4.2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4.2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4.2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4.2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4.2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4.2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4.2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4.2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4.2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4.2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4.2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4.2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4.2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4.2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4.2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4.2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4.2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4.2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4.2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4.2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4.2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4.2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4.2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4.2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4.2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4.2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4.2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4.2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4.2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4.2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4.2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4.2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4.2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4.2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4.2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4.2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4.2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4.2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4.2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4.2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4.2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4.2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4.2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4.2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4.2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4.2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4.2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4.2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4.2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4.2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4.2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4.2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4.2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4.2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4.2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4.2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4.2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4.2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4.2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4.2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4.2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4.2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4.2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4.2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4.2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4.2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4.2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4.2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4.2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4.2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4.2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4.2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4.2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4.2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4.2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4.2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4.2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4.2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4.2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4.2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4.2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4.2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4.2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4.2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4.2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4.2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4.2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4.2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4.2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4.2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4.2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4.2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4.2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4.2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4.2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4.2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4.2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4.2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4.2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4.2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4.2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4.2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4.2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4.2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4.2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4.2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4.2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4.2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4.2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4.2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4.2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4.2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4.2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4.2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4.2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4.2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4.2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4.2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4.2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4.2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4.2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4.2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4.2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4.2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4.2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4.2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4.2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4.2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4.2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4.2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4.2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4.2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4.2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4.2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4.2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4.2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4.2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4.2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4.2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4.2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4.2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4.2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4.2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4.2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4.2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4.2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4.2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4.2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4.2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4.2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4.2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4.2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4.2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4.2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4.2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4.2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4.2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4.2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4.2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4.2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4.2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4.2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4.2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4.2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4.2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4.2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4.2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4.2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4.2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4.2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4.2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4.2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4.2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4.2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4.2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4.2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4.2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4.2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4.2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4.2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4.2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4.2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4.2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4.2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4.2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4.2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4.2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4.2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4.2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4.2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4.2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4.2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4.2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4.2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4.2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4.2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4.2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4.2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4.2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4.2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4.2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4.2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4.2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4.2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4.2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4.2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4.2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4.2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4.2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4.2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4.2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4.2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4.2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4.2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4.2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4.2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4.2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4.2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4.2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4.2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4.2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4.2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4.2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4.2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4.2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4.2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4.2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4.2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4.2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4.2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4.2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4.2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4.2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4.2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4.2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4.2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4.2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4.2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4.2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4.2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4.2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4.2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4.2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4.2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4.2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4.2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4.2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4.2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4.2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4.2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4.2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4.2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4.2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4.2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4.2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4.2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4.2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4.2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4.2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4.2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4.2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4.2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4.2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4.2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4.2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4.2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4.2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4.2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4.2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4.2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4.2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4.2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4.2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4.2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4.2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4.2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4.2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4.2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4.2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4.2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4.2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4.2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4.2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4.2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4.2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4.2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4.2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4.2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4.2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4.2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4.2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4.2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4.2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4.2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4.2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4.2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4.2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4.2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4.2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4.2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4.2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4.2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4.2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4.2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4.2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4.2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4.2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4.2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4.2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4.2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4.2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4.2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4.2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4.2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4.2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4.2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4.2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4.2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4.2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4.2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4.2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4.2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4.2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4.2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4.2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4.2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4.2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4.2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4.2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4.2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4.2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4.2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4.2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4.2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4.2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4.2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4.2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4.2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4.2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4.2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4.2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4.2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4.2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4.2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4.2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4.2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4.2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4.2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4.2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4.2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4.2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4.2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4.2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4.2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4.2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4.2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4.2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4.2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4.2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4.2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4.2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4.2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4.2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4.2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4.2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4.2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4.2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4.2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4.2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4.2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4.2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4.2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4.2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4.2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4.2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4.2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4.2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4.2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4.2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4.2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4.2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4.2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4.2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4.2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4.2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4.2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4.2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4.2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4.2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4.2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4.2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4.2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4.2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4.2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4.2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4.2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4.2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4.2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4.2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4.2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4.2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4.2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4.2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4.2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4.2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4.2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4.2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4.2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4.2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4.2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4.2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4.2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4.2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4.2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4.2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4.2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4.2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4.2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4.2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4.2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4.2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4.2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4.2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4.2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4.2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4.2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4.2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4.2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4.2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4.2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4.2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4.2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4.2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4.2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4.2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4.2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4.2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4.2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4.2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4.2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4.2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4.2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4.2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4.2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4.2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4.2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4.2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4.2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4.2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4.2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4.2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4.2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4.2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4.2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4.2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4.2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4.2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4.2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4.2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4.2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4.2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4.2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4.2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4.2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4.2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4.2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4.2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4.2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4.2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4.2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4.2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4.2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4.2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4.2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4.2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4.2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4.2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4.2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4.2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4.2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4.2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4.2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4.2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4.2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4.2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4.2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4.2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4.2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4.2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4.2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4.2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4.2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4.2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4.2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4.2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4.2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4.2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4.2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4.2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4.2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4.2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4.2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4.2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4.2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4.2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4.2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4.2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4.2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4.2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4.2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4.2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4.2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4.2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4.2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4.2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4.2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4.2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4.2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4.2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4.2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4.2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4.2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4.2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4.2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4.2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4.2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4.2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4.2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4.2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4.2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4.2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4.2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4.2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4.2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4.2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4.2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4.2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4.2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4.2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4.2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4.2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4.2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4.2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4.2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4.2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4.2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4.2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4.2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4.2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4.2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4.2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4.2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4.2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4.2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4.2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4.2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4.2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4.2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4.2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4.2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4.2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4.2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4.2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4.2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4.2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4.2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4.2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4.2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4.2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4.2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4.2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4.2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4.2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4.2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4.2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4.2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4.2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4.2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4.2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4.2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4.2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4.2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4.2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4.2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4.2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4.2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4.2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4.2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4.2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4.2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4.2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4.2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4.2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4.2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4.2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4.2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4.2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4.2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4.2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4.2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4.2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4.2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4.2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4.2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4.2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4.2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4.2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4.2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4.2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4.2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4.2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4.2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4.2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4.2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4.2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4.2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4.2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4.2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4.2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4.2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4.2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4.2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4.2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4.2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4.2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4.2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4.2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4.2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4.2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4.2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4.2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4.2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4.2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4.2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4.2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4.2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4.2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4.2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4.2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4.2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4.2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4.2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4.2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4.2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4.2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4.2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4.2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4.2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4.2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4.2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4.2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4.2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4.2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4.2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4.2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4.2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4.2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4.2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4.2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4.2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4.2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4.2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4.2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4.2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4.2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4.2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4.2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4.2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4.2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4.2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4.2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4.2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4.2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4.2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4.2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4.2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4.2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4.2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4.2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4.2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4.2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4.2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4.2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4.2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4.2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4.2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4.2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4.2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4.2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4.2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4.2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4.2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4.2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4.2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4.2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4.2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4.2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4.2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4.2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4.2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4.2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4.2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4.2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4.2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4.2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4.2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4.2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4.2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4.2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4.2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4.2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4.2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4.2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4.2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4.2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4.2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4.2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1">
    <mergeCell ref="D2:H2"/>
  </mergeCells>
  <printOptions/>
  <pageMargins bottom="0.787401575" footer="0.0" header="0.0" left="0.511811024" right="0.511811024" top="0.787401575"/>
  <pageSetup paperSize="9" orientation="portrait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11.57"/>
    <col customWidth="1" min="3" max="4" width="10.43"/>
    <col customWidth="1" min="5" max="5" width="11.57"/>
    <col customWidth="1" min="6" max="6" width="8.86"/>
    <col customWidth="1" min="7" max="7" width="16.29"/>
    <col customWidth="1" min="8" max="8" width="12.71"/>
    <col customWidth="1" min="9" max="9" width="11.14"/>
    <col customWidth="1" min="10" max="10" width="18.71"/>
    <col customWidth="1" min="11" max="11" width="11.14"/>
    <col customWidth="1" min="12" max="12" width="16.29"/>
    <col customWidth="1" min="13" max="13" width="18.71"/>
    <col customWidth="1" min="14" max="14" width="12.29"/>
    <col customWidth="1" min="15" max="15" width="11.14"/>
    <col customWidth="1" min="16" max="16" width="18.71"/>
    <col customWidth="1" min="17" max="18" width="8.86"/>
    <col customWidth="1" min="19" max="19" width="11.57"/>
    <col customWidth="1" min="20" max="25" width="8.86"/>
    <col customWidth="1" min="26" max="26" width="8.71"/>
  </cols>
  <sheetData>
    <row r="1" ht="14.25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14.25" customHeight="1">
      <c r="A2" s="27"/>
      <c r="B2" s="59" t="s">
        <v>280</v>
      </c>
      <c r="C2" s="25"/>
      <c r="D2" s="25"/>
      <c r="E2" s="25"/>
      <c r="F2" s="26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4.25" customHeight="1">
      <c r="A3" s="27"/>
      <c r="B3" s="60" t="s">
        <v>281</v>
      </c>
      <c r="C3" s="60">
        <v>-1.0</v>
      </c>
      <c r="D3" s="60">
        <v>0.0</v>
      </c>
      <c r="E3" s="60">
        <v>1.0</v>
      </c>
      <c r="F3" s="60" t="s">
        <v>282</v>
      </c>
      <c r="G3" s="27"/>
      <c r="H3" s="27" t="s">
        <v>123</v>
      </c>
      <c r="I3" s="27"/>
      <c r="J3" s="27"/>
      <c r="K3" s="59" t="s">
        <v>319</v>
      </c>
      <c r="L3" s="25"/>
      <c r="M3" s="25"/>
      <c r="N3" s="26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4.25" customHeight="1">
      <c r="A4" s="27"/>
      <c r="B4" s="61" t="s">
        <v>265</v>
      </c>
      <c r="C4" s="62">
        <v>3.0</v>
      </c>
      <c r="D4" s="62">
        <v>6.0</v>
      </c>
      <c r="E4" s="62">
        <v>9.0</v>
      </c>
      <c r="F4" s="63" t="s">
        <v>207</v>
      </c>
      <c r="G4" s="27"/>
      <c r="H4" s="27" t="s">
        <v>35</v>
      </c>
      <c r="I4" s="27"/>
      <c r="J4" s="27"/>
      <c r="K4" s="60" t="s">
        <v>281</v>
      </c>
      <c r="L4" s="60" t="s">
        <v>320</v>
      </c>
      <c r="M4" s="60" t="s">
        <v>282</v>
      </c>
      <c r="N4" s="60" t="s">
        <v>321</v>
      </c>
      <c r="O4" s="27"/>
      <c r="P4" s="60" t="s">
        <v>322</v>
      </c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4.25" customHeight="1">
      <c r="A5" s="27"/>
      <c r="B5" s="61" t="s">
        <v>266</v>
      </c>
      <c r="C5" s="62">
        <v>6.0</v>
      </c>
      <c r="D5" s="62">
        <v>8.0</v>
      </c>
      <c r="E5" s="62">
        <v>10.0</v>
      </c>
      <c r="F5" s="63" t="s">
        <v>227</v>
      </c>
      <c r="G5" s="27"/>
      <c r="H5" s="27" t="s">
        <v>30</v>
      </c>
      <c r="I5" s="27"/>
      <c r="J5" s="27"/>
      <c r="K5" s="61" t="s">
        <v>265</v>
      </c>
      <c r="L5" s="96">
        <v>350.0</v>
      </c>
      <c r="M5" s="63" t="s">
        <v>323</v>
      </c>
      <c r="N5" s="97" t="s">
        <v>324</v>
      </c>
      <c r="O5" s="27" t="s">
        <v>325</v>
      </c>
      <c r="P5" s="63">
        <v>0.59</v>
      </c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4.25" customHeight="1">
      <c r="A6" s="27"/>
      <c r="B6" s="61" t="s">
        <v>283</v>
      </c>
      <c r="C6" s="62">
        <v>100.0</v>
      </c>
      <c r="D6" s="62">
        <v>150.0</v>
      </c>
      <c r="E6" s="62">
        <v>200.0</v>
      </c>
      <c r="F6" s="63" t="s">
        <v>284</v>
      </c>
      <c r="G6" s="27"/>
      <c r="H6" s="27" t="s">
        <v>33</v>
      </c>
      <c r="I6" s="27"/>
      <c r="J6" s="27"/>
      <c r="K6" s="61" t="s">
        <v>266</v>
      </c>
      <c r="L6" s="96">
        <v>544.0</v>
      </c>
      <c r="M6" s="63" t="s">
        <v>323</v>
      </c>
      <c r="N6" s="97" t="s">
        <v>326</v>
      </c>
      <c r="O6" s="27" t="s">
        <v>325</v>
      </c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4.25" customHeight="1">
      <c r="A7" s="27"/>
      <c r="B7" s="61" t="s">
        <v>285</v>
      </c>
      <c r="C7" s="62">
        <v>8.0</v>
      </c>
      <c r="D7" s="62">
        <v>16.0</v>
      </c>
      <c r="E7" s="62">
        <v>24.0</v>
      </c>
      <c r="F7" s="63" t="s">
        <v>249</v>
      </c>
      <c r="G7" s="27"/>
      <c r="H7" s="27"/>
      <c r="I7" s="27"/>
      <c r="J7" s="27"/>
      <c r="K7" s="61" t="s">
        <v>283</v>
      </c>
      <c r="L7" s="96">
        <f>P5*P8</f>
        <v>1.829</v>
      </c>
      <c r="M7" s="63" t="s">
        <v>327</v>
      </c>
      <c r="N7" s="97" t="s">
        <v>328</v>
      </c>
      <c r="O7" s="27" t="s">
        <v>325</v>
      </c>
      <c r="P7" s="60" t="s">
        <v>329</v>
      </c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4.25" customHeight="1">
      <c r="A8" s="27"/>
      <c r="B8" s="27"/>
      <c r="C8" s="27"/>
      <c r="D8" s="27"/>
      <c r="E8" s="27"/>
      <c r="F8" s="27"/>
      <c r="G8" s="27"/>
      <c r="H8" s="27"/>
      <c r="I8" s="27"/>
      <c r="J8" s="27"/>
      <c r="K8" s="61" t="s">
        <v>285</v>
      </c>
      <c r="L8" s="62"/>
      <c r="M8" s="63" t="s">
        <v>249</v>
      </c>
      <c r="N8" s="63"/>
      <c r="O8" s="27" t="s">
        <v>325</v>
      </c>
      <c r="P8" s="63">
        <v>3.1</v>
      </c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4.25" customHeight="1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4.25" customHeight="1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98">
        <f t="shared" ref="L10:Q10" si="1">SMALL(L13:L35,1)</f>
        <v>1.05</v>
      </c>
      <c r="M10" s="98">
        <f t="shared" si="1"/>
        <v>1.844917876</v>
      </c>
      <c r="N10" s="98">
        <f t="shared" si="1"/>
        <v>7.18026144</v>
      </c>
      <c r="O10" s="98">
        <f t="shared" si="1"/>
        <v>13.24129905</v>
      </c>
      <c r="P10" s="98">
        <f t="shared" si="1"/>
        <v>14.632</v>
      </c>
      <c r="Q10" s="98">
        <f t="shared" si="1"/>
        <v>49.18467725</v>
      </c>
      <c r="R10" s="27"/>
      <c r="S10" s="27"/>
      <c r="T10" s="27"/>
      <c r="U10" s="27"/>
      <c r="V10" s="27"/>
      <c r="W10" s="27"/>
      <c r="X10" s="27"/>
      <c r="Y10" s="27"/>
      <c r="Z10" s="27"/>
    </row>
    <row r="11" ht="14.25" customHeight="1">
      <c r="A11" s="27"/>
      <c r="B11" s="99" t="s">
        <v>290</v>
      </c>
      <c r="C11" s="99" t="s">
        <v>265</v>
      </c>
      <c r="D11" s="99" t="s">
        <v>266</v>
      </c>
      <c r="E11" s="99" t="s">
        <v>283</v>
      </c>
      <c r="F11" s="99" t="s">
        <v>285</v>
      </c>
      <c r="G11" s="99" t="s">
        <v>301</v>
      </c>
      <c r="H11" s="99" t="s">
        <v>302</v>
      </c>
      <c r="I11" s="99" t="s">
        <v>303</v>
      </c>
      <c r="J11" s="99" t="s">
        <v>304</v>
      </c>
      <c r="K11" s="27"/>
      <c r="L11" s="98">
        <f t="shared" ref="L11:Q11" si="2">LARGE(L12:L34,1)</f>
        <v>3.15</v>
      </c>
      <c r="M11" s="98">
        <f t="shared" si="2"/>
        <v>12.61904899</v>
      </c>
      <c r="N11" s="98">
        <f t="shared" si="2"/>
        <v>11.9671024</v>
      </c>
      <c r="O11" s="98">
        <f t="shared" si="2"/>
        <v>43.28206474</v>
      </c>
      <c r="P11" s="98">
        <f t="shared" si="2"/>
        <v>43.896</v>
      </c>
      <c r="Q11" s="98">
        <f t="shared" si="2"/>
        <v>84.21091171</v>
      </c>
      <c r="R11" s="27"/>
      <c r="S11" s="27"/>
      <c r="T11" s="27"/>
      <c r="U11" s="27"/>
      <c r="V11" s="27"/>
      <c r="W11" s="27"/>
      <c r="X11" s="27"/>
      <c r="Y11" s="27"/>
      <c r="Z11" s="27"/>
    </row>
    <row r="12" ht="14.25" customHeight="1">
      <c r="A12" s="27"/>
      <c r="B12" s="60" t="s">
        <v>330</v>
      </c>
      <c r="C12" s="63">
        <v>0.0</v>
      </c>
      <c r="D12" s="63">
        <v>0.0</v>
      </c>
      <c r="E12" s="63">
        <v>0.0</v>
      </c>
      <c r="F12" s="63">
        <v>0.0</v>
      </c>
      <c r="G12" s="63"/>
      <c r="H12" s="100">
        <f t="shared" ref="H12:H34" si="3">G12/(HLOOKUP(C12,$C$3:$E$7,2,FALSE))</f>
        <v>0</v>
      </c>
      <c r="I12" s="101">
        <f t="shared" ref="I12:I34" si="4">(HLOOKUP(C12,$C$3:$E$7,2,FALSE)*$L$5/1000)+(HLOOKUP(D12,$C$3:$E$7,3,FALSE)*0.055*39.997*$L$6/1000)+($L$7*HLOOKUP(F12,$C$3:$E$7,5,FALSE))</f>
        <v>40.93768192</v>
      </c>
      <c r="J12" s="101">
        <f t="shared" ref="J12:J34" si="5">I12/HLOOKUP(C12,$C$3:$E$7,2,FALSE)</f>
        <v>6.822946987</v>
      </c>
      <c r="K12" s="27"/>
      <c r="L12" s="96">
        <f t="shared" ref="L12:L34" si="6">(HLOOKUP(C12,$C$3:$E$7,2,FALSE)*$L$5/1000)</f>
        <v>2.1</v>
      </c>
      <c r="M12" s="98">
        <f t="shared" ref="M12:M34" si="7">L12/I12*100</f>
        <v>5.129748197</v>
      </c>
      <c r="N12" s="96">
        <f t="shared" ref="N12:N34" si="8">(HLOOKUP(D12,$C$3:$E$7,3,FALSE)*0.055*39.997*$L$6/1000)</f>
        <v>9.57368192</v>
      </c>
      <c r="O12" s="98">
        <f t="shared" ref="O12:O34" si="9">N12/I12*100</f>
        <v>23.38598932</v>
      </c>
      <c r="P12" s="96">
        <f t="shared" ref="P12:P34" si="10">($L$7*HLOOKUP(F12,$C$3:$E$7,5,FALSE))</f>
        <v>29.264</v>
      </c>
      <c r="Q12" s="98">
        <f t="shared" ref="Q12:Q34" si="11">P12/I12*100</f>
        <v>71.48426249</v>
      </c>
      <c r="R12" s="27"/>
      <c r="S12" s="27"/>
      <c r="T12" s="27"/>
      <c r="U12" s="27"/>
      <c r="V12" s="27"/>
      <c r="W12" s="27"/>
      <c r="X12" s="27"/>
      <c r="Y12" s="27"/>
      <c r="Z12" s="27"/>
    </row>
    <row r="13" ht="14.25" customHeight="1">
      <c r="A13" s="27"/>
      <c r="B13" s="60" t="s">
        <v>331</v>
      </c>
      <c r="C13" s="63">
        <v>0.0</v>
      </c>
      <c r="D13" s="63">
        <v>0.0</v>
      </c>
      <c r="E13" s="63">
        <v>0.0</v>
      </c>
      <c r="F13" s="63">
        <v>0.0</v>
      </c>
      <c r="G13" s="63"/>
      <c r="H13" s="100">
        <f t="shared" si="3"/>
        <v>0</v>
      </c>
      <c r="I13" s="101">
        <f t="shared" si="4"/>
        <v>40.93768192</v>
      </c>
      <c r="J13" s="101">
        <f t="shared" si="5"/>
        <v>6.822946987</v>
      </c>
      <c r="K13" s="27"/>
      <c r="L13" s="96">
        <f t="shared" si="6"/>
        <v>2.1</v>
      </c>
      <c r="M13" s="98">
        <f t="shared" si="7"/>
        <v>5.129748197</v>
      </c>
      <c r="N13" s="96">
        <f t="shared" si="8"/>
        <v>9.57368192</v>
      </c>
      <c r="O13" s="98">
        <f t="shared" si="9"/>
        <v>23.38598932</v>
      </c>
      <c r="P13" s="96">
        <f t="shared" si="10"/>
        <v>29.264</v>
      </c>
      <c r="Q13" s="98">
        <f t="shared" si="11"/>
        <v>71.48426249</v>
      </c>
      <c r="R13" s="27"/>
      <c r="S13" s="27"/>
      <c r="T13" s="27"/>
      <c r="U13" s="27"/>
      <c r="V13" s="27"/>
      <c r="W13" s="27"/>
      <c r="X13" s="27"/>
      <c r="Y13" s="27"/>
      <c r="Z13" s="27"/>
    </row>
    <row r="14" ht="14.25" customHeight="1">
      <c r="A14" s="27"/>
      <c r="B14" s="60" t="s">
        <v>332</v>
      </c>
      <c r="C14" s="63">
        <v>0.0</v>
      </c>
      <c r="D14" s="63">
        <v>0.0</v>
      </c>
      <c r="E14" s="63">
        <v>0.0</v>
      </c>
      <c r="F14" s="63">
        <v>0.0</v>
      </c>
      <c r="G14" s="63"/>
      <c r="H14" s="100">
        <f t="shared" si="3"/>
        <v>0</v>
      </c>
      <c r="I14" s="101">
        <f t="shared" si="4"/>
        <v>40.93768192</v>
      </c>
      <c r="J14" s="101">
        <f t="shared" si="5"/>
        <v>6.822946987</v>
      </c>
      <c r="K14" s="27"/>
      <c r="L14" s="96">
        <f t="shared" si="6"/>
        <v>2.1</v>
      </c>
      <c r="M14" s="98">
        <f t="shared" si="7"/>
        <v>5.129748197</v>
      </c>
      <c r="N14" s="96">
        <f t="shared" si="8"/>
        <v>9.57368192</v>
      </c>
      <c r="O14" s="98">
        <f t="shared" si="9"/>
        <v>23.38598932</v>
      </c>
      <c r="P14" s="96">
        <f t="shared" si="10"/>
        <v>29.264</v>
      </c>
      <c r="Q14" s="98">
        <f t="shared" si="11"/>
        <v>71.48426249</v>
      </c>
      <c r="R14" s="27"/>
      <c r="S14" s="27"/>
      <c r="T14" s="27"/>
      <c r="U14" s="27"/>
      <c r="V14" s="27"/>
      <c r="W14" s="27"/>
      <c r="X14" s="27" t="s">
        <v>333</v>
      </c>
      <c r="Y14" s="27" t="s">
        <v>334</v>
      </c>
      <c r="Z14" s="27"/>
    </row>
    <row r="15" ht="14.25" customHeight="1">
      <c r="A15" s="27"/>
      <c r="B15" s="60" t="s">
        <v>335</v>
      </c>
      <c r="C15" s="62">
        <v>-1.0</v>
      </c>
      <c r="D15" s="62">
        <v>-1.0</v>
      </c>
      <c r="E15" s="62">
        <v>-1.0</v>
      </c>
      <c r="F15" s="62">
        <v>-1.0</v>
      </c>
      <c r="G15" s="62">
        <v>2.3844</v>
      </c>
      <c r="H15" s="102">
        <f t="shared" si="3"/>
        <v>0.7948</v>
      </c>
      <c r="I15" s="96">
        <f t="shared" si="4"/>
        <v>22.86226144</v>
      </c>
      <c r="J15" s="96">
        <f t="shared" si="5"/>
        <v>7.620753813</v>
      </c>
      <c r="K15" s="27"/>
      <c r="L15" s="96">
        <f t="shared" si="6"/>
        <v>1.05</v>
      </c>
      <c r="M15" s="98">
        <f t="shared" si="7"/>
        <v>4.592721515</v>
      </c>
      <c r="N15" s="96">
        <f t="shared" si="8"/>
        <v>7.18026144</v>
      </c>
      <c r="O15" s="98">
        <f t="shared" si="9"/>
        <v>31.40661067</v>
      </c>
      <c r="P15" s="96">
        <f t="shared" si="10"/>
        <v>14.632</v>
      </c>
      <c r="Q15" s="98">
        <f t="shared" si="11"/>
        <v>64.00066782</v>
      </c>
      <c r="R15" s="27"/>
      <c r="S15" s="27"/>
      <c r="T15" s="27"/>
      <c r="U15" s="27"/>
      <c r="V15" s="27" t="s">
        <v>336</v>
      </c>
      <c r="W15" s="27">
        <v>25.0</v>
      </c>
      <c r="X15" s="27">
        <v>4.0</v>
      </c>
      <c r="Y15" s="27">
        <f t="shared" ref="Y15:Y17" si="12">X15*W15</f>
        <v>100</v>
      </c>
      <c r="Z15" s="27"/>
    </row>
    <row r="16" ht="14.25" customHeight="1">
      <c r="A16" s="27"/>
      <c r="B16" s="60" t="s">
        <v>337</v>
      </c>
      <c r="C16" s="62">
        <v>1.0</v>
      </c>
      <c r="D16" s="62">
        <v>-1.0</v>
      </c>
      <c r="E16" s="62">
        <v>-1.0</v>
      </c>
      <c r="F16" s="62">
        <v>1.0</v>
      </c>
      <c r="G16" s="62"/>
      <c r="H16" s="102">
        <f t="shared" si="3"/>
        <v>0</v>
      </c>
      <c r="I16" s="96">
        <f t="shared" si="4"/>
        <v>54.22626144</v>
      </c>
      <c r="J16" s="96">
        <f t="shared" si="5"/>
        <v>6.02514016</v>
      </c>
      <c r="K16" s="27"/>
      <c r="L16" s="96">
        <f t="shared" si="6"/>
        <v>3.15</v>
      </c>
      <c r="M16" s="98">
        <f t="shared" si="7"/>
        <v>5.808993496</v>
      </c>
      <c r="N16" s="96">
        <f t="shared" si="8"/>
        <v>7.18026144</v>
      </c>
      <c r="O16" s="98">
        <f t="shared" si="9"/>
        <v>13.24129905</v>
      </c>
      <c r="P16" s="96">
        <f t="shared" si="10"/>
        <v>43.896</v>
      </c>
      <c r="Q16" s="98">
        <f t="shared" si="11"/>
        <v>80.94970746</v>
      </c>
      <c r="R16" s="27"/>
      <c r="S16" s="27"/>
      <c r="T16" s="27"/>
      <c r="U16" s="27"/>
      <c r="V16" s="27" t="s">
        <v>338</v>
      </c>
      <c r="W16" s="27">
        <v>60.0</v>
      </c>
      <c r="X16" s="27">
        <v>1.0</v>
      </c>
      <c r="Y16" s="27">
        <f t="shared" si="12"/>
        <v>60</v>
      </c>
      <c r="Z16" s="27"/>
    </row>
    <row r="17" ht="14.25" customHeight="1">
      <c r="A17" s="27"/>
      <c r="B17" s="60" t="s">
        <v>339</v>
      </c>
      <c r="C17" s="62">
        <v>-1.0</v>
      </c>
      <c r="D17" s="62">
        <v>1.0</v>
      </c>
      <c r="E17" s="62">
        <v>-1.0</v>
      </c>
      <c r="F17" s="62">
        <v>1.0</v>
      </c>
      <c r="G17" s="62"/>
      <c r="H17" s="102">
        <f t="shared" si="3"/>
        <v>0</v>
      </c>
      <c r="I17" s="96">
        <f t="shared" si="4"/>
        <v>56.9131024</v>
      </c>
      <c r="J17" s="96">
        <f t="shared" si="5"/>
        <v>18.97103413</v>
      </c>
      <c r="K17" s="27"/>
      <c r="L17" s="96">
        <f t="shared" si="6"/>
        <v>1.05</v>
      </c>
      <c r="M17" s="98">
        <f t="shared" si="7"/>
        <v>1.844917876</v>
      </c>
      <c r="N17" s="96">
        <f t="shared" si="8"/>
        <v>11.9671024</v>
      </c>
      <c r="O17" s="98">
        <f t="shared" si="9"/>
        <v>21.02697252</v>
      </c>
      <c r="P17" s="96">
        <f t="shared" si="10"/>
        <v>43.896</v>
      </c>
      <c r="Q17" s="98">
        <f t="shared" si="11"/>
        <v>77.12810961</v>
      </c>
      <c r="R17" s="27"/>
      <c r="S17" s="27"/>
      <c r="T17" s="27"/>
      <c r="U17" s="27"/>
      <c r="V17" s="27" t="s">
        <v>340</v>
      </c>
      <c r="W17" s="27">
        <v>55.0</v>
      </c>
      <c r="X17" s="27">
        <v>1.0</v>
      </c>
      <c r="Y17" s="27">
        <f t="shared" si="12"/>
        <v>55</v>
      </c>
      <c r="Z17" s="27"/>
    </row>
    <row r="18" ht="14.25" customHeight="1">
      <c r="A18" s="27"/>
      <c r="B18" s="60" t="s">
        <v>341</v>
      </c>
      <c r="C18" s="62">
        <v>1.0</v>
      </c>
      <c r="D18" s="62">
        <v>1.0</v>
      </c>
      <c r="E18" s="62">
        <v>-1.0</v>
      </c>
      <c r="F18" s="62">
        <v>-1.0</v>
      </c>
      <c r="G18" s="62">
        <v>7.9746</v>
      </c>
      <c r="H18" s="102">
        <f t="shared" si="3"/>
        <v>0.8860666667</v>
      </c>
      <c r="I18" s="96">
        <f t="shared" si="4"/>
        <v>29.7491024</v>
      </c>
      <c r="J18" s="96">
        <f t="shared" si="5"/>
        <v>3.305455822</v>
      </c>
      <c r="K18" s="27"/>
      <c r="L18" s="96">
        <f t="shared" si="6"/>
        <v>3.15</v>
      </c>
      <c r="M18" s="98">
        <f t="shared" si="7"/>
        <v>10.58855477</v>
      </c>
      <c r="N18" s="96">
        <f t="shared" si="8"/>
        <v>11.9671024</v>
      </c>
      <c r="O18" s="98">
        <f t="shared" si="9"/>
        <v>40.22676798</v>
      </c>
      <c r="P18" s="96">
        <f t="shared" si="10"/>
        <v>14.632</v>
      </c>
      <c r="Q18" s="98">
        <f t="shared" si="11"/>
        <v>49.18467725</v>
      </c>
      <c r="R18" s="27"/>
      <c r="S18" s="27"/>
      <c r="T18" s="27"/>
      <c r="U18" s="27"/>
      <c r="V18" s="27"/>
      <c r="W18" s="27"/>
      <c r="X18" s="27"/>
      <c r="Y18" s="27">
        <f>SUM(Y15:Y17)</f>
        <v>215</v>
      </c>
      <c r="Z18" s="27"/>
    </row>
    <row r="19" ht="14.25" customHeight="1">
      <c r="A19" s="27"/>
      <c r="B19" s="60" t="s">
        <v>342</v>
      </c>
      <c r="C19" s="62">
        <v>-1.0</v>
      </c>
      <c r="D19" s="62">
        <v>-1.0</v>
      </c>
      <c r="E19" s="62">
        <v>1.0</v>
      </c>
      <c r="F19" s="62">
        <v>1.0</v>
      </c>
      <c r="G19" s="62"/>
      <c r="H19" s="102">
        <f t="shared" si="3"/>
        <v>0</v>
      </c>
      <c r="I19" s="96">
        <f t="shared" si="4"/>
        <v>52.12626144</v>
      </c>
      <c r="J19" s="96">
        <f t="shared" si="5"/>
        <v>17.37542048</v>
      </c>
      <c r="K19" s="27"/>
      <c r="L19" s="96">
        <f t="shared" si="6"/>
        <v>1.05</v>
      </c>
      <c r="M19" s="98">
        <f t="shared" si="7"/>
        <v>2.014339742</v>
      </c>
      <c r="N19" s="96">
        <f t="shared" si="8"/>
        <v>7.18026144</v>
      </c>
      <c r="O19" s="98">
        <f t="shared" si="9"/>
        <v>13.77474855</v>
      </c>
      <c r="P19" s="96">
        <f t="shared" si="10"/>
        <v>43.896</v>
      </c>
      <c r="Q19" s="98">
        <f t="shared" si="11"/>
        <v>84.21091171</v>
      </c>
      <c r="R19" s="27"/>
      <c r="S19" s="27"/>
      <c r="T19" s="27"/>
      <c r="U19" s="27"/>
      <c r="V19" s="27"/>
      <c r="W19" s="27"/>
      <c r="X19" s="27"/>
      <c r="Y19" s="27"/>
      <c r="Z19" s="27"/>
    </row>
    <row r="20" ht="14.25" customHeight="1">
      <c r="A20" s="27"/>
      <c r="B20" s="60" t="s">
        <v>343</v>
      </c>
      <c r="C20" s="62">
        <v>1.0</v>
      </c>
      <c r="D20" s="62">
        <v>-1.0</v>
      </c>
      <c r="E20" s="62">
        <v>1.0</v>
      </c>
      <c r="F20" s="62">
        <v>-1.0</v>
      </c>
      <c r="G20" s="62">
        <v>3.4937</v>
      </c>
      <c r="H20" s="102">
        <f t="shared" si="3"/>
        <v>0.3881888889</v>
      </c>
      <c r="I20" s="96">
        <f t="shared" si="4"/>
        <v>24.96226144</v>
      </c>
      <c r="J20" s="96">
        <f t="shared" si="5"/>
        <v>2.773584604</v>
      </c>
      <c r="K20" s="27"/>
      <c r="L20" s="96">
        <f t="shared" si="6"/>
        <v>3.15</v>
      </c>
      <c r="M20" s="98">
        <f t="shared" si="7"/>
        <v>12.61904899</v>
      </c>
      <c r="N20" s="96">
        <f t="shared" si="8"/>
        <v>7.18026144</v>
      </c>
      <c r="O20" s="98">
        <f t="shared" si="9"/>
        <v>28.76446694</v>
      </c>
      <c r="P20" s="96">
        <f t="shared" si="10"/>
        <v>14.632</v>
      </c>
      <c r="Q20" s="98">
        <f t="shared" si="11"/>
        <v>58.61648407</v>
      </c>
      <c r="R20" s="27"/>
      <c r="S20" s="27"/>
      <c r="T20" s="27"/>
      <c r="U20" s="27"/>
      <c r="V20" s="27"/>
      <c r="W20" s="27"/>
      <c r="X20" s="27"/>
      <c r="Y20" s="27"/>
      <c r="Z20" s="27"/>
    </row>
    <row r="21" ht="14.25" customHeight="1">
      <c r="A21" s="27"/>
      <c r="B21" s="60" t="s">
        <v>344</v>
      </c>
      <c r="C21" s="62">
        <v>-1.0</v>
      </c>
      <c r="D21" s="62">
        <v>1.0</v>
      </c>
      <c r="E21" s="62">
        <v>1.0</v>
      </c>
      <c r="F21" s="62">
        <v>-1.0</v>
      </c>
      <c r="G21" s="62">
        <v>1.6361</v>
      </c>
      <c r="H21" s="102">
        <f t="shared" si="3"/>
        <v>0.5453666667</v>
      </c>
      <c r="I21" s="96">
        <f t="shared" si="4"/>
        <v>27.6491024</v>
      </c>
      <c r="J21" s="96">
        <f t="shared" si="5"/>
        <v>9.216367467</v>
      </c>
      <c r="K21" s="27"/>
      <c r="L21" s="96">
        <f t="shared" si="6"/>
        <v>1.05</v>
      </c>
      <c r="M21" s="98">
        <f t="shared" si="7"/>
        <v>3.797591635</v>
      </c>
      <c r="N21" s="96">
        <f t="shared" si="8"/>
        <v>11.9671024</v>
      </c>
      <c r="O21" s="98">
        <f t="shared" si="9"/>
        <v>43.28206474</v>
      </c>
      <c r="P21" s="96">
        <f t="shared" si="10"/>
        <v>14.632</v>
      </c>
      <c r="Q21" s="98">
        <f t="shared" si="11"/>
        <v>52.92034363</v>
      </c>
      <c r="R21" s="27"/>
      <c r="S21" s="27"/>
      <c r="T21" s="27"/>
      <c r="U21" s="27"/>
      <c r="V21" s="27"/>
      <c r="W21" s="27"/>
      <c r="X21" s="27"/>
      <c r="Y21" s="27"/>
      <c r="Z21" s="27"/>
    </row>
    <row r="22" ht="14.25" customHeight="1">
      <c r="A22" s="27"/>
      <c r="B22" s="60" t="s">
        <v>345</v>
      </c>
      <c r="C22" s="62">
        <v>1.0</v>
      </c>
      <c r="D22" s="62">
        <v>1.0</v>
      </c>
      <c r="E22" s="62">
        <v>1.0</v>
      </c>
      <c r="F22" s="62">
        <v>1.0</v>
      </c>
      <c r="G22" s="62"/>
      <c r="H22" s="102">
        <f t="shared" si="3"/>
        <v>0</v>
      </c>
      <c r="I22" s="96">
        <f t="shared" si="4"/>
        <v>59.0131024</v>
      </c>
      <c r="J22" s="96">
        <f t="shared" si="5"/>
        <v>6.557011378</v>
      </c>
      <c r="K22" s="27"/>
      <c r="L22" s="96">
        <f t="shared" si="6"/>
        <v>3.15</v>
      </c>
      <c r="M22" s="98">
        <f t="shared" si="7"/>
        <v>5.337797662</v>
      </c>
      <c r="N22" s="96">
        <f t="shared" si="8"/>
        <v>11.9671024</v>
      </c>
      <c r="O22" s="98">
        <f t="shared" si="9"/>
        <v>20.27872102</v>
      </c>
      <c r="P22" s="96">
        <f t="shared" si="10"/>
        <v>43.896</v>
      </c>
      <c r="Q22" s="98">
        <f t="shared" si="11"/>
        <v>74.38348132</v>
      </c>
      <c r="R22" s="27"/>
      <c r="S22" s="27"/>
      <c r="T22" s="27"/>
      <c r="U22" s="27"/>
      <c r="V22" s="27"/>
      <c r="W22" s="27"/>
      <c r="X22" s="27"/>
      <c r="Y22" s="27"/>
      <c r="Z22" s="27"/>
    </row>
    <row r="23" ht="14.25" customHeight="1">
      <c r="A23" s="27"/>
      <c r="B23" s="60" t="s">
        <v>346</v>
      </c>
      <c r="C23" s="103">
        <v>-1.0</v>
      </c>
      <c r="D23" s="103">
        <v>1.0</v>
      </c>
      <c r="E23" s="103">
        <v>1.0</v>
      </c>
      <c r="F23" s="103">
        <v>1.0</v>
      </c>
      <c r="G23" s="103"/>
      <c r="H23" s="104">
        <f t="shared" si="3"/>
        <v>0</v>
      </c>
      <c r="I23" s="105">
        <f t="shared" si="4"/>
        <v>56.9131024</v>
      </c>
      <c r="J23" s="105">
        <f t="shared" si="5"/>
        <v>18.97103413</v>
      </c>
      <c r="K23" s="27"/>
      <c r="L23" s="96">
        <f t="shared" si="6"/>
        <v>1.05</v>
      </c>
      <c r="M23" s="98">
        <f t="shared" si="7"/>
        <v>1.844917876</v>
      </c>
      <c r="N23" s="96">
        <f t="shared" si="8"/>
        <v>11.9671024</v>
      </c>
      <c r="O23" s="98">
        <f t="shared" si="9"/>
        <v>21.02697252</v>
      </c>
      <c r="P23" s="96">
        <f t="shared" si="10"/>
        <v>43.896</v>
      </c>
      <c r="Q23" s="98">
        <f t="shared" si="11"/>
        <v>77.12810961</v>
      </c>
      <c r="R23" s="27"/>
      <c r="S23" s="27"/>
      <c r="T23" s="27"/>
      <c r="U23" s="27"/>
      <c r="V23" s="27"/>
      <c r="W23" s="27"/>
      <c r="X23" s="27"/>
      <c r="Y23" s="27"/>
      <c r="Z23" s="27"/>
    </row>
    <row r="24" ht="14.25" customHeight="1">
      <c r="A24" s="27"/>
      <c r="B24" s="60" t="s">
        <v>347</v>
      </c>
      <c r="C24" s="103">
        <v>-1.0</v>
      </c>
      <c r="D24" s="103">
        <v>-1.0</v>
      </c>
      <c r="E24" s="103">
        <v>1.0</v>
      </c>
      <c r="F24" s="103">
        <v>-1.0</v>
      </c>
      <c r="G24" s="103"/>
      <c r="H24" s="104">
        <f t="shared" si="3"/>
        <v>0</v>
      </c>
      <c r="I24" s="105">
        <f t="shared" si="4"/>
        <v>22.86226144</v>
      </c>
      <c r="J24" s="105">
        <f t="shared" si="5"/>
        <v>7.620753813</v>
      </c>
      <c r="K24" s="27"/>
      <c r="L24" s="96">
        <f t="shared" si="6"/>
        <v>1.05</v>
      </c>
      <c r="M24" s="98">
        <f t="shared" si="7"/>
        <v>4.592721515</v>
      </c>
      <c r="N24" s="96">
        <f t="shared" si="8"/>
        <v>7.18026144</v>
      </c>
      <c r="O24" s="98">
        <f t="shared" si="9"/>
        <v>31.40661067</v>
      </c>
      <c r="P24" s="96">
        <f t="shared" si="10"/>
        <v>14.632</v>
      </c>
      <c r="Q24" s="98">
        <f t="shared" si="11"/>
        <v>64.00066782</v>
      </c>
      <c r="R24" s="27"/>
      <c r="S24" s="27"/>
      <c r="T24" s="27"/>
      <c r="U24" s="27"/>
      <c r="V24" s="27"/>
      <c r="W24" s="27"/>
      <c r="X24" s="27"/>
      <c r="Y24" s="27"/>
      <c r="Z24" s="27"/>
    </row>
    <row r="25" ht="14.25" customHeight="1">
      <c r="A25" s="27"/>
      <c r="B25" s="60" t="s">
        <v>348</v>
      </c>
      <c r="C25" s="103">
        <v>-1.0</v>
      </c>
      <c r="D25" s="103">
        <v>1.0</v>
      </c>
      <c r="E25" s="103">
        <v>-1.0</v>
      </c>
      <c r="F25" s="103">
        <v>-1.0</v>
      </c>
      <c r="G25" s="103"/>
      <c r="H25" s="104">
        <f t="shared" si="3"/>
        <v>0</v>
      </c>
      <c r="I25" s="105">
        <f t="shared" si="4"/>
        <v>27.6491024</v>
      </c>
      <c r="J25" s="105">
        <f t="shared" si="5"/>
        <v>9.216367467</v>
      </c>
      <c r="K25" s="27"/>
      <c r="L25" s="96">
        <f t="shared" si="6"/>
        <v>1.05</v>
      </c>
      <c r="M25" s="98">
        <f t="shared" si="7"/>
        <v>3.797591635</v>
      </c>
      <c r="N25" s="96">
        <f t="shared" si="8"/>
        <v>11.9671024</v>
      </c>
      <c r="O25" s="98">
        <f t="shared" si="9"/>
        <v>43.28206474</v>
      </c>
      <c r="P25" s="96">
        <f t="shared" si="10"/>
        <v>14.632</v>
      </c>
      <c r="Q25" s="98">
        <f t="shared" si="11"/>
        <v>52.92034363</v>
      </c>
      <c r="R25" s="27"/>
      <c r="S25" s="27"/>
      <c r="T25" s="27"/>
      <c r="U25" s="27"/>
      <c r="V25" s="27"/>
      <c r="W25" s="27"/>
      <c r="X25" s="27"/>
      <c r="Y25" s="27"/>
      <c r="Z25" s="27"/>
    </row>
    <row r="26" ht="14.25" customHeight="1">
      <c r="A26" s="27"/>
      <c r="B26" s="60" t="s">
        <v>349</v>
      </c>
      <c r="C26" s="103">
        <f t="shared" ref="C26:D26" si="13">1</f>
        <v>1</v>
      </c>
      <c r="D26" s="103">
        <f t="shared" si="13"/>
        <v>1</v>
      </c>
      <c r="E26" s="103">
        <v>-1.0</v>
      </c>
      <c r="F26" s="103">
        <v>1.0</v>
      </c>
      <c r="G26" s="103"/>
      <c r="H26" s="104">
        <f t="shared" si="3"/>
        <v>0</v>
      </c>
      <c r="I26" s="105">
        <f t="shared" si="4"/>
        <v>59.0131024</v>
      </c>
      <c r="J26" s="105">
        <f t="shared" si="5"/>
        <v>6.557011378</v>
      </c>
      <c r="K26" s="27"/>
      <c r="L26" s="96">
        <f t="shared" si="6"/>
        <v>3.15</v>
      </c>
      <c r="M26" s="98">
        <f t="shared" si="7"/>
        <v>5.337797662</v>
      </c>
      <c r="N26" s="96">
        <f t="shared" si="8"/>
        <v>11.9671024</v>
      </c>
      <c r="O26" s="98">
        <f t="shared" si="9"/>
        <v>20.27872102</v>
      </c>
      <c r="P26" s="96">
        <f t="shared" si="10"/>
        <v>43.896</v>
      </c>
      <c r="Q26" s="98">
        <f t="shared" si="11"/>
        <v>74.38348132</v>
      </c>
      <c r="R26" s="27"/>
      <c r="S26" s="27"/>
      <c r="T26" s="27"/>
      <c r="U26" s="27"/>
      <c r="V26" s="27"/>
      <c r="W26" s="27"/>
      <c r="X26" s="27"/>
      <c r="Y26" s="27"/>
      <c r="Z26" s="27"/>
    </row>
    <row r="27" ht="14.25" customHeight="1">
      <c r="A27" s="27"/>
      <c r="B27" s="60" t="s">
        <v>350</v>
      </c>
      <c r="C27" s="106">
        <v>-1.0</v>
      </c>
      <c r="D27" s="106">
        <v>0.0</v>
      </c>
      <c r="E27" s="106">
        <v>0.0</v>
      </c>
      <c r="F27" s="106">
        <v>0.0</v>
      </c>
      <c r="G27" s="106"/>
      <c r="H27" s="107">
        <f t="shared" si="3"/>
        <v>0</v>
      </c>
      <c r="I27" s="108">
        <f t="shared" si="4"/>
        <v>39.88768192</v>
      </c>
      <c r="J27" s="108">
        <f t="shared" si="5"/>
        <v>13.29589397</v>
      </c>
      <c r="K27" s="27"/>
      <c r="L27" s="96">
        <f t="shared" si="6"/>
        <v>1.05</v>
      </c>
      <c r="M27" s="98">
        <f t="shared" si="7"/>
        <v>2.632391629</v>
      </c>
      <c r="N27" s="96">
        <f t="shared" si="8"/>
        <v>9.57368192</v>
      </c>
      <c r="O27" s="98">
        <f t="shared" si="9"/>
        <v>24.00160014</v>
      </c>
      <c r="P27" s="96">
        <f t="shared" si="10"/>
        <v>29.264</v>
      </c>
      <c r="Q27" s="98">
        <f t="shared" si="11"/>
        <v>73.36600823</v>
      </c>
      <c r="R27" s="27"/>
      <c r="S27" s="27"/>
      <c r="T27" s="27"/>
      <c r="U27" s="27"/>
      <c r="V27" s="27"/>
      <c r="W27" s="27"/>
      <c r="X27" s="27"/>
      <c r="Y27" s="27"/>
      <c r="Z27" s="27"/>
    </row>
    <row r="28" ht="14.25" customHeight="1">
      <c r="A28" s="27"/>
      <c r="B28" s="60" t="s">
        <v>351</v>
      </c>
      <c r="C28" s="106">
        <v>1.0</v>
      </c>
      <c r="D28" s="106">
        <v>0.0</v>
      </c>
      <c r="E28" s="106">
        <v>0.0</v>
      </c>
      <c r="F28" s="106">
        <v>0.0</v>
      </c>
      <c r="G28" s="106"/>
      <c r="H28" s="107">
        <f t="shared" si="3"/>
        <v>0</v>
      </c>
      <c r="I28" s="108">
        <f t="shared" si="4"/>
        <v>41.98768192</v>
      </c>
      <c r="J28" s="108">
        <f t="shared" si="5"/>
        <v>4.665297991</v>
      </c>
      <c r="K28" s="27"/>
      <c r="L28" s="96">
        <f t="shared" si="6"/>
        <v>3.15</v>
      </c>
      <c r="M28" s="98">
        <f t="shared" si="7"/>
        <v>7.502200302</v>
      </c>
      <c r="N28" s="96">
        <f t="shared" si="8"/>
        <v>9.57368192</v>
      </c>
      <c r="O28" s="98">
        <f t="shared" si="9"/>
        <v>22.80116806</v>
      </c>
      <c r="P28" s="96">
        <f t="shared" si="10"/>
        <v>29.264</v>
      </c>
      <c r="Q28" s="98">
        <f t="shared" si="11"/>
        <v>69.69663164</v>
      </c>
      <c r="R28" s="27"/>
      <c r="S28" s="27"/>
      <c r="T28" s="27"/>
      <c r="U28" s="27"/>
      <c r="V28" s="27"/>
      <c r="W28" s="27"/>
      <c r="X28" s="27"/>
      <c r="Y28" s="27"/>
      <c r="Z28" s="27"/>
    </row>
    <row r="29" ht="14.25" customHeight="1">
      <c r="A29" s="27"/>
      <c r="B29" s="60" t="s">
        <v>352</v>
      </c>
      <c r="C29" s="106">
        <v>0.0</v>
      </c>
      <c r="D29" s="106">
        <v>-1.0</v>
      </c>
      <c r="E29" s="106">
        <v>0.0</v>
      </c>
      <c r="F29" s="106">
        <v>0.0</v>
      </c>
      <c r="G29" s="106"/>
      <c r="H29" s="107">
        <f t="shared" si="3"/>
        <v>0</v>
      </c>
      <c r="I29" s="108">
        <f t="shared" si="4"/>
        <v>38.54426144</v>
      </c>
      <c r="J29" s="108">
        <f t="shared" si="5"/>
        <v>6.424043573</v>
      </c>
      <c r="K29" s="27"/>
      <c r="L29" s="96">
        <f t="shared" si="6"/>
        <v>2.1</v>
      </c>
      <c r="M29" s="98">
        <f t="shared" si="7"/>
        <v>5.448281849</v>
      </c>
      <c r="N29" s="96">
        <f t="shared" si="8"/>
        <v>7.18026144</v>
      </c>
      <c r="O29" s="98">
        <f t="shared" si="9"/>
        <v>18.62861337</v>
      </c>
      <c r="P29" s="96">
        <f t="shared" si="10"/>
        <v>29.264</v>
      </c>
      <c r="Q29" s="98">
        <f t="shared" si="11"/>
        <v>75.92310478</v>
      </c>
      <c r="R29" s="27"/>
      <c r="S29" s="27"/>
      <c r="T29" s="27"/>
      <c r="U29" s="27"/>
      <c r="V29" s="27"/>
      <c r="W29" s="27"/>
      <c r="X29" s="27"/>
      <c r="Y29" s="27"/>
      <c r="Z29" s="27"/>
    </row>
    <row r="30" ht="14.25" customHeight="1">
      <c r="A30" s="27"/>
      <c r="B30" s="60" t="s">
        <v>353</v>
      </c>
      <c r="C30" s="106">
        <v>0.0</v>
      </c>
      <c r="D30" s="106">
        <v>1.0</v>
      </c>
      <c r="E30" s="106">
        <v>0.0</v>
      </c>
      <c r="F30" s="106">
        <v>0.0</v>
      </c>
      <c r="G30" s="106"/>
      <c r="H30" s="107">
        <f t="shared" si="3"/>
        <v>0</v>
      </c>
      <c r="I30" s="108">
        <f t="shared" si="4"/>
        <v>43.3311024</v>
      </c>
      <c r="J30" s="108">
        <f t="shared" si="5"/>
        <v>7.2218504</v>
      </c>
      <c r="K30" s="27"/>
      <c r="L30" s="96">
        <f t="shared" si="6"/>
        <v>2.1</v>
      </c>
      <c r="M30" s="98">
        <f t="shared" si="7"/>
        <v>4.846403354</v>
      </c>
      <c r="N30" s="96">
        <f t="shared" si="8"/>
        <v>11.9671024</v>
      </c>
      <c r="O30" s="98">
        <f t="shared" si="9"/>
        <v>27.617812</v>
      </c>
      <c r="P30" s="96">
        <f t="shared" si="10"/>
        <v>29.264</v>
      </c>
      <c r="Q30" s="98">
        <f t="shared" si="11"/>
        <v>67.53578464</v>
      </c>
      <c r="R30" s="27"/>
      <c r="S30" s="27"/>
      <c r="T30" s="27"/>
      <c r="U30" s="27"/>
      <c r="V30" s="27"/>
      <c r="W30" s="27"/>
      <c r="X30" s="27"/>
      <c r="Y30" s="27"/>
      <c r="Z30" s="27"/>
    </row>
    <row r="31" ht="14.25" customHeight="1">
      <c r="A31" s="27"/>
      <c r="B31" s="60" t="s">
        <v>354</v>
      </c>
      <c r="C31" s="106">
        <v>0.0</v>
      </c>
      <c r="D31" s="106">
        <v>0.0</v>
      </c>
      <c r="E31" s="106">
        <v>-1.0</v>
      </c>
      <c r="F31" s="106">
        <v>0.0</v>
      </c>
      <c r="G31" s="106"/>
      <c r="H31" s="107">
        <f t="shared" si="3"/>
        <v>0</v>
      </c>
      <c r="I31" s="108">
        <f t="shared" si="4"/>
        <v>40.93768192</v>
      </c>
      <c r="J31" s="108">
        <f t="shared" si="5"/>
        <v>6.822946987</v>
      </c>
      <c r="K31" s="27"/>
      <c r="L31" s="96">
        <f t="shared" si="6"/>
        <v>2.1</v>
      </c>
      <c r="M31" s="98">
        <f t="shared" si="7"/>
        <v>5.129748197</v>
      </c>
      <c r="N31" s="96">
        <f t="shared" si="8"/>
        <v>9.57368192</v>
      </c>
      <c r="O31" s="98">
        <f t="shared" si="9"/>
        <v>23.38598932</v>
      </c>
      <c r="P31" s="96">
        <f t="shared" si="10"/>
        <v>29.264</v>
      </c>
      <c r="Q31" s="98">
        <f t="shared" si="11"/>
        <v>71.48426249</v>
      </c>
      <c r="R31" s="27"/>
      <c r="S31" s="27"/>
      <c r="T31" s="27"/>
      <c r="U31" s="27"/>
      <c r="V31" s="27"/>
      <c r="W31" s="27"/>
      <c r="X31" s="27"/>
      <c r="Y31" s="27"/>
      <c r="Z31" s="27"/>
    </row>
    <row r="32" ht="14.25" customHeight="1">
      <c r="A32" s="27"/>
      <c r="B32" s="60" t="s">
        <v>355</v>
      </c>
      <c r="C32" s="106">
        <v>0.0</v>
      </c>
      <c r="D32" s="106">
        <v>0.0</v>
      </c>
      <c r="E32" s="106">
        <v>1.0</v>
      </c>
      <c r="F32" s="106">
        <v>0.0</v>
      </c>
      <c r="G32" s="106"/>
      <c r="H32" s="107">
        <f t="shared" si="3"/>
        <v>0</v>
      </c>
      <c r="I32" s="108">
        <f t="shared" si="4"/>
        <v>40.93768192</v>
      </c>
      <c r="J32" s="108">
        <f t="shared" si="5"/>
        <v>6.822946987</v>
      </c>
      <c r="K32" s="27"/>
      <c r="L32" s="96">
        <f t="shared" si="6"/>
        <v>2.1</v>
      </c>
      <c r="M32" s="98">
        <f t="shared" si="7"/>
        <v>5.129748197</v>
      </c>
      <c r="N32" s="96">
        <f t="shared" si="8"/>
        <v>9.57368192</v>
      </c>
      <c r="O32" s="98">
        <f t="shared" si="9"/>
        <v>23.38598932</v>
      </c>
      <c r="P32" s="96">
        <f t="shared" si="10"/>
        <v>29.264</v>
      </c>
      <c r="Q32" s="98">
        <f t="shared" si="11"/>
        <v>71.48426249</v>
      </c>
      <c r="R32" s="27"/>
      <c r="S32" s="27"/>
      <c r="T32" s="27"/>
      <c r="U32" s="27"/>
      <c r="V32" s="27"/>
      <c r="W32" s="27"/>
      <c r="X32" s="27"/>
      <c r="Y32" s="27"/>
      <c r="Z32" s="27"/>
    </row>
    <row r="33" ht="14.25" customHeight="1">
      <c r="A33" s="27"/>
      <c r="B33" s="60" t="s">
        <v>356</v>
      </c>
      <c r="C33" s="106">
        <v>0.0</v>
      </c>
      <c r="D33" s="106">
        <v>0.0</v>
      </c>
      <c r="E33" s="106">
        <v>0.0</v>
      </c>
      <c r="F33" s="106">
        <v>-1.0</v>
      </c>
      <c r="G33" s="106"/>
      <c r="H33" s="107">
        <f t="shared" si="3"/>
        <v>0</v>
      </c>
      <c r="I33" s="108">
        <f t="shared" si="4"/>
        <v>26.30568192</v>
      </c>
      <c r="J33" s="108">
        <f t="shared" si="5"/>
        <v>4.38428032</v>
      </c>
      <c r="K33" s="27"/>
      <c r="L33" s="96">
        <f t="shared" si="6"/>
        <v>2.1</v>
      </c>
      <c r="M33" s="98">
        <f t="shared" si="7"/>
        <v>7.983066192</v>
      </c>
      <c r="N33" s="96">
        <f t="shared" si="8"/>
        <v>9.57368192</v>
      </c>
      <c r="O33" s="98">
        <f t="shared" si="9"/>
        <v>36.39396975</v>
      </c>
      <c r="P33" s="96">
        <f t="shared" si="10"/>
        <v>14.632</v>
      </c>
      <c r="Q33" s="98">
        <f t="shared" si="11"/>
        <v>55.62296406</v>
      </c>
      <c r="R33" s="27"/>
      <c r="S33" s="27"/>
      <c r="T33" s="27"/>
      <c r="U33" s="27"/>
      <c r="V33" s="27"/>
      <c r="W33" s="27"/>
      <c r="X33" s="27"/>
      <c r="Y33" s="27"/>
      <c r="Z33" s="27"/>
    </row>
    <row r="34" ht="14.25" customHeight="1">
      <c r="A34" s="27"/>
      <c r="B34" s="60" t="s">
        <v>357</v>
      </c>
      <c r="C34" s="106">
        <v>0.0</v>
      </c>
      <c r="D34" s="106">
        <v>0.0</v>
      </c>
      <c r="E34" s="106">
        <v>0.0</v>
      </c>
      <c r="F34" s="106">
        <v>1.0</v>
      </c>
      <c r="G34" s="106"/>
      <c r="H34" s="107">
        <f t="shared" si="3"/>
        <v>0</v>
      </c>
      <c r="I34" s="108">
        <f t="shared" si="4"/>
        <v>55.56968192</v>
      </c>
      <c r="J34" s="108">
        <f t="shared" si="5"/>
        <v>9.261613653</v>
      </c>
      <c r="K34" s="27"/>
      <c r="L34" s="96">
        <f t="shared" si="6"/>
        <v>2.1</v>
      </c>
      <c r="M34" s="98">
        <f t="shared" si="7"/>
        <v>3.779039086</v>
      </c>
      <c r="N34" s="96">
        <f t="shared" si="8"/>
        <v>9.57368192</v>
      </c>
      <c r="O34" s="98">
        <f t="shared" si="9"/>
        <v>17.22824675</v>
      </c>
      <c r="P34" s="96">
        <f t="shared" si="10"/>
        <v>43.896</v>
      </c>
      <c r="Q34" s="98">
        <f t="shared" si="11"/>
        <v>78.99271416</v>
      </c>
      <c r="R34" s="27"/>
      <c r="S34" s="27"/>
      <c r="T34" s="27"/>
      <c r="U34" s="27"/>
      <c r="V34" s="27"/>
      <c r="W34" s="27"/>
      <c r="X34" s="27"/>
      <c r="Y34" s="27"/>
      <c r="Z34" s="27"/>
    </row>
    <row r="35" ht="14.25" customHeight="1">
      <c r="A35" s="27"/>
      <c r="B35" s="109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4.25" customHeight="1">
      <c r="A36" s="27"/>
      <c r="B36" s="94">
        <v>21.0</v>
      </c>
      <c r="C36" s="110">
        <v>-1.0</v>
      </c>
      <c r="D36" s="110">
        <v>1.0</v>
      </c>
      <c r="E36" s="110">
        <v>-1.0</v>
      </c>
      <c r="F36" s="110">
        <v>0.5</v>
      </c>
      <c r="G36" s="106"/>
      <c r="H36" s="107">
        <f t="shared" ref="H36:H53" si="14">G36/(HLOOKUP(C36,$C$3:$E$7,2,FALSE))</f>
        <v>0</v>
      </c>
      <c r="I36" s="108" t="str">
        <f t="shared" ref="I36:I53" si="15">(HLOOKUP(C36,$C$3:$E$7,2,FALSE)*$L$5/1000)+(HLOOKUP(D36,$C$3:$E$7,3,FALSE)*0.055*39.997*$L$6/1000)+($L$7*HLOOKUP(F36,$C$3:$E$7,5,FALSE))</f>
        <v>#N/A</v>
      </c>
      <c r="J36" s="108" t="str">
        <f t="shared" ref="J36:J53" si="16">I36/HLOOKUP(C36,$C$3:$E$7,2,FALSE)</f>
        <v>#N/A</v>
      </c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4.25" customHeight="1">
      <c r="A37" s="27"/>
      <c r="B37" s="94">
        <v>12.0</v>
      </c>
      <c r="C37" s="110">
        <v>-1.0</v>
      </c>
      <c r="D37" s="110">
        <v>1.0</v>
      </c>
      <c r="E37" s="110">
        <v>-1.0</v>
      </c>
      <c r="F37" s="110">
        <v>1.0</v>
      </c>
      <c r="G37" s="106"/>
      <c r="H37" s="107">
        <f t="shared" si="14"/>
        <v>0</v>
      </c>
      <c r="I37" s="108">
        <f t="shared" si="15"/>
        <v>56.9131024</v>
      </c>
      <c r="J37" s="108">
        <f t="shared" si="16"/>
        <v>18.97103413</v>
      </c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4.25" customHeight="1">
      <c r="A38" s="27"/>
      <c r="B38" s="94">
        <v>13.0</v>
      </c>
      <c r="C38" s="110">
        <v>-1.0</v>
      </c>
      <c r="D38" s="110">
        <v>1.0</v>
      </c>
      <c r="E38" s="110">
        <v>-1.0</v>
      </c>
      <c r="F38" s="110">
        <v>2.0</v>
      </c>
      <c r="G38" s="106"/>
      <c r="H38" s="107">
        <f t="shared" si="14"/>
        <v>0</v>
      </c>
      <c r="I38" s="108" t="str">
        <f t="shared" si="15"/>
        <v>#N/A</v>
      </c>
      <c r="J38" s="108" t="str">
        <f t="shared" si="16"/>
        <v>#N/A</v>
      </c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4.25" customHeight="1">
      <c r="A39" s="27"/>
      <c r="B39" s="94">
        <v>14.0</v>
      </c>
      <c r="C39" s="110">
        <v>-1.0</v>
      </c>
      <c r="D39" s="110">
        <v>1.0</v>
      </c>
      <c r="E39" s="110">
        <v>-1.0</v>
      </c>
      <c r="F39" s="110">
        <v>4.0</v>
      </c>
      <c r="G39" s="106"/>
      <c r="H39" s="107">
        <f t="shared" si="14"/>
        <v>0</v>
      </c>
      <c r="I39" s="108" t="str">
        <f t="shared" si="15"/>
        <v>#N/A</v>
      </c>
      <c r="J39" s="108" t="str">
        <f t="shared" si="16"/>
        <v>#N/A</v>
      </c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4.25" customHeight="1">
      <c r="A40" s="27"/>
      <c r="B40" s="94">
        <v>22.0</v>
      </c>
      <c r="C40" s="110">
        <v>-1.0</v>
      </c>
      <c r="D40" s="110">
        <v>1.0</v>
      </c>
      <c r="E40" s="110">
        <v>-1.0</v>
      </c>
      <c r="F40" s="110">
        <v>16.0</v>
      </c>
      <c r="G40" s="106"/>
      <c r="H40" s="107">
        <f t="shared" si="14"/>
        <v>0</v>
      </c>
      <c r="I40" s="108" t="str">
        <f t="shared" si="15"/>
        <v>#N/A</v>
      </c>
      <c r="J40" s="108" t="str">
        <f t="shared" si="16"/>
        <v>#N/A</v>
      </c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4.25" customHeight="1">
      <c r="A41" s="27"/>
      <c r="B41" s="94">
        <v>31.0</v>
      </c>
      <c r="C41" s="110">
        <v>-1.0</v>
      </c>
      <c r="D41" s="110">
        <v>1.0</v>
      </c>
      <c r="E41" s="110">
        <v>-1.0</v>
      </c>
      <c r="F41" s="110">
        <v>24.0</v>
      </c>
      <c r="G41" s="106"/>
      <c r="H41" s="107">
        <f t="shared" si="14"/>
        <v>0</v>
      </c>
      <c r="I41" s="108" t="str">
        <f t="shared" si="15"/>
        <v>#N/A</v>
      </c>
      <c r="J41" s="108" t="str">
        <f t="shared" si="16"/>
        <v>#N/A</v>
      </c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4.25" customHeight="1">
      <c r="A42" s="27"/>
      <c r="B42" s="94">
        <v>23.0</v>
      </c>
      <c r="C42" s="110">
        <v>0.0</v>
      </c>
      <c r="D42" s="110">
        <v>0.0</v>
      </c>
      <c r="E42" s="110">
        <v>0.0</v>
      </c>
      <c r="F42" s="110">
        <v>0.5</v>
      </c>
      <c r="G42" s="106"/>
      <c r="H42" s="107">
        <f t="shared" si="14"/>
        <v>0</v>
      </c>
      <c r="I42" s="108" t="str">
        <f t="shared" si="15"/>
        <v>#N/A</v>
      </c>
      <c r="J42" s="108" t="str">
        <f t="shared" si="16"/>
        <v>#N/A</v>
      </c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4.25" customHeight="1">
      <c r="A43" s="27"/>
      <c r="B43" s="94">
        <v>15.0</v>
      </c>
      <c r="C43" s="110">
        <v>0.0</v>
      </c>
      <c r="D43" s="110">
        <v>0.0</v>
      </c>
      <c r="E43" s="110">
        <v>0.0</v>
      </c>
      <c r="F43" s="110">
        <v>1.0</v>
      </c>
      <c r="G43" s="106"/>
      <c r="H43" s="107">
        <f t="shared" si="14"/>
        <v>0</v>
      </c>
      <c r="I43" s="108">
        <f t="shared" si="15"/>
        <v>55.56968192</v>
      </c>
      <c r="J43" s="108">
        <f t="shared" si="16"/>
        <v>9.261613653</v>
      </c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4.25" customHeight="1">
      <c r="A44" s="27"/>
      <c r="B44" s="94">
        <v>16.0</v>
      </c>
      <c r="C44" s="110">
        <v>0.0</v>
      </c>
      <c r="D44" s="110">
        <v>0.0</v>
      </c>
      <c r="E44" s="110">
        <v>0.0</v>
      </c>
      <c r="F44" s="110">
        <v>2.0</v>
      </c>
      <c r="G44" s="106"/>
      <c r="H44" s="107">
        <f t="shared" si="14"/>
        <v>0</v>
      </c>
      <c r="I44" s="108" t="str">
        <f t="shared" si="15"/>
        <v>#N/A</v>
      </c>
      <c r="J44" s="108" t="str">
        <f t="shared" si="16"/>
        <v>#N/A</v>
      </c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4.25" customHeight="1">
      <c r="A45" s="27"/>
      <c r="B45" s="94">
        <v>17.0</v>
      </c>
      <c r="C45" s="110">
        <v>0.0</v>
      </c>
      <c r="D45" s="110">
        <v>0.0</v>
      </c>
      <c r="E45" s="110">
        <v>0.0</v>
      </c>
      <c r="F45" s="110">
        <v>4.0</v>
      </c>
      <c r="G45" s="106"/>
      <c r="H45" s="107">
        <f t="shared" si="14"/>
        <v>0</v>
      </c>
      <c r="I45" s="108" t="str">
        <f t="shared" si="15"/>
        <v>#N/A</v>
      </c>
      <c r="J45" s="108" t="str">
        <f t="shared" si="16"/>
        <v>#N/A</v>
      </c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4.25" customHeight="1">
      <c r="A46" s="27"/>
      <c r="B46" s="94">
        <v>26.0</v>
      </c>
      <c r="C46" s="110">
        <v>1.0</v>
      </c>
      <c r="D46" s="110">
        <v>1.0</v>
      </c>
      <c r="E46" s="110">
        <v>1.0</v>
      </c>
      <c r="F46" s="110">
        <v>0.5</v>
      </c>
      <c r="G46" s="106"/>
      <c r="H46" s="107">
        <f t="shared" si="14"/>
        <v>0</v>
      </c>
      <c r="I46" s="108" t="str">
        <f t="shared" si="15"/>
        <v>#N/A</v>
      </c>
      <c r="J46" s="108" t="str">
        <f t="shared" si="16"/>
        <v>#N/A</v>
      </c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4.25" customHeight="1">
      <c r="A47" s="27"/>
      <c r="B47" s="94">
        <v>18.0</v>
      </c>
      <c r="C47" s="110">
        <v>1.0</v>
      </c>
      <c r="D47" s="110">
        <v>1.0</v>
      </c>
      <c r="E47" s="110">
        <v>1.0</v>
      </c>
      <c r="F47" s="110">
        <v>1.0</v>
      </c>
      <c r="G47" s="106"/>
      <c r="H47" s="107">
        <f t="shared" si="14"/>
        <v>0</v>
      </c>
      <c r="I47" s="108">
        <f t="shared" si="15"/>
        <v>59.0131024</v>
      </c>
      <c r="J47" s="108">
        <f t="shared" si="16"/>
        <v>6.557011378</v>
      </c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4.25" customHeight="1">
      <c r="A48" s="27"/>
      <c r="B48" s="94">
        <v>19.0</v>
      </c>
      <c r="C48" s="110">
        <v>1.0</v>
      </c>
      <c r="D48" s="110">
        <v>1.0</v>
      </c>
      <c r="E48" s="110">
        <v>1.0</v>
      </c>
      <c r="F48" s="110">
        <v>2.0</v>
      </c>
      <c r="G48" s="106"/>
      <c r="H48" s="107">
        <f t="shared" si="14"/>
        <v>0</v>
      </c>
      <c r="I48" s="108" t="str">
        <f t="shared" si="15"/>
        <v>#N/A</v>
      </c>
      <c r="J48" s="108" t="str">
        <f t="shared" si="16"/>
        <v>#N/A</v>
      </c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4.25" customHeight="1">
      <c r="A49" s="27"/>
      <c r="B49" s="94">
        <v>20.0</v>
      </c>
      <c r="C49" s="110">
        <v>1.0</v>
      </c>
      <c r="D49" s="110">
        <v>1.0</v>
      </c>
      <c r="E49" s="110">
        <v>1.0</v>
      </c>
      <c r="F49" s="110">
        <v>4.0</v>
      </c>
      <c r="G49" s="106"/>
      <c r="H49" s="107">
        <f t="shared" si="14"/>
        <v>0</v>
      </c>
      <c r="I49" s="108" t="str">
        <f t="shared" si="15"/>
        <v>#N/A</v>
      </c>
      <c r="J49" s="108" t="str">
        <f t="shared" si="16"/>
        <v>#N/A</v>
      </c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4.25" customHeight="1">
      <c r="A50" s="27"/>
      <c r="B50" s="94">
        <v>24.0</v>
      </c>
      <c r="C50" s="110">
        <v>1.0</v>
      </c>
      <c r="D50" s="110">
        <v>1.0</v>
      </c>
      <c r="E50" s="110">
        <v>1.0</v>
      </c>
      <c r="F50" s="110">
        <v>8.0</v>
      </c>
      <c r="G50" s="106"/>
      <c r="H50" s="107">
        <f t="shared" si="14"/>
        <v>0</v>
      </c>
      <c r="I50" s="108" t="str">
        <f t="shared" si="15"/>
        <v>#N/A</v>
      </c>
      <c r="J50" s="108" t="str">
        <f t="shared" si="16"/>
        <v>#N/A</v>
      </c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4.25" customHeight="1">
      <c r="A51" s="27"/>
      <c r="B51" s="94">
        <v>28.0</v>
      </c>
      <c r="C51" s="110">
        <v>1.0</v>
      </c>
      <c r="D51" s="110">
        <v>1.0</v>
      </c>
      <c r="E51" s="110">
        <v>1.0</v>
      </c>
      <c r="F51" s="110">
        <v>16.0</v>
      </c>
      <c r="G51" s="106"/>
      <c r="H51" s="107">
        <f t="shared" si="14"/>
        <v>0</v>
      </c>
      <c r="I51" s="108" t="str">
        <f t="shared" si="15"/>
        <v>#N/A</v>
      </c>
      <c r="J51" s="108" t="str">
        <f t="shared" si="16"/>
        <v>#N/A</v>
      </c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4.25" customHeight="1">
      <c r="A52" s="27"/>
      <c r="B52" s="94">
        <v>29.0</v>
      </c>
      <c r="C52" s="110">
        <v>1.0</v>
      </c>
      <c r="D52" s="110">
        <v>1.0</v>
      </c>
      <c r="E52" s="110">
        <v>1.0</v>
      </c>
      <c r="F52" s="110">
        <v>48.0</v>
      </c>
      <c r="G52" s="106"/>
      <c r="H52" s="107">
        <f t="shared" si="14"/>
        <v>0</v>
      </c>
      <c r="I52" s="108" t="str">
        <f t="shared" si="15"/>
        <v>#N/A</v>
      </c>
      <c r="J52" s="108" t="str">
        <f t="shared" si="16"/>
        <v>#N/A</v>
      </c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4.25" customHeight="1">
      <c r="A53" s="27"/>
      <c r="B53" s="94">
        <v>30.0</v>
      </c>
      <c r="C53" s="110">
        <v>1.0</v>
      </c>
      <c r="D53" s="110">
        <v>1.0</v>
      </c>
      <c r="E53" s="110">
        <v>1.0</v>
      </c>
      <c r="F53" s="110">
        <v>72.0</v>
      </c>
      <c r="G53" s="106"/>
      <c r="H53" s="107">
        <f t="shared" si="14"/>
        <v>0</v>
      </c>
      <c r="I53" s="108" t="str">
        <f t="shared" si="15"/>
        <v>#N/A</v>
      </c>
      <c r="J53" s="108" t="str">
        <f t="shared" si="16"/>
        <v>#N/A</v>
      </c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4.2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4.2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4.2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4.2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4.2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4.2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4.2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4.2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4.2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4.2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4.2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4.2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4.2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4.2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4.2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4.2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4.2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4.2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4.2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4.2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4.2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4.2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4.2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4.2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4.2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4.2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4.2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4.2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4.2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4.2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4.2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4.2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4.2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4.2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4.2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4.2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4.2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4.2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4.2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4.2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4.2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4.2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4.2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4.2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4.2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4.2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4.2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4.2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4.2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4.2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4.2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4.2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4.2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4.2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4.2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4.2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4.2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4.2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4.2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4.2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4.2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4.2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4.2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4.2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4.2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4.2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4.2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4.2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4.2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4.2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4.2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4.2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4.2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4.2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4.2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4.2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4.2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4.2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4.2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4.2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4.2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4.2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4.2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4.2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4.2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4.2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4.2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4.2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4.2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4.2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4.2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4.2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4.2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4.2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4.2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4.2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4.2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4.2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4.2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4.2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4.2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4.2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4.2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4.2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4.2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4.2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4.2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4.2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4.2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4.2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4.2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4.2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4.2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4.2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4.2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4.2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4.2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4.2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4.2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4.2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4.2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4.2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4.2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4.2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4.2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4.2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4.2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4.2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4.2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4.2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4.2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4.2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4.2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4.2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4.2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4.2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4.2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4.2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4.2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4.2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4.2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4.2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4.2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4.2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4.2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4.2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4.2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4.2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4.2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4.2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4.2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4.2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4.2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4.2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4.2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4.2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4.2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4.2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4.2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4.2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4.2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4.2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4.2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4.2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4.2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4.2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4.2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4.2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4.2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4.2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4.2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4.2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4.2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4.2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4.2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4.2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4.2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4.2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4.2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4.2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4.2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4.2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4.2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4.2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4.2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4.2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4.2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4.2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4.2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4.2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4.2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4.2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4.2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4.2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4.2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4.2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4.2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4.2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4.2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4.2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4.2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4.2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4.2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4.2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4.2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4.2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4.2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4.2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4.2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4.2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4.2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4.2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4.2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4.2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4.2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4.2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4.2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4.2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4.2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4.2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4.2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4.2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4.2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4.2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4.2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4.2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4.2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4.2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4.2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4.2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4.2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4.2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4.2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4.2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4.2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4.2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4.2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4.2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4.2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4.2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4.2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4.2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4.2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4.2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4.2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4.2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4.2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4.2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4.2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4.2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4.2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4.2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4.2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4.2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4.2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4.2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4.2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4.2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4.2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4.2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4.2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4.2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4.2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4.2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4.2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4.2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4.2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4.2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4.2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4.2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4.2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4.2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4.2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4.2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4.2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4.2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4.2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4.2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4.2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4.2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4.2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4.2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4.2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4.2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4.2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4.2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4.2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4.2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4.2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4.2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4.2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4.2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4.2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4.2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4.2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4.2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4.2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4.2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4.2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4.2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4.2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4.2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4.2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4.2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4.2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4.2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4.2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4.2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4.2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4.2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4.2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4.2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4.2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4.2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4.2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4.2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4.2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4.2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4.2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4.2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4.2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4.2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4.2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4.2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4.2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4.2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4.2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4.2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4.2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4.2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4.2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4.2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4.2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4.2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4.2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4.2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4.2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4.2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4.2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4.2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4.2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4.2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4.2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4.2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4.2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4.2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4.2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4.2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4.2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4.2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4.2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4.2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4.2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4.2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4.2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4.2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4.2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4.2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4.2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4.2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4.2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4.2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4.2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4.2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4.2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4.2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4.2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4.2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4.2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4.2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4.2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4.2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4.2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4.2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4.2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4.2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4.2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4.2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4.2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4.2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4.2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4.2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4.2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4.2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4.2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4.2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4.2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4.2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4.2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4.2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4.2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4.2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4.2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4.2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4.2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4.2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4.2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4.2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4.2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4.2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4.2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4.2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4.2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4.2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4.2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4.2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4.2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4.2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4.2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4.2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4.2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4.2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4.2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4.2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4.2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4.2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4.2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4.2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4.2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4.2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4.2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4.2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4.2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4.2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4.2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4.2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4.2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4.2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4.2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4.2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4.2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4.2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4.2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4.2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4.2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4.2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4.2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4.2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4.2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4.2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4.2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4.2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4.2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4.2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4.2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4.2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4.2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4.2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4.2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4.2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4.2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4.2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4.2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4.2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4.2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4.2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4.2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4.2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4.2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4.2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4.2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4.2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4.2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4.2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4.2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4.2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4.2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4.2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4.2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4.2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4.2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4.2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4.2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4.2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4.2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4.2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4.2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4.2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4.2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4.2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4.2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4.2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4.2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4.2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4.2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4.2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4.2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4.2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4.2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4.2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4.2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4.2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4.2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4.2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4.2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4.2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4.2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4.2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4.2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4.2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4.2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4.2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4.2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4.2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4.2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4.2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4.2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4.2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4.2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4.2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4.2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4.2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4.2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4.2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4.2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4.2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4.2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4.2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4.2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4.2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4.2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4.2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4.2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4.2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4.2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4.2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4.2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4.2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4.2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4.2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4.2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4.2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4.2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4.2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4.2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4.2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4.2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4.2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4.2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4.2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4.2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4.2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4.2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4.2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4.2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4.2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4.2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4.2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4.2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4.2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4.2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4.2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4.2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4.2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4.2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4.2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4.2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4.2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4.2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4.2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4.2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4.2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4.2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4.2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4.2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4.2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4.2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4.2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4.2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4.2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4.2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4.2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4.2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4.2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4.2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4.2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4.2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4.2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4.2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4.2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4.2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4.2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4.2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4.2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4.2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4.2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4.2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4.2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4.2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4.2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4.2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4.2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4.2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4.2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4.2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4.2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4.2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4.2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4.2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4.2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4.2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4.2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4.2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4.2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4.2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4.2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4.2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4.2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4.2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4.2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4.2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4.2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4.2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4.2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4.2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4.2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4.2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4.2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4.2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4.2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4.2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4.2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4.2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4.2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4.2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4.2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4.2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4.2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4.2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4.2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4.2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4.2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4.2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4.2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4.2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4.2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4.2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4.2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4.2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4.2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4.2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4.2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4.2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4.2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4.2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4.2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4.2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4.2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4.2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4.2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4.2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4.2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4.2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4.2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4.2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4.2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4.2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4.2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4.2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4.2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4.2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4.2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4.2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4.2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4.2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4.2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4.2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4.2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4.2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4.2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4.2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4.2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4.2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4.2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4.2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4.2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4.2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4.2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4.2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4.2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4.2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4.2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4.2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4.2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4.2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4.2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4.2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4.2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4.2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4.2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4.2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4.2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4.2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4.2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4.2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4.2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4.2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4.2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4.2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4.2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4.2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4.2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4.2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4.2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4.2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4.2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4.2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4.2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4.2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4.2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4.2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4.2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4.2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4.2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4.2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4.2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4.2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4.2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4.2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4.2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4.2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4.2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4.2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4.2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4.2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4.2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4.2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4.2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4.2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4.2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4.2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4.2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4.2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4.2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4.2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4.2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4.2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4.2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4.2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4.2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4.2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4.2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4.2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4.2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4.2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4.2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4.2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4.2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4.2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4.2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4.2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4.2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4.2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4.2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4.2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4.2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4.2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4.2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4.2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4.2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4.2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4.2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4.2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4.2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4.2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4.2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4.2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4.2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4.2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4.2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4.2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4.2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4.2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4.2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4.2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4.2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4.2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4.2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4.2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4.2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4.2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4.2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4.2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4.2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4.2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4.2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4.2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4.2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4.2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4.2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4.2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4.2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4.2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4.2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4.2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4.2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4.2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4.2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4.2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4.2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4.2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4.2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4.2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4.2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4.2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4.2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4.2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4.2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4.2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4.2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4.2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4.2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4.2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4.2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4.2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4.2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4.2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4.2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4.2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4.2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4.2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4.2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4.2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4.2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4.2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4.2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4.2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4.2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4.2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4.2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4.2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4.2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4.2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4.2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4.2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4.2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4.2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4.2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4.2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4.2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4.2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4.2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4.2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4.2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4.2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4.2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4.2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4.2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4.2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4.2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4.2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4.2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4.2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4.2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4.2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4.2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4.2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4.2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4.2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4.2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4.2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4.2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4.2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4.2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4.2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4.2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4.2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4.2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4.2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4.2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4.2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4.2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4.2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4.2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4.2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4.2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4.2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4.2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4.2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4.2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4.2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4.2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4.2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4.2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4.2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4.2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4.2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4.2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4.2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4.2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4.2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4.2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4.2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4.2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4.2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4.2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4.2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4.2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4.2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4.2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4.2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4.2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4.2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4.2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4.2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4.2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4.2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4.2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4.2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4.2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4.2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4.2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4.2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4.2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4.2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4.2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4.2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4.2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4.2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4.2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4.2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4.2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4.2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4.2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4.2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4.2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4.2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4.2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4.2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4.2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4.2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4.2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4.2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4.2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4.2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4.2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4.2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4.2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4.2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4.2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4.2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4.2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4.2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4.2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4.2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4.2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4.2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2">
    <mergeCell ref="B2:F2"/>
    <mergeCell ref="K3:N3"/>
  </mergeCells>
  <hyperlinks>
    <hyperlink r:id="rId1" ref="N5"/>
    <hyperlink r:id="rId2" ref="N6"/>
    <hyperlink r:id="rId3" ref="N7"/>
  </hyperlinks>
  <printOptions/>
  <pageMargins bottom="0.787401575" footer="0.0" header="0.0" left="0.511811024" right="0.511811024" top="0.787401575"/>
  <pageSetup orientation="landscape"/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2022-06-29T15:48:44Z</dcterms:created>
  <dc:creator>Felipe Anchieta</dc:creator>
</cp:coreProperties>
</file>