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otavi\OneDrive\Desktop\p2 daniel projetos\"/>
    </mc:Choice>
  </mc:AlternateContent>
  <xr:revisionPtr revIDLastSave="0" documentId="13_ncr:1_{E9B8D384-8993-4EEC-9C21-BD3886E75262}" xr6:coauthVersionLast="47" xr6:coauthVersionMax="47" xr10:uidLastSave="{00000000-0000-0000-0000-000000000000}"/>
  <bookViews>
    <workbookView xWindow="11856" yWindow="0" windowWidth="11280" windowHeight="12336" firstSheet="2" activeTab="2" xr2:uid="{00000000-000D-0000-FFFF-FFFF00000000}"/>
  </bookViews>
  <sheets>
    <sheet name="1 - Dados iniciais de cargas" sheetId="1" r:id="rId1"/>
    <sheet name="2 - Dados condutores áreas" sheetId="2" r:id="rId2"/>
    <sheet name="3 - Dados condutores QGF-áreas " sheetId="3" r:id="rId3"/>
    <sheet name="4 - Dados de curto-circuito" sheetId="4" r:id="rId4"/>
    <sheet name="5 - Correção Fator de potência " sheetId="6" r:id="rId5"/>
    <sheet name="Tabela de dados WEG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GS+oL9hKE01WcVzzddu2NtQI12B5Zy7Gqg05NAqh77E="/>
    </ext>
  </extLst>
</workbook>
</file>

<file path=xl/calcChain.xml><?xml version="1.0" encoding="utf-8"?>
<calcChain xmlns="http://schemas.openxmlformats.org/spreadsheetml/2006/main">
  <c r="D17" i="1" l="1"/>
  <c r="D19" i="1"/>
  <c r="D13" i="3"/>
  <c r="D14" i="3"/>
  <c r="C4" i="6"/>
  <c r="B4" i="6"/>
  <c r="C3" i="6"/>
  <c r="B3" i="6"/>
  <c r="C2" i="6"/>
  <c r="B2" i="6"/>
  <c r="F3" i="3"/>
  <c r="F4" i="3"/>
  <c r="F2" i="3"/>
  <c r="F2" i="2"/>
  <c r="H16" i="3"/>
  <c r="H15" i="3"/>
  <c r="H14" i="3"/>
  <c r="H19" i="2"/>
  <c r="F5" i="2"/>
  <c r="E3" i="3"/>
  <c r="E4" i="3"/>
  <c r="E2" i="3"/>
  <c r="E15" i="3"/>
  <c r="E16" i="3"/>
  <c r="E14" i="3"/>
  <c r="E21" i="2"/>
  <c r="E18" i="2"/>
  <c r="D15" i="3"/>
  <c r="D16" i="3"/>
  <c r="D4" i="3"/>
  <c r="C4" i="3"/>
  <c r="D3" i="3"/>
  <c r="C3" i="3"/>
  <c r="D2" i="3"/>
  <c r="C2" i="3"/>
  <c r="B4" i="3"/>
  <c r="B3" i="3"/>
  <c r="B2" i="3"/>
  <c r="D27" i="2"/>
  <c r="D28" i="2"/>
  <c r="D26" i="2"/>
  <c r="E3" i="2"/>
  <c r="E4" i="2"/>
  <c r="E5" i="2"/>
  <c r="E6" i="2"/>
  <c r="E7" i="2"/>
  <c r="E8" i="2"/>
  <c r="E10" i="2"/>
  <c r="E2" i="2"/>
  <c r="I32" i="2"/>
  <c r="J32" i="2" s="1"/>
  <c r="K32" i="2" s="1"/>
  <c r="L32" i="2" s="1"/>
  <c r="E32" i="2"/>
  <c r="F3" i="1"/>
  <c r="D32" i="2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G10" i="2"/>
  <c r="H10" i="2" s="1"/>
  <c r="G11" i="2"/>
  <c r="H11" i="2" s="1"/>
  <c r="G12" i="2"/>
  <c r="H12" i="2" s="1"/>
  <c r="G13" i="2"/>
  <c r="H13" i="2" s="1"/>
  <c r="G2" i="2"/>
  <c r="H2" i="2" s="1"/>
  <c r="E25" i="2"/>
  <c r="H25" i="2" s="1"/>
  <c r="F10" i="2" s="1"/>
  <c r="E26" i="2"/>
  <c r="E27" i="2"/>
  <c r="E28" i="2"/>
  <c r="H11" i="1"/>
  <c r="H12" i="1"/>
  <c r="H13" i="1"/>
  <c r="H10" i="1"/>
  <c r="D23" i="2"/>
  <c r="D22" i="2"/>
  <c r="D21" i="2"/>
  <c r="D20" i="2"/>
  <c r="D19" i="2"/>
  <c r="D18" i="2"/>
  <c r="D17" i="2"/>
  <c r="D23" i="1"/>
  <c r="F2" i="1"/>
  <c r="G5" i="1"/>
  <c r="D22" i="1"/>
  <c r="D21" i="1"/>
  <c r="D20" i="1"/>
  <c r="D18" i="1"/>
  <c r="E23" i="2"/>
  <c r="H23" i="2" s="1"/>
  <c r="F8" i="2" s="1"/>
  <c r="E22" i="2"/>
  <c r="H22" i="2" s="1"/>
  <c r="F7" i="2" s="1"/>
  <c r="H21" i="2"/>
  <c r="F6" i="2" s="1"/>
  <c r="E20" i="2"/>
  <c r="H20" i="2" s="1"/>
  <c r="E19" i="2"/>
  <c r="F4" i="2" s="1"/>
  <c r="H18" i="2"/>
  <c r="F3" i="2" s="1"/>
  <c r="E17" i="2"/>
  <c r="H17" i="2" s="1"/>
  <c r="H9" i="1"/>
  <c r="G10" i="1"/>
  <c r="G11" i="1"/>
  <c r="G12" i="1"/>
  <c r="G13" i="1"/>
  <c r="G9" i="1"/>
  <c r="B24" i="2" l="1"/>
  <c r="D24" i="2" s="1"/>
  <c r="E24" i="2" s="1"/>
  <c r="D9" i="2"/>
  <c r="H28" i="2"/>
  <c r="F13" i="2" s="1"/>
  <c r="E13" i="2"/>
  <c r="H27" i="2"/>
  <c r="F12" i="2" s="1"/>
  <c r="E12" i="2"/>
  <c r="H26" i="2"/>
  <c r="F11" i="2" s="1"/>
  <c r="E11" i="2"/>
  <c r="G2" i="1"/>
  <c r="G3" i="1"/>
  <c r="G4" i="1"/>
  <c r="F4" i="1"/>
  <c r="F5" i="1"/>
  <c r="G6" i="1"/>
  <c r="F6" i="1"/>
  <c r="G7" i="1"/>
  <c r="F7" i="1"/>
  <c r="G8" i="1"/>
  <c r="F8" i="1"/>
  <c r="H24" i="2" l="1"/>
  <c r="F9" i="2" s="1"/>
  <c r="E9" i="2"/>
  <c r="H7" i="1"/>
  <c r="H8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<sst xmlns="http://schemas.openxmlformats.org/spreadsheetml/2006/main" count="171" uniqueCount="115">
  <si>
    <t>Setor</t>
  </si>
  <si>
    <t>Carga</t>
  </si>
  <si>
    <t>Potência mecânica (cv)</t>
  </si>
  <si>
    <t>Fator de potência</t>
  </si>
  <si>
    <t>Rendimento</t>
  </si>
  <si>
    <t>Potência ativa (kW)</t>
  </si>
  <si>
    <t>Potência reativa (kVAr)</t>
  </si>
  <si>
    <t>Potência aparente (kVA)</t>
  </si>
  <si>
    <t>Calculos</t>
  </si>
  <si>
    <t>Motor 1</t>
  </si>
  <si>
    <t>Potência Ativa</t>
  </si>
  <si>
    <t>P = V x I x FP</t>
  </si>
  <si>
    <t>Motor 2</t>
  </si>
  <si>
    <t>Potência Reativa</t>
  </si>
  <si>
    <t>S = V*I</t>
  </si>
  <si>
    <t>Motor 3</t>
  </si>
  <si>
    <t>Potência Aparente</t>
  </si>
  <si>
    <t>Q = RAIZ( S² - P²)</t>
  </si>
  <si>
    <t>Motor 4</t>
  </si>
  <si>
    <t>Potência Reativa (motor Auxiliar)</t>
  </si>
  <si>
    <t>S = P/FP</t>
  </si>
  <si>
    <t>Motor 5</t>
  </si>
  <si>
    <t>Motor 6</t>
  </si>
  <si>
    <t>Motor 7</t>
  </si>
  <si>
    <t>Auxiliar</t>
  </si>
  <si>
    <t>-</t>
  </si>
  <si>
    <t>Aquecimento 1</t>
  </si>
  <si>
    <t>Aquecimento 2</t>
  </si>
  <si>
    <t>Aquecimento 3</t>
  </si>
  <si>
    <t>W22 IR3 Premium - IV Polos</t>
  </si>
  <si>
    <t>Motor (cv)</t>
  </si>
  <si>
    <t>V</t>
  </si>
  <si>
    <t>I</t>
  </si>
  <si>
    <t>FP</t>
  </si>
  <si>
    <t>Cabo mm² - Ampacidade</t>
  </si>
  <si>
    <t>Cabo mm² - queda de tensão (%)</t>
  </si>
  <si>
    <t>Cabo mm² - seção mínima</t>
  </si>
  <si>
    <t>Cabo mm² - escolhido</t>
  </si>
  <si>
    <t>Disjuntor BT</t>
  </si>
  <si>
    <t>DWB160B-DX</t>
  </si>
  <si>
    <t>DX</t>
  </si>
  <si>
    <t>Distribuição - Térmico Fixo / Magnético Fixo</t>
  </si>
  <si>
    <t>DWB400N-DA</t>
  </si>
  <si>
    <t>DA</t>
  </si>
  <si>
    <t>Distribuição - Térmico Ajustável / Magnético Ajustável</t>
  </si>
  <si>
    <t>DF</t>
  </si>
  <si>
    <t>Distribuição - Térmico Ajustável / Magnético Fixo</t>
  </si>
  <si>
    <t>Iluminação 1</t>
  </si>
  <si>
    <t>MDW P-B32-2</t>
  </si>
  <si>
    <t>Iluminação 2</t>
  </si>
  <si>
    <t>DWB160B - DF</t>
  </si>
  <si>
    <t>Distância</t>
  </si>
  <si>
    <t>I (ajustado)</t>
  </si>
  <si>
    <t>seção do cabo</t>
  </si>
  <si>
    <t>I máx suportada</t>
  </si>
  <si>
    <t>Queda de tensão (V)</t>
  </si>
  <si>
    <t>o método de instalação será B1 - Condutores isolados ou cabos unipolares em B1</t>
  </si>
  <si>
    <r>
      <rPr>
        <sz val="9"/>
        <color rgb="FF000000"/>
        <rFont val="Calibri"/>
        <scheme val="minor"/>
      </rPr>
      <t xml:space="preserve">a </t>
    </r>
    <r>
      <rPr>
        <b/>
        <sz val="9"/>
        <color rgb="FF000000"/>
        <rFont val="Calibri"/>
        <scheme val="minor"/>
      </rPr>
      <t>temperatura média anual</t>
    </r>
    <r>
      <rPr>
        <sz val="9"/>
        <color rgb="FF000000"/>
        <rFont val="Calibri"/>
        <scheme val="minor"/>
      </rPr>
      <t xml:space="preserve"> em Goiânia é de aproximadamente </t>
    </r>
    <r>
      <rPr>
        <b/>
        <sz val="9"/>
        <color rgb="FF000000"/>
        <rFont val="Calibri"/>
        <scheme val="minor"/>
      </rPr>
      <t>24,5°C</t>
    </r>
    <r>
      <rPr>
        <sz val="9"/>
        <color rgb="FF000000"/>
        <rFont val="Calibri"/>
        <scheme val="minor"/>
      </rPr>
      <t>, conforme as Normais Climatológicas atualizadas pelo Instituto Nacional de Meteorologia (INMET) para o período de 1991 a 2020</t>
    </r>
  </si>
  <si>
    <t>Temp. ambiente</t>
  </si>
  <si>
    <t>isolação XLPE</t>
  </si>
  <si>
    <t>25°C</t>
  </si>
  <si>
    <t>Resistência do cobre</t>
  </si>
  <si>
    <t>Largura</t>
  </si>
  <si>
    <t>Comprimento</t>
  </si>
  <si>
    <t>m²</t>
  </si>
  <si>
    <t>K</t>
  </si>
  <si>
    <t>Coeficiente de utilização</t>
  </si>
  <si>
    <t>Fator de depreciação</t>
  </si>
  <si>
    <t>LUX</t>
  </si>
  <si>
    <t>Lumens</t>
  </si>
  <si>
    <t>Qnt. Luminárias</t>
  </si>
  <si>
    <t>Lampadas</t>
  </si>
  <si>
    <t>kW</t>
  </si>
  <si>
    <t xml:space="preserve">Area 1 </t>
  </si>
  <si>
    <t>Altura de trabalho 2metro</t>
  </si>
  <si>
    <t>ISO/CIE 8995-1:2013</t>
  </si>
  <si>
    <t>Usando lâmpadas de 32 W com fluxo luminoso de 2950 lumens</t>
  </si>
  <si>
    <t xml:space="preserve">22. Escritórios </t>
  </si>
  <si>
    <t>CENTRO DE ESTUDOS METEOROLÓGICOS E PREVISÃO DE AMBIENTE (CEMPA). Goiânia apresentou aumento de cerca de 0,5°C na temperatura média anual, conforme as Normais Climatológicas para o período 1991-2020. Goiânia: UFG, 2025. Disponível em: https://cempa.ufg.br/n/153281-goiania-apresentou-aumento-de-cerca-de-0-5-c-na-temperatura-media-anual-conforme-as-normais-climatologicas-para-o-periodo-1991-2020. Acesso em: 13 maio 2025.</t>
  </si>
  <si>
    <t>Cabo mm² - queda de tensão</t>
  </si>
  <si>
    <t xml:space="preserve">escolhemos disjuntores ajustaveis para não acionarem antes dos disjuntores dos motores </t>
  </si>
  <si>
    <t>DWB1000-ET</t>
  </si>
  <si>
    <t>ET - Eletronico</t>
  </si>
  <si>
    <t>DWB320-DA</t>
  </si>
  <si>
    <t>DA - Ajjustavel</t>
  </si>
  <si>
    <t>DWA1250-ET</t>
  </si>
  <si>
    <t>Método B1</t>
  </si>
  <si>
    <t>Area 1 e 2 com 3 condutores carregados</t>
  </si>
  <si>
    <t>Area 3 com 2 condutores carregados</t>
  </si>
  <si>
    <t>Tensão</t>
  </si>
  <si>
    <t>Distancia (m)</t>
  </si>
  <si>
    <t>I = P/(V*FP)</t>
  </si>
  <si>
    <t>I corrigido</t>
  </si>
  <si>
    <t>TR-QGF</t>
  </si>
  <si>
    <t>QGF - Area 1</t>
  </si>
  <si>
    <t>QGF - Area 2</t>
  </si>
  <si>
    <t>QGF - Area 3</t>
  </si>
  <si>
    <t xml:space="preserve">Setor 1 FP </t>
  </si>
  <si>
    <t>Setor 2 FP</t>
  </si>
  <si>
    <t>Setor 3 FP</t>
  </si>
  <si>
    <t>Corrente de curto-circuito</t>
  </si>
  <si>
    <t>trifásico (Ics) - kA</t>
  </si>
  <si>
    <t>monofásico franco (Icft) - kA</t>
  </si>
  <si>
    <t>Fator de assimetria</t>
  </si>
  <si>
    <t xml:space="preserve">Corrente de curto assimétrica (Ica) - kA </t>
  </si>
  <si>
    <t>Ponto de entrega</t>
  </si>
  <si>
    <t>Secundário do transformador</t>
  </si>
  <si>
    <t>QGF</t>
  </si>
  <si>
    <t>Barramento área 1</t>
  </si>
  <si>
    <t>Barramento área 2</t>
  </si>
  <si>
    <t>Barramento área 3</t>
  </si>
  <si>
    <t>FP desejado</t>
  </si>
  <si>
    <t>tg(acos(FP desejado))</t>
  </si>
  <si>
    <t>Q desejado (kVAr)</t>
  </si>
  <si>
    <t>Banco de Capacitor (kVAr)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</si>
</sst>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scheme val="minor"/>
    </font>
    <font>
      <sz val="12"/>
      <color theme="1"/>
      <name val="Arial"/>
    </font>
    <font>
      <sz val="11"/>
      <name val="Calibri"/>
    </font>
    <font>
      <b/>
      <sz val="12"/>
      <color theme="1"/>
      <name val="Arial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Arial"/>
    </font>
    <font>
      <sz val="9"/>
      <color rgb="FF000000"/>
      <name val="Calibri"/>
      <scheme val="minor"/>
    </font>
    <font>
      <b/>
      <sz val="9"/>
      <color rgb="FF000000"/>
      <name val="Calibri"/>
      <scheme val="minor"/>
    </font>
    <font>
      <b/>
      <sz val="13.5"/>
      <color theme="1"/>
      <name val="Calibri"/>
      <scheme val="minor"/>
    </font>
    <font>
      <sz val="11"/>
      <color theme="1"/>
      <name val="Calibri"/>
    </font>
    <font>
      <b/>
      <sz val="11"/>
      <color rgb="FF000000"/>
      <name val="Calibri"/>
      <scheme val="minor"/>
    </font>
    <font>
      <b/>
      <sz val="11"/>
      <color rgb="FF000000"/>
      <name val="Docs-Calibri"/>
    </font>
    <font>
      <sz val="11"/>
      <color rgb="FF242424"/>
      <name val="Aptos Narrow"/>
      <charset val="1"/>
    </font>
    <font>
      <sz val="13.5"/>
      <color theme="1"/>
      <name val="Calibri"/>
      <scheme val="minor"/>
    </font>
    <font>
      <sz val="11"/>
      <color rgb="FF000000"/>
      <name val="Calibri"/>
      <family val="2"/>
    </font>
    <font>
      <b/>
      <sz val="11"/>
      <color theme="1"/>
      <name val="Calibri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0" fillId="0" borderId="0" xfId="0" applyAlignment="1">
      <alignment wrapText="1"/>
    </xf>
    <xf numFmtId="0" fontId="0" fillId="2" borderId="22" xfId="0" applyFill="1" applyBorder="1" applyAlignment="1">
      <alignment wrapText="1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2" fontId="6" fillId="0" borderId="23" xfId="0" applyNumberFormat="1" applyFont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6" fillId="0" borderId="17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left"/>
    </xf>
    <xf numFmtId="0" fontId="4" fillId="0" borderId="14" xfId="0" applyFont="1" applyBorder="1" applyAlignment="1">
      <alignment horizontal="left" wrapText="1"/>
    </xf>
    <xf numFmtId="0" fontId="4" fillId="0" borderId="18" xfId="0" applyFont="1" applyBorder="1" applyAlignment="1">
      <alignment horizontal="left" wrapText="1"/>
    </xf>
    <xf numFmtId="0" fontId="4" fillId="0" borderId="1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33" xfId="0" applyFont="1" applyBorder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6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0" fillId="0" borderId="0" xfId="0" applyNumberFormat="1"/>
    <xf numFmtId="0" fontId="5" fillId="2" borderId="47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0" fillId="0" borderId="7" xfId="0" applyBorder="1"/>
    <xf numFmtId="0" fontId="4" fillId="0" borderId="7" xfId="0" applyFont="1" applyBorder="1" applyAlignment="1">
      <alignment horizontal="center"/>
    </xf>
    <xf numFmtId="0" fontId="0" fillId="0" borderId="6" xfId="0" applyBorder="1"/>
    <xf numFmtId="0" fontId="4" fillId="0" borderId="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2" fillId="0" borderId="42" xfId="0" applyFont="1" applyBorder="1"/>
    <xf numFmtId="0" fontId="4" fillId="0" borderId="5" xfId="0" applyFont="1" applyBorder="1" applyAlignment="1">
      <alignment horizontal="center"/>
    </xf>
    <xf numFmtId="0" fontId="5" fillId="2" borderId="49" xfId="0" applyFont="1" applyFill="1" applyBorder="1" applyAlignment="1">
      <alignment horizontal="center"/>
    </xf>
    <xf numFmtId="2" fontId="0" fillId="0" borderId="7" xfId="0" applyNumberFormat="1" applyBorder="1"/>
    <xf numFmtId="0" fontId="0" fillId="0" borderId="12" xfId="0" applyBorder="1"/>
    <xf numFmtId="2" fontId="4" fillId="0" borderId="5" xfId="0" applyNumberFormat="1" applyFont="1" applyBorder="1" applyAlignment="1">
      <alignment horizontal="center"/>
    </xf>
    <xf numFmtId="0" fontId="0" fillId="0" borderId="5" xfId="0" applyBorder="1"/>
    <xf numFmtId="0" fontId="0" fillId="0" borderId="14" xfId="0" applyBorder="1"/>
    <xf numFmtId="0" fontId="0" fillId="0" borderId="18" xfId="0" applyBorder="1"/>
    <xf numFmtId="0" fontId="5" fillId="3" borderId="4" xfId="0" applyFont="1" applyFill="1" applyBorder="1"/>
    <xf numFmtId="0" fontId="5" fillId="3" borderId="34" xfId="0" applyFont="1" applyFill="1" applyBorder="1" applyAlignment="1">
      <alignment horizontal="center"/>
    </xf>
    <xf numFmtId="2" fontId="5" fillId="3" borderId="34" xfId="0" applyNumberFormat="1" applyFont="1" applyFill="1" applyBorder="1" applyAlignment="1">
      <alignment horizontal="center"/>
    </xf>
    <xf numFmtId="2" fontId="11" fillId="3" borderId="34" xfId="0" applyNumberFormat="1" applyFont="1" applyFill="1" applyBorder="1" applyAlignment="1">
      <alignment horizontal="center"/>
    </xf>
    <xf numFmtId="2" fontId="11" fillId="3" borderId="33" xfId="0" applyNumberFormat="1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2" fontId="0" fillId="0" borderId="5" xfId="0" applyNumberFormat="1" applyBorder="1"/>
    <xf numFmtId="0" fontId="0" fillId="0" borderId="0" xfId="0" applyAlignment="1">
      <alignment vertical="center"/>
    </xf>
    <xf numFmtId="0" fontId="0" fillId="0" borderId="22" xfId="0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33" xfId="0" applyBorder="1"/>
    <xf numFmtId="0" fontId="5" fillId="3" borderId="1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0" fillId="0" borderId="9" xfId="0" applyBorder="1"/>
    <xf numFmtId="1" fontId="4" fillId="0" borderId="9" xfId="0" applyNumberFormat="1" applyFont="1" applyBorder="1" applyAlignment="1">
      <alignment horizontal="center"/>
    </xf>
    <xf numFmtId="0" fontId="5" fillId="0" borderId="0" xfId="0" applyFont="1"/>
    <xf numFmtId="164" fontId="4" fillId="0" borderId="10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164" fontId="0" fillId="0" borderId="5" xfId="0" applyNumberFormat="1" applyBorder="1"/>
    <xf numFmtId="164" fontId="0" fillId="0" borderId="5" xfId="0" applyNumberFormat="1" applyBorder="1" applyAlignment="1">
      <alignment horizontal="center"/>
    </xf>
    <xf numFmtId="0" fontId="14" fillId="0" borderId="7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5" fillId="0" borderId="51" xfId="0" applyFont="1" applyBorder="1" applyAlignment="1">
      <alignment horizontal="center" vertical="center"/>
    </xf>
    <xf numFmtId="0" fontId="0" fillId="0" borderId="8" xfId="0" applyBorder="1"/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2" fontId="4" fillId="0" borderId="23" xfId="0" applyNumberFormat="1" applyFont="1" applyBorder="1" applyAlignment="1">
      <alignment horizontal="center"/>
    </xf>
    <xf numFmtId="2" fontId="1" fillId="0" borderId="23" xfId="0" applyNumberFormat="1" applyFont="1" applyBorder="1" applyAlignment="1">
      <alignment horizontal="center" vertical="center"/>
    </xf>
    <xf numFmtId="0" fontId="4" fillId="0" borderId="25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17" xfId="0" applyFont="1" applyBorder="1"/>
    <xf numFmtId="2" fontId="4" fillId="0" borderId="2" xfId="0" applyNumberFormat="1" applyFont="1" applyBorder="1" applyAlignment="1">
      <alignment horizontal="center"/>
    </xf>
    <xf numFmtId="0" fontId="0" fillId="0" borderId="10" xfId="0" applyBorder="1"/>
    <xf numFmtId="0" fontId="3" fillId="3" borderId="1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2" fontId="11" fillId="3" borderId="5" xfId="0" applyNumberFormat="1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5" fillId="3" borderId="12" xfId="0" applyFont="1" applyFill="1" applyBorder="1"/>
    <xf numFmtId="0" fontId="16" fillId="3" borderId="5" xfId="0" applyFont="1" applyFill="1" applyBorder="1" applyAlignment="1">
      <alignment horizontal="center" vertical="center" readingOrder="1"/>
    </xf>
    <xf numFmtId="0" fontId="5" fillId="3" borderId="5" xfId="0" applyFont="1" applyFill="1" applyBorder="1"/>
    <xf numFmtId="0" fontId="0" fillId="3" borderId="22" xfId="0" applyFill="1" applyBorder="1" applyAlignment="1">
      <alignment vertical="center"/>
    </xf>
    <xf numFmtId="0" fontId="5" fillId="3" borderId="14" xfId="0" applyFont="1" applyFill="1" applyBorder="1"/>
    <xf numFmtId="0" fontId="5" fillId="3" borderId="18" xfId="0" applyFont="1" applyFill="1" applyBorder="1"/>
    <xf numFmtId="0" fontId="15" fillId="0" borderId="0" xfId="0" applyFont="1"/>
    <xf numFmtId="0" fontId="17" fillId="0" borderId="0" xfId="0" applyFont="1"/>
    <xf numFmtId="0" fontId="17" fillId="3" borderId="5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8" xfId="0" applyFont="1" applyBorder="1"/>
    <xf numFmtId="0" fontId="6" fillId="0" borderId="24" xfId="0" applyFont="1" applyBorder="1" applyAlignment="1">
      <alignment horizontal="center" vertical="center"/>
    </xf>
    <xf numFmtId="0" fontId="2" fillId="0" borderId="15" xfId="0" applyFont="1" applyBorder="1"/>
    <xf numFmtId="0" fontId="5" fillId="2" borderId="4" xfId="0" applyFont="1" applyFill="1" applyBorder="1" applyAlignment="1">
      <alignment horizontal="center" wrapText="1"/>
    </xf>
    <xf numFmtId="0" fontId="5" fillId="2" borderId="33" xfId="0" applyFont="1" applyFill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0" fillId="0" borderId="43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4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3" borderId="5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0" fillId="0" borderId="38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0" fillId="0" borderId="46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3" fillId="3" borderId="52" xfId="0" applyFont="1" applyFill="1" applyBorder="1" applyAlignment="1">
      <alignment horizontal="center" vertical="center"/>
    </xf>
    <xf numFmtId="0" fontId="2" fillId="3" borderId="56" xfId="0" applyFont="1" applyFill="1" applyBorder="1"/>
    <xf numFmtId="0" fontId="3" fillId="3" borderId="53" xfId="0" applyFont="1" applyFill="1" applyBorder="1" applyAlignment="1">
      <alignment horizontal="center" vertical="center"/>
    </xf>
    <xf numFmtId="0" fontId="2" fillId="3" borderId="54" xfId="0" applyFont="1" applyFill="1" applyBorder="1"/>
    <xf numFmtId="0" fontId="2" fillId="3" borderId="55" xfId="0" applyFont="1" applyFill="1" applyBorder="1"/>
    <xf numFmtId="0" fontId="1" fillId="0" borderId="66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15</xdr:row>
      <xdr:rowOff>9525</xdr:rowOff>
    </xdr:from>
    <xdr:to>
      <xdr:col>6</xdr:col>
      <xdr:colOff>1619250</xdr:colOff>
      <xdr:row>22</xdr:row>
      <xdr:rowOff>180975</xdr:rowOff>
    </xdr:to>
    <xdr:pic>
      <xdr:nvPicPr>
        <xdr:cNvPr id="4" name="Imagem 3" descr="Motor Trifásico Weg 10cv 4p 220/380v C/pes S/ flange Ir3 Premium 132s">
          <a:extLst>
            <a:ext uri="{FF2B5EF4-FFF2-40B4-BE49-F238E27FC236}">
              <a16:creationId xmlns:a16="http://schemas.microsoft.com/office/drawing/2014/main" id="{769E748B-08FD-41D2-AF5D-06335CDB8FF5}"/>
            </a:ext>
            <a:ext uri="{147F2762-F138-4A5C-976F-8EAC2B608ADB}">
              <a16:predDERef xmlns:a16="http://schemas.microsoft.com/office/drawing/2014/main" pred="{7585C5C7-326B-410A-8472-C8EF06E8D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2867025"/>
          <a:ext cx="1524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542925</xdr:colOff>
      <xdr:row>39</xdr:row>
      <xdr:rowOff>38100</xdr:rowOff>
    </xdr:from>
    <xdr:to>
      <xdr:col>7</xdr:col>
      <xdr:colOff>704850</xdr:colOff>
      <xdr:row>44</xdr:row>
      <xdr:rowOff>171450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434739F-D02C-B0B1-D3EA-A213ED6F3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7696200"/>
          <a:ext cx="4572000" cy="1133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123825</xdr:colOff>
      <xdr:row>26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BB6D815-D865-A347-B931-6A18D0E10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29425" cy="4972050"/>
        </a:xfrm>
        <a:prstGeom prst="rect">
          <a:avLst/>
        </a:prstGeom>
      </xdr:spPr>
    </xdr:pic>
    <xdr:clientData/>
  </xdr:twoCellAnchor>
  <xdr:twoCellAnchor editAs="oneCell">
    <xdr:from>
      <xdr:col>11</xdr:col>
      <xdr:colOff>85725</xdr:colOff>
      <xdr:row>0</xdr:row>
      <xdr:rowOff>0</xdr:rowOff>
    </xdr:from>
    <xdr:to>
      <xdr:col>24</xdr:col>
      <xdr:colOff>600075</xdr:colOff>
      <xdr:row>26</xdr:row>
      <xdr:rowOff>57150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1E43692-20B8-D1AB-3329-E928FF0F51A8}"/>
            </a:ext>
            <a:ext uri="{147F2762-F138-4A5C-976F-8EAC2B608ADB}">
              <a16:predDERef xmlns:a16="http://schemas.microsoft.com/office/drawing/2014/main" pred="{7BB6D815-D865-A347-B931-6A18D0E10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1325" y="0"/>
          <a:ext cx="8439150" cy="5010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19</xdr:col>
      <xdr:colOff>438150</xdr:colOff>
      <xdr:row>34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5AF7351-CFD3-4601-8147-4BFD0693C9DE}"/>
            </a:ext>
            <a:ext uri="{147F2762-F138-4A5C-976F-8EAC2B608ADB}">
              <a16:predDERef xmlns:a16="http://schemas.microsoft.com/office/drawing/2014/main" pred="{E1E43692-20B8-D1AB-3329-E928FF0F5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143500"/>
          <a:ext cx="12020550" cy="135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selection activeCell="D14" sqref="D14"/>
    </sheetView>
  </sheetViews>
  <sheetFormatPr defaultColWidth="14.44140625" defaultRowHeight="15" customHeight="1"/>
  <cols>
    <col min="1" max="1" width="6.6640625" customWidth="1"/>
    <col min="2" max="2" width="16.44140625" customWidth="1"/>
    <col min="3" max="3" width="25" customWidth="1"/>
    <col min="4" max="4" width="19.109375" customWidth="1"/>
    <col min="5" max="5" width="13.44140625" customWidth="1"/>
    <col min="6" max="6" width="21" customWidth="1"/>
    <col min="7" max="7" width="24.88671875" customWidth="1"/>
    <col min="8" max="8" width="26.44140625" customWidth="1"/>
    <col min="9" max="9" width="3.6640625" customWidth="1"/>
    <col min="10" max="10" width="30" customWidth="1"/>
    <col min="11" max="11" width="16.5546875" customWidth="1"/>
    <col min="12" max="25" width="8.6640625" customWidth="1"/>
  </cols>
  <sheetData>
    <row r="1" spans="1:14" ht="15.6">
      <c r="A1" s="48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50" t="s">
        <v>7</v>
      </c>
      <c r="J1" s="162" t="s">
        <v>8</v>
      </c>
      <c r="K1" s="163"/>
      <c r="L1" s="11"/>
      <c r="M1" s="11"/>
      <c r="N1" s="11"/>
    </row>
    <row r="2" spans="1:14" ht="14.4">
      <c r="A2" s="157">
        <v>1</v>
      </c>
      <c r="B2" s="13" t="s">
        <v>9</v>
      </c>
      <c r="C2" s="13">
        <v>60</v>
      </c>
      <c r="D2" s="17">
        <v>0.85</v>
      </c>
      <c r="E2" s="37">
        <v>95</v>
      </c>
      <c r="F2" s="37">
        <f>(C17*D17*E17)/1000</f>
        <v>27.341885399999995</v>
      </c>
      <c r="G2" s="37">
        <f>(C17*D17)/1000</f>
        <v>32.166923999999995</v>
      </c>
      <c r="H2" s="38">
        <f>SQRT(((G2)^2)-((F2)^2))</f>
        <v>16.944978677916442</v>
      </c>
      <c r="J2" s="46" t="s">
        <v>10</v>
      </c>
      <c r="K2" s="47" t="s">
        <v>11</v>
      </c>
    </row>
    <row r="3" spans="1:14" ht="13.5" customHeight="1">
      <c r="A3" s="158"/>
      <c r="B3" s="14" t="s">
        <v>12</v>
      </c>
      <c r="C3" s="14">
        <v>150</v>
      </c>
      <c r="D3" s="16">
        <v>0.86</v>
      </c>
      <c r="E3" s="33">
        <v>95.8</v>
      </c>
      <c r="F3" s="33">
        <f>(C18*D18*E18)/1000</f>
        <v>66.226019999999991</v>
      </c>
      <c r="G3" s="33">
        <f t="shared" ref="G3:G8" si="0">(C18*D18)/1000</f>
        <v>77.006999999999991</v>
      </c>
      <c r="H3" s="34">
        <f t="shared" ref="H3:H9" si="1">SQRT(((G3)^2)-((F3)^2))</f>
        <v>39.296212590523275</v>
      </c>
      <c r="J3" s="42" t="s">
        <v>13</v>
      </c>
      <c r="K3" s="41" t="s">
        <v>14</v>
      </c>
    </row>
    <row r="4" spans="1:14" ht="13.5" customHeight="1">
      <c r="A4" s="158"/>
      <c r="B4" s="14" t="s">
        <v>15</v>
      </c>
      <c r="C4" s="14">
        <v>20</v>
      </c>
      <c r="D4" s="16">
        <v>0.81</v>
      </c>
      <c r="E4" s="33">
        <v>93</v>
      </c>
      <c r="F4" s="33">
        <f t="shared" ref="F4:F8" si="2">(C19*D19*E19)/1000</f>
        <v>9.3028856400000013</v>
      </c>
      <c r="G4" s="33">
        <f t="shared" si="0"/>
        <v>11.485044</v>
      </c>
      <c r="H4" s="34">
        <f t="shared" si="1"/>
        <v>6.7351729340097695</v>
      </c>
      <c r="J4" s="42" t="s">
        <v>16</v>
      </c>
      <c r="K4" s="41" t="s">
        <v>17</v>
      </c>
    </row>
    <row r="5" spans="1:14" ht="12" customHeight="1">
      <c r="A5" s="159"/>
      <c r="B5" s="15" t="s">
        <v>18</v>
      </c>
      <c r="C5" s="15">
        <v>150</v>
      </c>
      <c r="D5" s="18">
        <v>0.86</v>
      </c>
      <c r="E5" s="39">
        <v>95.8</v>
      </c>
      <c r="F5" s="39">
        <f t="shared" si="2"/>
        <v>66.226019999999991</v>
      </c>
      <c r="G5" s="39">
        <f>(C20*D20)/1000</f>
        <v>77.006999999999991</v>
      </c>
      <c r="H5" s="40">
        <f t="shared" si="1"/>
        <v>39.296212590523275</v>
      </c>
      <c r="J5" s="43" t="s">
        <v>19</v>
      </c>
      <c r="K5" s="44" t="s">
        <v>20</v>
      </c>
    </row>
    <row r="6" spans="1:14" ht="14.4">
      <c r="A6" s="160">
        <v>2</v>
      </c>
      <c r="B6" s="19" t="s">
        <v>21</v>
      </c>
      <c r="C6" s="19">
        <v>20</v>
      </c>
      <c r="D6" s="20">
        <v>0.81</v>
      </c>
      <c r="E6" s="31">
        <v>93</v>
      </c>
      <c r="F6" s="31">
        <f t="shared" si="2"/>
        <v>9.3028856400000013</v>
      </c>
      <c r="G6" s="31">
        <f t="shared" si="0"/>
        <v>11.485044</v>
      </c>
      <c r="H6" s="32">
        <f t="shared" si="1"/>
        <v>6.7351729340097695</v>
      </c>
    </row>
    <row r="7" spans="1:14" ht="14.4">
      <c r="A7" s="158"/>
      <c r="B7" s="14" t="s">
        <v>22</v>
      </c>
      <c r="C7" s="14">
        <v>20</v>
      </c>
      <c r="D7" s="16">
        <v>0.81</v>
      </c>
      <c r="E7" s="33">
        <v>93</v>
      </c>
      <c r="F7" s="33">
        <f t="shared" si="2"/>
        <v>9.3028856400000013</v>
      </c>
      <c r="G7" s="33">
        <f t="shared" si="0"/>
        <v>11.485044</v>
      </c>
      <c r="H7" s="34">
        <f t="shared" si="1"/>
        <v>6.7351729340097695</v>
      </c>
    </row>
    <row r="8" spans="1:14" ht="14.4">
      <c r="A8" s="161"/>
      <c r="B8" s="21" t="s">
        <v>23</v>
      </c>
      <c r="C8" s="21">
        <v>30</v>
      </c>
      <c r="D8" s="22">
        <v>0.81</v>
      </c>
      <c r="E8" s="35">
        <v>93.6</v>
      </c>
      <c r="F8" s="35">
        <f t="shared" si="2"/>
        <v>13.580074439999999</v>
      </c>
      <c r="G8" s="35">
        <f t="shared" si="0"/>
        <v>16.765523999999999</v>
      </c>
      <c r="H8" s="36">
        <f t="shared" si="1"/>
        <v>9.8318041680372534</v>
      </c>
    </row>
    <row r="9" spans="1:14" ht="14.4">
      <c r="A9" s="157">
        <v>3</v>
      </c>
      <c r="B9" s="13" t="s">
        <v>24</v>
      </c>
      <c r="C9" s="13" t="s">
        <v>25</v>
      </c>
      <c r="D9" s="13">
        <v>0.92</v>
      </c>
      <c r="E9" s="13" t="s">
        <v>25</v>
      </c>
      <c r="F9" s="37">
        <v>80</v>
      </c>
      <c r="G9" s="37">
        <f>F9/D9</f>
        <v>86.956521739130437</v>
      </c>
      <c r="H9" s="38">
        <f t="shared" si="1"/>
        <v>34.079857290896392</v>
      </c>
    </row>
    <row r="10" spans="1:14" ht="14.4">
      <c r="A10" s="158"/>
      <c r="B10" s="14" t="s">
        <v>24</v>
      </c>
      <c r="C10" s="14" t="s">
        <v>25</v>
      </c>
      <c r="D10" s="14">
        <v>0.92</v>
      </c>
      <c r="E10" s="14" t="s">
        <v>25</v>
      </c>
      <c r="F10" s="33">
        <v>80</v>
      </c>
      <c r="G10" s="33">
        <f t="shared" ref="G10:G13" si="3">F10/D10</f>
        <v>86.956521739130437</v>
      </c>
      <c r="H10" s="34">
        <f>SQRT(((G10)^2)-((F10)^2))</f>
        <v>34.079857290896392</v>
      </c>
    </row>
    <row r="11" spans="1:14" ht="14.4">
      <c r="A11" s="158"/>
      <c r="B11" s="14" t="s">
        <v>26</v>
      </c>
      <c r="C11" s="14" t="s">
        <v>25</v>
      </c>
      <c r="D11" s="14">
        <v>1</v>
      </c>
      <c r="E11" s="14" t="s">
        <v>25</v>
      </c>
      <c r="F11" s="33">
        <v>30</v>
      </c>
      <c r="G11" s="33">
        <f t="shared" si="3"/>
        <v>30</v>
      </c>
      <c r="H11" s="34">
        <f t="shared" ref="H11:H13" si="4">SQRT(((G11)^2)-((F11)^2))</f>
        <v>0</v>
      </c>
    </row>
    <row r="12" spans="1:14" ht="14.4">
      <c r="A12" s="158"/>
      <c r="B12" s="14" t="s">
        <v>27</v>
      </c>
      <c r="C12" s="14" t="s">
        <v>25</v>
      </c>
      <c r="D12" s="14">
        <v>1</v>
      </c>
      <c r="E12" s="14" t="s">
        <v>25</v>
      </c>
      <c r="F12" s="33">
        <v>30</v>
      </c>
      <c r="G12" s="33">
        <f t="shared" si="3"/>
        <v>30</v>
      </c>
      <c r="H12" s="34">
        <f t="shared" si="4"/>
        <v>0</v>
      </c>
    </row>
    <row r="13" spans="1:14" ht="14.4">
      <c r="A13" s="159"/>
      <c r="B13" s="15" t="s">
        <v>28</v>
      </c>
      <c r="C13" s="15" t="s">
        <v>25</v>
      </c>
      <c r="D13" s="15">
        <v>1</v>
      </c>
      <c r="E13" s="15" t="s">
        <v>25</v>
      </c>
      <c r="F13" s="39">
        <v>30</v>
      </c>
      <c r="G13" s="39">
        <f t="shared" si="3"/>
        <v>30</v>
      </c>
      <c r="H13" s="34">
        <f t="shared" si="4"/>
        <v>0</v>
      </c>
    </row>
    <row r="15" spans="1:14" ht="15" customHeight="1">
      <c r="G15" s="12" t="s">
        <v>29</v>
      </c>
    </row>
    <row r="16" spans="1:14" ht="15" customHeight="1">
      <c r="B16" s="59" t="s">
        <v>30</v>
      </c>
      <c r="C16" s="60" t="s">
        <v>31</v>
      </c>
      <c r="D16" s="60" t="s">
        <v>32</v>
      </c>
      <c r="E16" s="69" t="s">
        <v>33</v>
      </c>
      <c r="G16" s="155"/>
    </row>
    <row r="17" spans="2:11" ht="15" customHeight="1">
      <c r="B17" s="86">
        <v>60</v>
      </c>
      <c r="C17" s="68">
        <v>380</v>
      </c>
      <c r="D17" s="23">
        <f>73.1*1.158</f>
        <v>84.649799999999985</v>
      </c>
      <c r="E17" s="24">
        <v>0.85</v>
      </c>
      <c r="G17" s="155"/>
    </row>
    <row r="18" spans="2:11" ht="15" customHeight="1">
      <c r="B18" s="7">
        <v>150</v>
      </c>
      <c r="C18" s="62">
        <v>380</v>
      </c>
      <c r="D18" s="10">
        <f>175*1.158</f>
        <v>202.64999999999998</v>
      </c>
      <c r="E18" s="25">
        <v>0.86</v>
      </c>
      <c r="G18" s="155"/>
    </row>
    <row r="19" spans="2:11" ht="15" customHeight="1">
      <c r="B19" s="7">
        <v>20</v>
      </c>
      <c r="C19" s="62">
        <v>380</v>
      </c>
      <c r="D19" s="10">
        <f>26.1*1.158</f>
        <v>30.223800000000001</v>
      </c>
      <c r="E19" s="25">
        <v>0.81</v>
      </c>
      <c r="G19" s="155"/>
      <c r="I19" s="45"/>
      <c r="J19" s="45"/>
      <c r="K19" s="45"/>
    </row>
    <row r="20" spans="2:11" ht="15" customHeight="1">
      <c r="B20" s="9">
        <v>150</v>
      </c>
      <c r="C20" s="64">
        <v>380</v>
      </c>
      <c r="D20" s="26">
        <f>175*1.158</f>
        <v>202.64999999999998</v>
      </c>
      <c r="E20" s="27">
        <v>0.86</v>
      </c>
      <c r="G20" s="155"/>
    </row>
    <row r="21" spans="2:11" ht="15.75" customHeight="1">
      <c r="B21" s="28">
        <v>20</v>
      </c>
      <c r="C21" s="65">
        <v>380</v>
      </c>
      <c r="D21" s="29">
        <f>26.1*1.158</f>
        <v>30.223800000000001</v>
      </c>
      <c r="E21" s="30">
        <v>0.81</v>
      </c>
      <c r="G21" s="155"/>
    </row>
    <row r="22" spans="2:11" ht="15.75" customHeight="1">
      <c r="B22" s="7">
        <v>20</v>
      </c>
      <c r="C22" s="62">
        <v>380</v>
      </c>
      <c r="D22" s="10">
        <f>26.1*1.158</f>
        <v>30.223800000000001</v>
      </c>
      <c r="E22" s="25">
        <v>0.81</v>
      </c>
      <c r="G22" s="155"/>
    </row>
    <row r="23" spans="2:11" ht="15.75" customHeight="1">
      <c r="B23" s="9">
        <v>30</v>
      </c>
      <c r="C23" s="64">
        <v>380</v>
      </c>
      <c r="D23" s="26">
        <f>1.158*38.1</f>
        <v>44.119799999999998</v>
      </c>
      <c r="E23" s="27">
        <v>0.81</v>
      </c>
      <c r="G23" s="156"/>
    </row>
    <row r="24" spans="2:11" ht="15.75" customHeight="1"/>
    <row r="25" spans="2:11" ht="15.75" customHeight="1"/>
    <row r="26" spans="2:11" ht="15.75" customHeight="1"/>
    <row r="27" spans="2:11" ht="15.75" customHeight="1"/>
    <row r="28" spans="2:11" ht="15.75" customHeight="1"/>
    <row r="29" spans="2:11" ht="15.75" customHeight="1"/>
    <row r="30" spans="2:11" ht="15.75" customHeight="1"/>
    <row r="31" spans="2:11" ht="15.75" customHeight="1"/>
    <row r="32" spans="2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G16:G23"/>
    <mergeCell ref="A2:A5"/>
    <mergeCell ref="A6:A8"/>
    <mergeCell ref="A9:A13"/>
    <mergeCell ref="J1:K1"/>
  </mergeCells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J44" sqref="J44"/>
    </sheetView>
  </sheetViews>
  <sheetFormatPr defaultColWidth="14.44140625" defaultRowHeight="15" customHeight="1"/>
  <cols>
    <col min="1" max="1" width="11.6640625" customWidth="1"/>
    <col min="2" max="2" width="17.109375" customWidth="1"/>
    <col min="3" max="3" width="26.5546875" customWidth="1"/>
    <col min="4" max="4" width="27.109375" customWidth="1"/>
    <col min="5" max="5" width="27.88671875" bestFit="1" customWidth="1"/>
    <col min="6" max="6" width="36.5546875" style="58" bestFit="1" customWidth="1"/>
    <col min="7" max="7" width="29.5546875" style="51" customWidth="1"/>
    <col min="8" max="8" width="29.5546875" customWidth="1"/>
    <col min="9" max="9" width="18.33203125" customWidth="1"/>
    <col min="10" max="10" width="15.44140625" customWidth="1"/>
    <col min="11" max="11" width="25.33203125" bestFit="1" customWidth="1"/>
    <col min="12" max="12" width="19.6640625" customWidth="1"/>
    <col min="13" max="20" width="8.6640625" customWidth="1"/>
  </cols>
  <sheetData>
    <row r="1" spans="1:12" ht="18.75" customHeight="1">
      <c r="A1" s="112" t="s">
        <v>0</v>
      </c>
      <c r="B1" s="113" t="s">
        <v>1</v>
      </c>
      <c r="C1" s="113" t="s">
        <v>2</v>
      </c>
      <c r="D1" s="113" t="s">
        <v>7</v>
      </c>
      <c r="E1" s="113" t="s">
        <v>34</v>
      </c>
      <c r="F1" s="114" t="s">
        <v>35</v>
      </c>
      <c r="G1" s="113" t="s">
        <v>36</v>
      </c>
      <c r="H1" s="113" t="s">
        <v>37</v>
      </c>
      <c r="I1" s="115" t="s">
        <v>38</v>
      </c>
      <c r="L1" s="11"/>
    </row>
    <row r="2" spans="1:12">
      <c r="A2" s="180">
        <v>1</v>
      </c>
      <c r="B2" s="116" t="s">
        <v>9</v>
      </c>
      <c r="C2" s="19">
        <v>60</v>
      </c>
      <c r="D2" s="116">
        <v>16.940000000000001</v>
      </c>
      <c r="E2" s="117">
        <f>E17</f>
        <v>81.394038461538443</v>
      </c>
      <c r="F2" s="118">
        <f>((H17/380)*100)</f>
        <v>0.58568901031123477</v>
      </c>
      <c r="G2" s="116">
        <f>F17</f>
        <v>16</v>
      </c>
      <c r="H2" s="116">
        <f>G2</f>
        <v>16</v>
      </c>
      <c r="I2" s="119" t="s">
        <v>39</v>
      </c>
      <c r="K2" t="s">
        <v>40</v>
      </c>
      <c r="L2" t="s">
        <v>41</v>
      </c>
    </row>
    <row r="3" spans="1:12">
      <c r="A3" s="158"/>
      <c r="B3" s="4" t="s">
        <v>12</v>
      </c>
      <c r="C3" s="14">
        <v>150</v>
      </c>
      <c r="D3" s="4">
        <v>39.29</v>
      </c>
      <c r="E3" s="72">
        <f t="shared" ref="E3:E13" si="0">E18</f>
        <v>194.8557692307692</v>
      </c>
      <c r="F3" s="56">
        <f t="shared" ref="F3:F13" si="1">((H18/380)*100)</f>
        <v>0.3204864625506072</v>
      </c>
      <c r="G3" s="4">
        <f t="shared" ref="G3:G13" si="2">F18</f>
        <v>70</v>
      </c>
      <c r="H3" s="4">
        <f t="shared" ref="H3:H13" si="3">G3</f>
        <v>70</v>
      </c>
      <c r="I3" s="120" t="s">
        <v>42</v>
      </c>
      <c r="K3" t="s">
        <v>43</v>
      </c>
      <c r="L3" t="s">
        <v>44</v>
      </c>
    </row>
    <row r="4" spans="1:12">
      <c r="A4" s="158"/>
      <c r="B4" s="4" t="s">
        <v>15</v>
      </c>
      <c r="C4" s="14">
        <v>20</v>
      </c>
      <c r="D4" s="4">
        <v>6.73</v>
      </c>
      <c r="E4" s="72">
        <f t="shared" si="0"/>
        <v>29.061346153846152</v>
      </c>
      <c r="F4" s="56">
        <f t="shared" si="1"/>
        <v>0.83646966725708505</v>
      </c>
      <c r="G4" s="4">
        <f t="shared" si="2"/>
        <v>4</v>
      </c>
      <c r="H4" s="4">
        <f t="shared" si="3"/>
        <v>4</v>
      </c>
      <c r="I4" s="120" t="s">
        <v>39</v>
      </c>
      <c r="K4" t="s">
        <v>45</v>
      </c>
      <c r="L4" t="s">
        <v>46</v>
      </c>
    </row>
    <row r="5" spans="1:12">
      <c r="A5" s="161"/>
      <c r="B5" s="8" t="s">
        <v>18</v>
      </c>
      <c r="C5" s="21">
        <v>150</v>
      </c>
      <c r="D5" s="8">
        <v>39.29</v>
      </c>
      <c r="E5" s="72">
        <f t="shared" si="0"/>
        <v>194.8557692307692</v>
      </c>
      <c r="F5" s="87">
        <f>((H20/380)*100)</f>
        <v>0.3204864625506072</v>
      </c>
      <c r="G5" s="8">
        <f t="shared" si="2"/>
        <v>70</v>
      </c>
      <c r="H5" s="8">
        <f t="shared" si="3"/>
        <v>70</v>
      </c>
      <c r="I5" s="121" t="s">
        <v>42</v>
      </c>
    </row>
    <row r="6" spans="1:12">
      <c r="A6" s="181">
        <v>2</v>
      </c>
      <c r="B6" s="3" t="s">
        <v>21</v>
      </c>
      <c r="C6" s="13">
        <v>20</v>
      </c>
      <c r="D6" s="3">
        <v>6.73</v>
      </c>
      <c r="E6" s="72">
        <f t="shared" si="0"/>
        <v>29.061346153846152</v>
      </c>
      <c r="F6" s="55">
        <f>((H21/380)*100)</f>
        <v>1.171057534159919</v>
      </c>
      <c r="G6" s="3">
        <f>F21</f>
        <v>4</v>
      </c>
      <c r="H6" s="3">
        <f>G6</f>
        <v>4</v>
      </c>
      <c r="I6" s="119" t="s">
        <v>39</v>
      </c>
    </row>
    <row r="7" spans="1:12">
      <c r="A7" s="158"/>
      <c r="B7" s="4" t="s">
        <v>22</v>
      </c>
      <c r="C7" s="14">
        <v>20</v>
      </c>
      <c r="D7" s="4">
        <v>6.73</v>
      </c>
      <c r="E7" s="72">
        <f t="shared" si="0"/>
        <v>29.061346153846152</v>
      </c>
      <c r="F7" s="56">
        <f>((H22/380)*100)</f>
        <v>1.171057534159919</v>
      </c>
      <c r="G7" s="4">
        <f>F22</f>
        <v>4</v>
      </c>
      <c r="H7" s="4">
        <f>G7</f>
        <v>4</v>
      </c>
      <c r="I7" s="119" t="s">
        <v>39</v>
      </c>
    </row>
    <row r="8" spans="1:12">
      <c r="A8" s="161"/>
      <c r="B8" s="8" t="s">
        <v>23</v>
      </c>
      <c r="C8" s="21">
        <v>30</v>
      </c>
      <c r="D8" s="8">
        <v>9.83</v>
      </c>
      <c r="E8" s="72">
        <f t="shared" si="0"/>
        <v>42.422884615384611</v>
      </c>
      <c r="F8" s="87">
        <f>((H23/380)*100)</f>
        <v>1.1396498608299592</v>
      </c>
      <c r="G8" s="8">
        <f>F23</f>
        <v>6</v>
      </c>
      <c r="H8" s="8">
        <f>G8</f>
        <v>6</v>
      </c>
      <c r="I8" s="122" t="s">
        <v>39</v>
      </c>
    </row>
    <row r="9" spans="1:12">
      <c r="A9" s="181">
        <v>3</v>
      </c>
      <c r="B9" s="3" t="s">
        <v>47</v>
      </c>
      <c r="C9" s="3" t="s">
        <v>25</v>
      </c>
      <c r="D9" s="100">
        <f>L32</f>
        <v>2.4213075060532687</v>
      </c>
      <c r="E9" s="72">
        <f t="shared" si="0"/>
        <v>10.582637701281769</v>
      </c>
      <c r="F9" s="55">
        <f>((H24/220)*100)</f>
        <v>1.6836014524766452</v>
      </c>
      <c r="G9" s="3">
        <f t="shared" si="2"/>
        <v>1.5</v>
      </c>
      <c r="H9" s="3">
        <v>2.5</v>
      </c>
      <c r="I9" s="105" t="s">
        <v>48</v>
      </c>
    </row>
    <row r="10" spans="1:12">
      <c r="A10" s="158"/>
      <c r="B10" s="4" t="s">
        <v>49</v>
      </c>
      <c r="C10" s="4" t="s">
        <v>25</v>
      </c>
      <c r="D10" s="4"/>
      <c r="E10" s="72">
        <f t="shared" si="0"/>
        <v>0</v>
      </c>
      <c r="F10" s="56" t="e">
        <f t="shared" si="1"/>
        <v>#DIV/0!</v>
      </c>
      <c r="G10" s="4">
        <f t="shared" si="2"/>
        <v>0</v>
      </c>
      <c r="H10" s="4">
        <f t="shared" si="3"/>
        <v>0</v>
      </c>
      <c r="I10" s="106"/>
    </row>
    <row r="11" spans="1:12">
      <c r="A11" s="158"/>
      <c r="B11" s="4" t="s">
        <v>26</v>
      </c>
      <c r="C11" s="4" t="s">
        <v>25</v>
      </c>
      <c r="D11" s="4">
        <v>0</v>
      </c>
      <c r="E11" s="72">
        <f t="shared" si="0"/>
        <v>75.910931174089072</v>
      </c>
      <c r="F11" s="56">
        <f t="shared" si="1"/>
        <v>0.65548090240784151</v>
      </c>
      <c r="G11" s="4">
        <f t="shared" si="2"/>
        <v>16</v>
      </c>
      <c r="H11" s="4">
        <f t="shared" si="3"/>
        <v>16</v>
      </c>
      <c r="I11" s="106" t="s">
        <v>50</v>
      </c>
    </row>
    <row r="12" spans="1:12">
      <c r="A12" s="158"/>
      <c r="B12" s="4" t="s">
        <v>27</v>
      </c>
      <c r="C12" s="4" t="s">
        <v>25</v>
      </c>
      <c r="D12" s="4">
        <v>0</v>
      </c>
      <c r="E12" s="72">
        <f t="shared" si="0"/>
        <v>75.910931174089072</v>
      </c>
      <c r="F12" s="56">
        <f t="shared" si="1"/>
        <v>0.65548090240784151</v>
      </c>
      <c r="G12" s="4">
        <f t="shared" si="2"/>
        <v>16</v>
      </c>
      <c r="H12" s="4">
        <f t="shared" si="3"/>
        <v>16</v>
      </c>
      <c r="I12" s="106" t="s">
        <v>50</v>
      </c>
    </row>
    <row r="13" spans="1:12">
      <c r="A13" s="159"/>
      <c r="B13" s="5" t="s">
        <v>28</v>
      </c>
      <c r="C13" s="5" t="s">
        <v>25</v>
      </c>
      <c r="D13" s="5">
        <v>0</v>
      </c>
      <c r="E13" s="123">
        <f t="shared" si="0"/>
        <v>75.910931174089072</v>
      </c>
      <c r="F13" s="57">
        <f t="shared" si="1"/>
        <v>0.65548090240784151</v>
      </c>
      <c r="G13" s="5">
        <f t="shared" si="2"/>
        <v>16</v>
      </c>
      <c r="H13" s="5">
        <f t="shared" si="3"/>
        <v>16</v>
      </c>
      <c r="I13" s="124" t="s">
        <v>50</v>
      </c>
    </row>
    <row r="16" spans="1:12" ht="15" customHeight="1">
      <c r="A16" s="76" t="s">
        <v>51</v>
      </c>
      <c r="B16" s="77" t="s">
        <v>1</v>
      </c>
      <c r="C16" s="77" t="s">
        <v>31</v>
      </c>
      <c r="D16" s="77" t="s">
        <v>32</v>
      </c>
      <c r="E16" s="78" t="s">
        <v>52</v>
      </c>
      <c r="F16" s="79" t="s">
        <v>53</v>
      </c>
      <c r="G16" s="79" t="s">
        <v>54</v>
      </c>
      <c r="H16" s="80" t="s">
        <v>55</v>
      </c>
      <c r="I16" s="171" t="s">
        <v>56</v>
      </c>
      <c r="J16" s="174" t="s">
        <v>57</v>
      </c>
      <c r="K16" s="175"/>
      <c r="L16" s="170"/>
    </row>
    <row r="17" spans="1:12">
      <c r="A17" s="71">
        <v>25</v>
      </c>
      <c r="B17" s="3">
        <v>60</v>
      </c>
      <c r="C17" s="17">
        <v>380</v>
      </c>
      <c r="D17" s="17">
        <f>73.1*1.158</f>
        <v>84.649799999999985</v>
      </c>
      <c r="E17" s="107">
        <f>D17/L26</f>
        <v>81.394038461538443</v>
      </c>
      <c r="F17" s="17">
        <v>16</v>
      </c>
      <c r="G17" s="73">
        <v>88</v>
      </c>
      <c r="H17" s="63">
        <f>((A17/F17)*L$28)*E17</f>
        <v>2.2256182391826922</v>
      </c>
      <c r="I17" s="172"/>
      <c r="J17" s="176"/>
      <c r="K17" s="177"/>
      <c r="L17" s="170"/>
    </row>
    <row r="18" spans="1:12">
      <c r="A18" s="74">
        <v>25</v>
      </c>
      <c r="B18" s="4">
        <v>150</v>
      </c>
      <c r="C18" s="16">
        <v>380</v>
      </c>
      <c r="D18" s="16">
        <f>175*1.158</f>
        <v>202.64999999999998</v>
      </c>
      <c r="E18" s="108">
        <f>D18/L26</f>
        <v>194.8557692307692</v>
      </c>
      <c r="F18" s="16">
        <v>70</v>
      </c>
      <c r="G18" s="61">
        <v>222</v>
      </c>
      <c r="H18" s="63">
        <f t="shared" ref="H18:H28" si="4">((A18/F18)*L$28)*E18</f>
        <v>1.2178485576923075</v>
      </c>
      <c r="I18" s="172"/>
      <c r="J18" s="176"/>
      <c r="K18" s="177"/>
      <c r="L18" s="170"/>
    </row>
    <row r="19" spans="1:12">
      <c r="A19" s="74">
        <v>25</v>
      </c>
      <c r="B19" s="4">
        <v>20</v>
      </c>
      <c r="C19" s="16">
        <v>380</v>
      </c>
      <c r="D19" s="16">
        <f>26.1*1.158</f>
        <v>30.223800000000001</v>
      </c>
      <c r="E19" s="108">
        <f t="shared" ref="E19:E24" si="5">D19/L$26</f>
        <v>29.061346153846152</v>
      </c>
      <c r="F19" s="16">
        <v>4</v>
      </c>
      <c r="G19" s="61">
        <v>37</v>
      </c>
      <c r="H19" s="63">
        <f>((A19/F19)*L$28)*E19</f>
        <v>3.1785847355769232</v>
      </c>
      <c r="I19" s="172"/>
      <c r="J19" s="176"/>
      <c r="K19" s="177"/>
      <c r="L19" s="170"/>
    </row>
    <row r="20" spans="1:12">
      <c r="A20" s="81">
        <v>25</v>
      </c>
      <c r="B20" s="8">
        <v>150</v>
      </c>
      <c r="C20" s="22">
        <v>380</v>
      </c>
      <c r="D20" s="22">
        <f>175*1.158</f>
        <v>202.64999999999998</v>
      </c>
      <c r="E20" s="109">
        <f t="shared" si="5"/>
        <v>194.8557692307692</v>
      </c>
      <c r="F20" s="22">
        <v>70</v>
      </c>
      <c r="G20" s="82">
        <v>222</v>
      </c>
      <c r="H20" s="63">
        <f t="shared" si="4"/>
        <v>1.2178485576923075</v>
      </c>
      <c r="I20" s="172"/>
      <c r="J20" s="176"/>
      <c r="K20" s="177"/>
      <c r="L20" s="84"/>
    </row>
    <row r="21" spans="1:12" ht="15.75" customHeight="1">
      <c r="A21" s="71">
        <v>35</v>
      </c>
      <c r="B21" s="3">
        <v>20</v>
      </c>
      <c r="C21" s="17">
        <v>380</v>
      </c>
      <c r="D21" s="17">
        <f>26.1*1.158</f>
        <v>30.223800000000001</v>
      </c>
      <c r="E21" s="107">
        <f t="shared" si="5"/>
        <v>29.061346153846152</v>
      </c>
      <c r="F21" s="17">
        <v>4</v>
      </c>
      <c r="G21" s="73">
        <v>37</v>
      </c>
      <c r="H21" s="63">
        <f t="shared" si="4"/>
        <v>4.4500186298076922</v>
      </c>
      <c r="I21" s="172"/>
      <c r="J21" s="176"/>
      <c r="K21" s="177"/>
      <c r="L21" s="84"/>
    </row>
    <row r="22" spans="1:12" ht="15.75" customHeight="1">
      <c r="A22" s="74">
        <v>35</v>
      </c>
      <c r="B22" s="4">
        <v>20</v>
      </c>
      <c r="C22" s="16">
        <v>380</v>
      </c>
      <c r="D22" s="16">
        <f>26.1*1.158</f>
        <v>30.223800000000001</v>
      </c>
      <c r="E22" s="108">
        <f t="shared" si="5"/>
        <v>29.061346153846152</v>
      </c>
      <c r="F22" s="16">
        <v>4</v>
      </c>
      <c r="G22" s="61">
        <v>37</v>
      </c>
      <c r="H22" s="63">
        <f t="shared" si="4"/>
        <v>4.4500186298076922</v>
      </c>
      <c r="I22" s="172"/>
      <c r="J22" s="176"/>
      <c r="K22" s="177"/>
      <c r="L22" s="84"/>
    </row>
    <row r="23" spans="1:12" ht="15.75" customHeight="1">
      <c r="A23" s="81">
        <v>35</v>
      </c>
      <c r="B23" s="8">
        <v>30</v>
      </c>
      <c r="C23" s="22">
        <v>380</v>
      </c>
      <c r="D23" s="22">
        <f>1.158*38.1</f>
        <v>44.119799999999998</v>
      </c>
      <c r="E23" s="109">
        <f t="shared" si="5"/>
        <v>42.422884615384611</v>
      </c>
      <c r="F23" s="22">
        <v>6</v>
      </c>
      <c r="G23" s="82">
        <v>48</v>
      </c>
      <c r="H23" s="89">
        <f t="shared" si="4"/>
        <v>4.3306694711538452</v>
      </c>
      <c r="I23" s="173"/>
      <c r="J23" s="178"/>
      <c r="K23" s="179"/>
      <c r="L23" s="84"/>
    </row>
    <row r="24" spans="1:12" ht="15.75" customHeight="1">
      <c r="A24" s="71">
        <v>30</v>
      </c>
      <c r="B24" s="102">
        <f>L32</f>
        <v>2.4213075060532687</v>
      </c>
      <c r="C24" s="17">
        <v>220</v>
      </c>
      <c r="D24" s="101">
        <f>(B24*1000)/C24</f>
        <v>11.00594320933304</v>
      </c>
      <c r="E24" s="110">
        <f t="shared" si="5"/>
        <v>10.582637701281769</v>
      </c>
      <c r="F24" s="73">
        <v>1.5</v>
      </c>
      <c r="G24" s="83">
        <v>23</v>
      </c>
      <c r="H24" s="63">
        <f t="shared" si="4"/>
        <v>3.7039231954486196</v>
      </c>
    </row>
    <row r="25" spans="1:12" ht="15.75" customHeight="1">
      <c r="A25" s="74">
        <v>30</v>
      </c>
      <c r="B25" s="16"/>
      <c r="C25" s="16">
        <v>220</v>
      </c>
      <c r="D25" s="61"/>
      <c r="E25" s="109">
        <f t="shared" ref="E25:E28" si="6">D25/L$26</f>
        <v>0</v>
      </c>
      <c r="F25" s="61"/>
      <c r="G25" s="70"/>
      <c r="H25" s="63" t="e">
        <f t="shared" si="4"/>
        <v>#DIV/0!</v>
      </c>
      <c r="J25" s="166" t="s">
        <v>58</v>
      </c>
      <c r="K25" s="167"/>
      <c r="L25" s="53" t="s">
        <v>59</v>
      </c>
    </row>
    <row r="26" spans="1:12" ht="15.75" customHeight="1">
      <c r="A26" s="74">
        <v>30</v>
      </c>
      <c r="B26" s="16">
        <v>30</v>
      </c>
      <c r="C26" s="16">
        <v>380</v>
      </c>
      <c r="D26" s="61">
        <f>(B26*1000)/380</f>
        <v>78.94736842105263</v>
      </c>
      <c r="E26" s="109">
        <f t="shared" si="6"/>
        <v>75.910931174089072</v>
      </c>
      <c r="F26" s="61">
        <v>16</v>
      </c>
      <c r="G26" s="70">
        <v>88</v>
      </c>
      <c r="H26" s="63">
        <f t="shared" si="4"/>
        <v>2.4908274291497978</v>
      </c>
      <c r="J26" s="66" t="s">
        <v>60</v>
      </c>
      <c r="K26" s="67"/>
      <c r="L26" s="54">
        <v>1.04</v>
      </c>
    </row>
    <row r="27" spans="1:12" ht="15.75" customHeight="1">
      <c r="A27" s="74">
        <v>30</v>
      </c>
      <c r="B27" s="103">
        <v>30</v>
      </c>
      <c r="C27" s="16">
        <v>380</v>
      </c>
      <c r="D27" s="61">
        <f t="shared" ref="D27:D28" si="7">(B27*1000)/380</f>
        <v>78.94736842105263</v>
      </c>
      <c r="E27" s="109">
        <f t="shared" si="6"/>
        <v>75.910931174089072</v>
      </c>
      <c r="F27" s="103">
        <v>16</v>
      </c>
      <c r="G27" s="103">
        <v>88</v>
      </c>
      <c r="H27" s="63">
        <f t="shared" si="4"/>
        <v>2.4908274291497978</v>
      </c>
    </row>
    <row r="28" spans="1:12" ht="15.75" customHeight="1">
      <c r="A28" s="75">
        <v>30</v>
      </c>
      <c r="B28" s="104">
        <v>30</v>
      </c>
      <c r="C28" s="18">
        <v>380</v>
      </c>
      <c r="D28" s="61">
        <f t="shared" si="7"/>
        <v>78.94736842105263</v>
      </c>
      <c r="E28" s="111">
        <f t="shared" si="6"/>
        <v>75.910931174089072</v>
      </c>
      <c r="F28" s="104">
        <v>16</v>
      </c>
      <c r="G28" s="104">
        <v>88</v>
      </c>
      <c r="H28" s="88">
        <f t="shared" si="4"/>
        <v>2.4908274291497978</v>
      </c>
      <c r="J28" s="168" t="s">
        <v>61</v>
      </c>
      <c r="K28" s="169"/>
      <c r="L28" s="85">
        <v>1.7500000000000002E-2</v>
      </c>
    </row>
    <row r="29" spans="1:12" ht="15.75" customHeight="1">
      <c r="B29" s="52"/>
      <c r="C29" s="52"/>
      <c r="D29" s="52"/>
      <c r="E29" s="52"/>
      <c r="F29" s="52"/>
      <c r="G29" s="52"/>
      <c r="H29" s="52"/>
      <c r="J29" s="45"/>
      <c r="K29" s="45"/>
      <c r="L29" s="45"/>
    </row>
    <row r="30" spans="1:12" ht="15.75" customHeight="1">
      <c r="F30"/>
      <c r="G30" s="58"/>
      <c r="H30" s="51"/>
      <c r="J30" s="45"/>
      <c r="K30" s="45"/>
      <c r="L30" s="45"/>
    </row>
    <row r="31" spans="1:12" s="98" customFormat="1" ht="15.75" customHeight="1">
      <c r="A31" s="90"/>
      <c r="B31" s="91" t="s">
        <v>62</v>
      </c>
      <c r="C31" s="91" t="s">
        <v>63</v>
      </c>
      <c r="D31" s="91" t="s">
        <v>64</v>
      </c>
      <c r="E31" s="91" t="s">
        <v>65</v>
      </c>
      <c r="F31" s="92" t="s">
        <v>66</v>
      </c>
      <c r="G31" s="91" t="s">
        <v>67</v>
      </c>
      <c r="H31" s="91" t="s">
        <v>68</v>
      </c>
      <c r="I31" s="91" t="s">
        <v>69</v>
      </c>
      <c r="J31" s="91" t="s">
        <v>70</v>
      </c>
      <c r="K31" s="91" t="s">
        <v>71</v>
      </c>
      <c r="L31" s="93" t="s">
        <v>72</v>
      </c>
    </row>
    <row r="32" spans="1:12" ht="15.75" customHeight="1">
      <c r="A32" s="94" t="s">
        <v>73</v>
      </c>
      <c r="B32" s="64">
        <v>15</v>
      </c>
      <c r="C32" s="64">
        <v>20</v>
      </c>
      <c r="D32" s="64">
        <f>C32*B32</f>
        <v>300</v>
      </c>
      <c r="E32" s="64">
        <f>(B32*C32)/(2*(B32+C32))</f>
        <v>4.2857142857142856</v>
      </c>
      <c r="F32" s="95">
        <v>0.84</v>
      </c>
      <c r="G32" s="18">
        <v>0.8</v>
      </c>
      <c r="H32" s="64">
        <v>500</v>
      </c>
      <c r="I32" s="96">
        <f>(D32*H32)/(F32*G32)</f>
        <v>223214.28571428571</v>
      </c>
      <c r="J32" s="97">
        <f>I32/(4*2950)</f>
        <v>18.916464891041162</v>
      </c>
      <c r="K32" s="97">
        <f>J32*4</f>
        <v>75.665859564164649</v>
      </c>
      <c r="L32" s="99">
        <f>(K32*32)/1000</f>
        <v>2.4213075060532687</v>
      </c>
    </row>
    <row r="33" spans="1:10" ht="15.75" customHeight="1">
      <c r="E33" t="s">
        <v>74</v>
      </c>
      <c r="H33" s="51" t="s">
        <v>75</v>
      </c>
      <c r="J33" s="164" t="s">
        <v>76</v>
      </c>
    </row>
    <row r="34" spans="1:10" ht="15.75" customHeight="1">
      <c r="H34" s="51" t="s">
        <v>77</v>
      </c>
      <c r="J34" s="164"/>
    </row>
    <row r="35" spans="1:10" ht="15.75" customHeight="1">
      <c r="A35" s="165" t="s">
        <v>78</v>
      </c>
      <c r="B35" s="165"/>
      <c r="C35" s="165"/>
      <c r="D35" s="165"/>
      <c r="E35" s="165"/>
      <c r="F35" s="165"/>
      <c r="G35" s="165"/>
      <c r="H35" s="165"/>
      <c r="J35" s="164"/>
    </row>
    <row r="36" spans="1:10" ht="15.75" customHeight="1">
      <c r="A36" s="165"/>
      <c r="B36" s="165"/>
      <c r="C36" s="165"/>
      <c r="D36" s="165"/>
      <c r="E36" s="165"/>
      <c r="F36" s="165"/>
      <c r="G36" s="165"/>
      <c r="H36" s="165"/>
      <c r="J36" s="164"/>
    </row>
    <row r="37" spans="1:10" ht="15.75" customHeight="1">
      <c r="A37" s="165"/>
      <c r="B37" s="165"/>
      <c r="C37" s="165"/>
      <c r="D37" s="165"/>
      <c r="E37" s="165"/>
      <c r="F37" s="165"/>
      <c r="G37" s="165"/>
      <c r="H37" s="165"/>
      <c r="J37" s="164"/>
    </row>
    <row r="38" spans="1:10" ht="15.75" customHeight="1">
      <c r="A38" s="165"/>
      <c r="B38" s="165"/>
      <c r="C38" s="165"/>
      <c r="D38" s="165"/>
      <c r="E38" s="165"/>
      <c r="F38" s="165"/>
      <c r="G38" s="165"/>
      <c r="H38" s="165"/>
      <c r="J38" s="164"/>
    </row>
    <row r="39" spans="1:10" ht="15.75" customHeight="1"/>
    <row r="40" spans="1:10" ht="15.75" customHeight="1"/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2:A5"/>
    <mergeCell ref="A6:A8"/>
    <mergeCell ref="A9:A13"/>
    <mergeCell ref="J33:J38"/>
    <mergeCell ref="A35:H38"/>
    <mergeCell ref="J25:K25"/>
    <mergeCell ref="J28:K28"/>
    <mergeCell ref="L16:L19"/>
    <mergeCell ref="I16:I23"/>
    <mergeCell ref="J16:K23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tabSelected="1" workbookViewId="0">
      <selection activeCell="F16" sqref="F16"/>
    </sheetView>
  </sheetViews>
  <sheetFormatPr defaultColWidth="14.44140625" defaultRowHeight="15" customHeight="1"/>
  <cols>
    <col min="1" max="1" width="6.88671875" customWidth="1"/>
    <col min="2" max="2" width="22.33203125" customWidth="1"/>
    <col min="3" max="3" width="26.44140625" customWidth="1"/>
    <col min="4" max="4" width="27.88671875" customWidth="1"/>
    <col min="5" max="5" width="28" customWidth="1"/>
    <col min="6" max="6" width="33.109375" customWidth="1"/>
    <col min="7" max="7" width="29.5546875" customWidth="1"/>
    <col min="8" max="8" width="24.88671875" customWidth="1"/>
    <col min="9" max="9" width="14.44140625" customWidth="1"/>
    <col min="10" max="26" width="8.6640625" customWidth="1"/>
  </cols>
  <sheetData>
    <row r="1" spans="1:15" ht="15.6">
      <c r="A1" s="125" t="s">
        <v>0</v>
      </c>
      <c r="B1" s="126" t="s">
        <v>5</v>
      </c>
      <c r="C1" s="126" t="s">
        <v>6</v>
      </c>
      <c r="D1" s="126" t="s">
        <v>7</v>
      </c>
      <c r="E1" s="126" t="s">
        <v>34</v>
      </c>
      <c r="F1" s="126" t="s">
        <v>79</v>
      </c>
      <c r="G1" s="126" t="s">
        <v>36</v>
      </c>
      <c r="H1" s="126" t="s">
        <v>37</v>
      </c>
      <c r="I1" s="127" t="s">
        <v>38</v>
      </c>
      <c r="L1" s="184" t="s">
        <v>80</v>
      </c>
      <c r="M1" s="185"/>
      <c r="N1" s="185"/>
      <c r="O1" s="186"/>
    </row>
    <row r="2" spans="1:15">
      <c r="A2" s="7">
        <v>1</v>
      </c>
      <c r="B2" s="56">
        <f>SUM('1 - Dados iniciais de cargas'!F2:F5)</f>
        <v>169.09681103999998</v>
      </c>
      <c r="C2" s="56">
        <f>SUM('1 - Dados iniciais de cargas'!G2:G5)</f>
        <v>197.66596799999996</v>
      </c>
      <c r="D2" s="56">
        <f>SUM('1 - Dados iniciais de cargas'!H2:H5)</f>
        <v>102.27257679297276</v>
      </c>
      <c r="E2" s="4">
        <f>E14</f>
        <v>506.36277651342738</v>
      </c>
      <c r="F2" s="4">
        <f>(H14/380)*100</f>
        <v>0.19432781993388112</v>
      </c>
      <c r="G2" s="4">
        <v>300</v>
      </c>
      <c r="H2" s="4">
        <v>300</v>
      </c>
      <c r="I2" s="106" t="s">
        <v>81</v>
      </c>
      <c r="J2" t="s">
        <v>82</v>
      </c>
      <c r="L2" s="187"/>
      <c r="M2" s="170"/>
      <c r="N2" s="170"/>
      <c r="O2" s="188"/>
    </row>
    <row r="3" spans="1:15">
      <c r="A3" s="7">
        <v>2</v>
      </c>
      <c r="B3" s="56">
        <f>SUM('1 - Dados iniciais de cargas'!F6:F8)</f>
        <v>32.185845720000003</v>
      </c>
      <c r="C3" s="56">
        <f>SUM('1 - Dados iniciais de cargas'!G6:G8)</f>
        <v>39.735612000000003</v>
      </c>
      <c r="D3" s="56">
        <f>SUM('1 - Dados iniciais de cargas'!H6:H8)</f>
        <v>23.302150036056794</v>
      </c>
      <c r="E3" s="4">
        <f t="shared" ref="E3:E4" si="0">E15</f>
        <v>100.54557692307692</v>
      </c>
      <c r="F3" s="4">
        <f t="shared" ref="F3:F4" si="1">(H15/380)*100</f>
        <v>0.64825437753036441</v>
      </c>
      <c r="G3" s="4">
        <v>25</v>
      </c>
      <c r="H3" s="4">
        <v>25</v>
      </c>
      <c r="I3" s="106" t="s">
        <v>83</v>
      </c>
      <c r="J3" t="s">
        <v>84</v>
      </c>
      <c r="L3" s="187"/>
      <c r="M3" s="170"/>
      <c r="N3" s="170"/>
      <c r="O3" s="188"/>
    </row>
    <row r="4" spans="1:15">
      <c r="A4" s="9">
        <v>3</v>
      </c>
      <c r="B4" s="57">
        <f>SUM('1 - Dados iniciais de cargas'!F9:F13)</f>
        <v>250</v>
      </c>
      <c r="C4" s="57">
        <f>SUM('1 - Dados iniciais de cargas'!G9:G13)</f>
        <v>263.91304347826087</v>
      </c>
      <c r="D4" s="57">
        <f>SUM('1 - Dados iniciais de cargas'!H9:H13)</f>
        <v>68.159714581792784</v>
      </c>
      <c r="E4" s="5">
        <f t="shared" si="0"/>
        <v>653.50319536922404</v>
      </c>
      <c r="F4" s="5">
        <f t="shared" si="1"/>
        <v>0.22571656419002806</v>
      </c>
      <c r="G4" s="5">
        <v>400</v>
      </c>
      <c r="H4" s="5">
        <v>400</v>
      </c>
      <c r="I4" s="124" t="s">
        <v>85</v>
      </c>
      <c r="L4" s="187"/>
      <c r="M4" s="170"/>
      <c r="N4" s="170"/>
      <c r="O4" s="188"/>
    </row>
    <row r="5" spans="1:15" ht="15" customHeight="1">
      <c r="L5" s="189"/>
      <c r="M5" s="190"/>
      <c r="N5" s="190"/>
      <c r="O5" s="191"/>
    </row>
    <row r="6" spans="1:15" ht="15" customHeight="1">
      <c r="E6" t="s">
        <v>86</v>
      </c>
    </row>
    <row r="7" spans="1:15" ht="15" customHeight="1">
      <c r="E7" t="s">
        <v>87</v>
      </c>
    </row>
    <row r="8" spans="1:15" ht="15" customHeight="1">
      <c r="E8" t="s">
        <v>88</v>
      </c>
    </row>
    <row r="12" spans="1:15" s="98" customFormat="1" ht="15" customHeight="1">
      <c r="A12" s="132" t="s">
        <v>89</v>
      </c>
      <c r="B12" s="91"/>
      <c r="C12" s="91" t="s">
        <v>90</v>
      </c>
      <c r="D12" s="133" t="s">
        <v>91</v>
      </c>
      <c r="E12" s="134" t="s">
        <v>92</v>
      </c>
      <c r="F12" s="128" t="s">
        <v>53</v>
      </c>
      <c r="G12" s="128" t="s">
        <v>54</v>
      </c>
      <c r="H12" s="129" t="s">
        <v>55</v>
      </c>
    </row>
    <row r="13" spans="1:15" ht="15" customHeight="1">
      <c r="A13" s="74"/>
      <c r="B13" s="62" t="s">
        <v>93</v>
      </c>
      <c r="C13" s="62">
        <v>10</v>
      </c>
      <c r="D13" s="61">
        <f>750000/380*1</f>
        <v>1973.6842105263158</v>
      </c>
      <c r="E13" s="61"/>
      <c r="F13" s="61"/>
      <c r="G13" s="61"/>
      <c r="H13" s="106"/>
    </row>
    <row r="14" spans="1:15" ht="15" customHeight="1">
      <c r="A14" s="74">
        <v>380</v>
      </c>
      <c r="B14" s="62" t="s">
        <v>94</v>
      </c>
      <c r="C14" s="62">
        <v>25</v>
      </c>
      <c r="D14" s="61">
        <f>(1000*B2)/(A14*C19)</f>
        <v>526.61728757396452</v>
      </c>
      <c r="E14" s="61">
        <f>D14/1.04</f>
        <v>506.36277651342738</v>
      </c>
      <c r="F14" s="61">
        <v>300</v>
      </c>
      <c r="G14" s="61">
        <v>553</v>
      </c>
      <c r="H14" s="130">
        <f>((C14/F14)*'3 - Dados condutores QGF-áreas '!D23)*E14</f>
        <v>0.73844571574874829</v>
      </c>
    </row>
    <row r="15" spans="1:15" ht="15" customHeight="1">
      <c r="A15" s="74">
        <v>380</v>
      </c>
      <c r="B15" s="62" t="s">
        <v>95</v>
      </c>
      <c r="C15" s="62">
        <v>35</v>
      </c>
      <c r="D15" s="61">
        <f t="shared" ref="D15:D16" si="2">(1000*B3)/(A15*C20)</f>
        <v>104.56740000000001</v>
      </c>
      <c r="E15" s="61">
        <f t="shared" ref="E15:E16" si="3">D15/1.04</f>
        <v>100.54557692307692</v>
      </c>
      <c r="F15" s="61">
        <v>25</v>
      </c>
      <c r="G15" s="61">
        <v>117</v>
      </c>
      <c r="H15" s="130">
        <f>((C15/F15)*'3 - Dados condutores QGF-áreas '!D23)*E15</f>
        <v>2.4633666346153849</v>
      </c>
    </row>
    <row r="16" spans="1:15" ht="15" customHeight="1">
      <c r="A16" s="75">
        <v>380</v>
      </c>
      <c r="B16" s="64" t="s">
        <v>96</v>
      </c>
      <c r="C16" s="64">
        <v>30</v>
      </c>
      <c r="D16" s="96">
        <f t="shared" si="2"/>
        <v>679.64332318399306</v>
      </c>
      <c r="E16" s="96">
        <f t="shared" si="3"/>
        <v>653.50319536922404</v>
      </c>
      <c r="F16" s="96">
        <v>400</v>
      </c>
      <c r="G16" s="96">
        <v>661</v>
      </c>
      <c r="H16" s="131">
        <f>((C16/F16)*'3 - Dados condutores QGF-áreas '!D23)*E16</f>
        <v>0.85772294392210657</v>
      </c>
    </row>
    <row r="19" spans="2:4" ht="15" customHeight="1">
      <c r="B19" s="132" t="s">
        <v>97</v>
      </c>
      <c r="C19" s="63">
        <v>0.84499999999999997</v>
      </c>
    </row>
    <row r="20" spans="2:4" ht="15" customHeight="1">
      <c r="B20" s="136" t="s">
        <v>98</v>
      </c>
      <c r="C20" s="106">
        <v>0.81</v>
      </c>
    </row>
    <row r="21" spans="2:4" ht="15.75" customHeight="1">
      <c r="B21" s="137" t="s">
        <v>99</v>
      </c>
      <c r="C21" s="124">
        <v>0.96799999999999997</v>
      </c>
    </row>
    <row r="22" spans="2:4" ht="15.75" customHeight="1"/>
    <row r="23" spans="2:4" ht="15.75" customHeight="1">
      <c r="B23" s="182" t="s">
        <v>61</v>
      </c>
      <c r="C23" s="183"/>
      <c r="D23" s="135">
        <v>1.7500000000000002E-2</v>
      </c>
    </row>
    <row r="24" spans="2:4" ht="15.75" customHeight="1"/>
    <row r="25" spans="2:4" ht="15.75" customHeight="1"/>
    <row r="26" spans="2:4" ht="15.75" customHeight="1"/>
    <row r="27" spans="2:4" ht="15.75" customHeight="1"/>
    <row r="28" spans="2:4" ht="15.75" customHeight="1"/>
    <row r="29" spans="2:4" ht="15.75" customHeight="1"/>
    <row r="30" spans="2:4" ht="15.75" customHeight="1"/>
    <row r="31" spans="2:4" ht="15.75" customHeight="1"/>
    <row r="32" spans="2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3:C23"/>
    <mergeCell ref="L1:O5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A16" sqref="A16"/>
    </sheetView>
  </sheetViews>
  <sheetFormatPr defaultColWidth="14.44140625" defaultRowHeight="15" customHeight="1"/>
  <cols>
    <col min="1" max="1" width="31" customWidth="1"/>
    <col min="2" max="2" width="18.6640625" customWidth="1"/>
    <col min="3" max="3" width="29.44140625" customWidth="1"/>
    <col min="4" max="4" width="21" customWidth="1"/>
    <col min="5" max="5" width="41.6640625" customWidth="1"/>
    <col min="6" max="26" width="8.6640625" customWidth="1"/>
  </cols>
  <sheetData>
    <row r="1" spans="1:5" ht="15.6">
      <c r="A1" s="192" t="s">
        <v>0</v>
      </c>
      <c r="B1" s="194" t="s">
        <v>100</v>
      </c>
      <c r="C1" s="195"/>
      <c r="D1" s="195"/>
      <c r="E1" s="196"/>
    </row>
    <row r="2" spans="1:5" ht="15.6" thickBot="1">
      <c r="A2" s="193"/>
      <c r="B2" s="1" t="s">
        <v>101</v>
      </c>
      <c r="C2" s="2" t="s">
        <v>102</v>
      </c>
      <c r="D2" s="2" t="s">
        <v>103</v>
      </c>
      <c r="E2" s="146" t="s">
        <v>104</v>
      </c>
    </row>
    <row r="3" spans="1:5">
      <c r="A3" s="147" t="s">
        <v>105</v>
      </c>
      <c r="B3" s="3">
        <v>1.609</v>
      </c>
      <c r="C3" s="3">
        <v>1.476</v>
      </c>
      <c r="D3" s="6">
        <v>1.02</v>
      </c>
      <c r="E3" s="199">
        <v>8.3689999999999998</v>
      </c>
    </row>
    <row r="4" spans="1:5">
      <c r="A4" s="148" t="s">
        <v>106</v>
      </c>
      <c r="B4" s="4">
        <v>105.67</v>
      </c>
      <c r="C4" s="4">
        <v>62.118000000000002</v>
      </c>
      <c r="D4" s="199">
        <v>1.02</v>
      </c>
      <c r="E4" s="149">
        <v>107.703</v>
      </c>
    </row>
    <row r="5" spans="1:5">
      <c r="A5" s="148" t="s">
        <v>107</v>
      </c>
      <c r="B5" s="4">
        <v>80.805999999999997</v>
      </c>
      <c r="C5" s="4">
        <v>8.4060000000000006</v>
      </c>
      <c r="D5" s="200">
        <v>1.02</v>
      </c>
      <c r="E5" s="149">
        <v>94.338999999999999</v>
      </c>
    </row>
    <row r="6" spans="1:5">
      <c r="A6" s="150" t="s">
        <v>108</v>
      </c>
      <c r="B6" s="8">
        <v>56.890999999999998</v>
      </c>
      <c r="C6" s="8">
        <v>3.64</v>
      </c>
      <c r="D6" s="199">
        <v>1.02</v>
      </c>
      <c r="E6" s="151">
        <v>71.213999999999999</v>
      </c>
    </row>
    <row r="7" spans="1:5">
      <c r="A7" s="150" t="s">
        <v>109</v>
      </c>
      <c r="B7" s="8">
        <v>27.725000000000001</v>
      </c>
      <c r="C7" s="8">
        <v>2.02</v>
      </c>
      <c r="D7" s="198">
        <v>1.02</v>
      </c>
      <c r="E7" s="151">
        <v>28.521000000000001</v>
      </c>
    </row>
    <row r="8" spans="1:5" ht="15.6" thickBot="1">
      <c r="A8" s="152" t="s">
        <v>110</v>
      </c>
      <c r="B8" s="153">
        <v>119.443</v>
      </c>
      <c r="C8" s="153">
        <v>2.1480000000000001</v>
      </c>
      <c r="D8" s="197">
        <v>1.02</v>
      </c>
      <c r="E8" s="154">
        <v>244.517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2"/>
    <mergeCell ref="B1:E1"/>
  </mergeCell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A5FF-6AB9-4FD5-81D8-A30DEB28DC5E}">
  <dimension ref="A1:J18"/>
  <sheetViews>
    <sheetView workbookViewId="0">
      <selection activeCell="G15" sqref="G15"/>
    </sheetView>
  </sheetViews>
  <sheetFormatPr defaultRowHeight="14.4"/>
  <cols>
    <col min="2" max="2" width="22.109375" bestFit="1" customWidth="1"/>
    <col min="3" max="3" width="26" bestFit="1" customWidth="1"/>
    <col min="5" max="5" width="11.5546875" bestFit="1" customWidth="1"/>
    <col min="6" max="6" width="19.88671875" bestFit="1" customWidth="1"/>
    <col min="7" max="7" width="17" bestFit="1" customWidth="1"/>
    <col min="8" max="8" width="24.109375" bestFit="1" customWidth="1"/>
  </cols>
  <sheetData>
    <row r="1" spans="1:10" s="98" customFormat="1" ht="15.6">
      <c r="A1" s="125" t="s">
        <v>0</v>
      </c>
      <c r="B1" s="126" t="s">
        <v>5</v>
      </c>
      <c r="C1" s="126" t="s">
        <v>6</v>
      </c>
      <c r="D1" s="91" t="s">
        <v>33</v>
      </c>
      <c r="E1" s="140" t="s">
        <v>111</v>
      </c>
      <c r="F1" s="140" t="s">
        <v>112</v>
      </c>
      <c r="G1" s="140" t="s">
        <v>113</v>
      </c>
      <c r="H1" s="141" t="s">
        <v>114</v>
      </c>
      <c r="I1" s="139"/>
      <c r="J1" s="139"/>
    </row>
    <row r="2" spans="1:10" ht="15">
      <c r="A2" s="7">
        <v>1</v>
      </c>
      <c r="B2" s="56">
        <f>SUM('1 - Dados iniciais de cargas'!F2:F5)</f>
        <v>169.09681103999998</v>
      </c>
      <c r="C2" s="56">
        <f>SUM('1 - Dados iniciais de cargas'!G2:G5)</f>
        <v>197.66596799999996</v>
      </c>
      <c r="D2" s="16">
        <v>0.84499999999999997</v>
      </c>
      <c r="E2" s="142">
        <v>0.92</v>
      </c>
      <c r="F2" s="142">
        <v>0.42599799999999999</v>
      </c>
      <c r="G2" s="142">
        <v>72.036299999999997</v>
      </c>
      <c r="H2" s="143">
        <v>125.6337</v>
      </c>
      <c r="I2" s="138"/>
      <c r="J2" s="138"/>
    </row>
    <row r="3" spans="1:10" ht="15">
      <c r="A3" s="7">
        <v>2</v>
      </c>
      <c r="B3" s="56">
        <f>SUM('1 - Dados iniciais de cargas'!F6:F8)</f>
        <v>32.185845720000003</v>
      </c>
      <c r="C3" s="56">
        <f>SUM('1 - Dados iniciais de cargas'!G6:G8)</f>
        <v>39.735612000000003</v>
      </c>
      <c r="D3" s="16">
        <v>0.81</v>
      </c>
      <c r="E3" s="142">
        <v>0.92</v>
      </c>
      <c r="F3" s="142">
        <v>0.42599799999999999</v>
      </c>
      <c r="G3" s="142">
        <v>13.71288</v>
      </c>
      <c r="H3" s="143">
        <v>26.02712</v>
      </c>
      <c r="I3" s="138"/>
      <c r="J3" s="138"/>
    </row>
    <row r="4" spans="1:10" ht="15">
      <c r="A4" s="9">
        <v>3</v>
      </c>
      <c r="B4" s="57">
        <f>SUM('1 - Dados iniciais de cargas'!F9:F13)</f>
        <v>250</v>
      </c>
      <c r="C4" s="57">
        <f>SUM('1 - Dados iniciais de cargas'!G9:G13)</f>
        <v>263.91304347826087</v>
      </c>
      <c r="D4" s="18">
        <v>0.96799999999999997</v>
      </c>
      <c r="E4" s="144">
        <v>0.92</v>
      </c>
      <c r="F4" s="144">
        <v>0.42599799999999999</v>
      </c>
      <c r="G4" s="144">
        <v>106.4996</v>
      </c>
      <c r="H4" s="145">
        <v>157.41040000000001</v>
      </c>
      <c r="I4" s="138"/>
      <c r="J4" s="138"/>
    </row>
    <row r="5" spans="1:10">
      <c r="A5" s="51"/>
      <c r="B5" s="51"/>
      <c r="C5" s="51"/>
      <c r="D5" s="51"/>
      <c r="E5" s="51"/>
      <c r="F5" s="51"/>
      <c r="G5" s="51"/>
      <c r="H5" s="51"/>
    </row>
    <row r="6" spans="1:10">
      <c r="A6" s="51"/>
      <c r="B6" s="51"/>
      <c r="C6" s="51"/>
      <c r="D6" s="51"/>
      <c r="E6" s="51"/>
      <c r="F6" s="51"/>
      <c r="G6" s="51"/>
      <c r="H6" s="51"/>
    </row>
    <row r="7" spans="1:10">
      <c r="A7" s="51"/>
      <c r="B7" s="51"/>
      <c r="C7" s="51"/>
      <c r="D7" s="51"/>
      <c r="E7" s="51"/>
      <c r="F7" s="51"/>
      <c r="G7" s="51"/>
      <c r="H7" s="51"/>
    </row>
    <row r="8" spans="1:10">
      <c r="A8" s="51"/>
      <c r="B8" s="51"/>
      <c r="C8" s="51"/>
      <c r="D8" s="51"/>
      <c r="E8" s="51"/>
      <c r="F8" s="51"/>
      <c r="G8" s="51"/>
      <c r="H8" s="51"/>
    </row>
    <row r="9" spans="1:10">
      <c r="A9" s="51"/>
      <c r="B9" s="51"/>
      <c r="C9" s="51"/>
      <c r="D9" s="51"/>
      <c r="E9" s="51"/>
      <c r="F9" s="51"/>
      <c r="G9" s="51"/>
      <c r="H9" s="51"/>
    </row>
    <row r="10" spans="1:10">
      <c r="A10" s="51"/>
      <c r="B10" s="51"/>
      <c r="C10" s="51"/>
      <c r="D10" s="51"/>
      <c r="E10" s="51"/>
      <c r="F10" s="51"/>
      <c r="G10" s="51"/>
      <c r="H10" s="51"/>
    </row>
    <row r="11" spans="1:10">
      <c r="A11" s="51"/>
      <c r="B11" s="51"/>
      <c r="C11" s="51"/>
      <c r="D11" s="51"/>
      <c r="E11" s="51"/>
      <c r="F11" s="51"/>
      <c r="G11" s="51"/>
      <c r="H11" s="51"/>
    </row>
    <row r="12" spans="1:10">
      <c r="A12" s="51"/>
      <c r="B12" s="51"/>
      <c r="C12" s="51"/>
      <c r="D12" s="51"/>
      <c r="E12" s="51"/>
      <c r="F12" s="51"/>
      <c r="G12" s="51"/>
      <c r="H12" s="51"/>
    </row>
    <row r="13" spans="1:10">
      <c r="A13" s="51"/>
      <c r="B13" s="51"/>
      <c r="C13" s="51"/>
      <c r="D13" s="51"/>
      <c r="E13" s="51"/>
      <c r="F13" s="51"/>
      <c r="G13" s="51"/>
      <c r="H13" s="51"/>
    </row>
    <row r="14" spans="1:10">
      <c r="A14" s="51"/>
      <c r="B14" s="51"/>
      <c r="C14" s="51"/>
      <c r="D14" s="51"/>
      <c r="E14" s="51"/>
      <c r="F14" s="51"/>
      <c r="G14" s="51"/>
      <c r="H14" s="51"/>
    </row>
    <row r="15" spans="1:10">
      <c r="A15" s="51"/>
      <c r="B15" s="51"/>
      <c r="C15" s="51"/>
      <c r="D15" s="51"/>
      <c r="E15" s="51"/>
      <c r="F15" s="51"/>
      <c r="G15" s="51"/>
      <c r="H15" s="51"/>
    </row>
    <row r="16" spans="1:10">
      <c r="A16" s="51"/>
      <c r="B16" s="51"/>
      <c r="C16" s="51"/>
      <c r="D16" s="51"/>
      <c r="E16" s="51"/>
      <c r="F16" s="51"/>
      <c r="G16" s="51"/>
      <c r="H16" s="51"/>
    </row>
    <row r="17" spans="1:8">
      <c r="A17" s="51"/>
      <c r="B17" s="51"/>
      <c r="C17" s="51"/>
      <c r="D17" s="51"/>
      <c r="E17" s="51"/>
      <c r="F17" s="51"/>
      <c r="G17" s="51"/>
      <c r="H17" s="51"/>
    </row>
    <row r="18" spans="1:8">
      <c r="A18" s="51"/>
      <c r="B18" s="51"/>
      <c r="C18" s="51"/>
      <c r="D18" s="51"/>
      <c r="E18" s="51"/>
      <c r="F18" s="51"/>
      <c r="G18" s="51"/>
      <c r="H18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D8A3-0370-45C4-A23A-886ABC0C4E94}">
  <dimension ref="A1"/>
  <sheetViews>
    <sheetView workbookViewId="0">
      <selection activeCell="V32" sqref="V32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1 - Dados iniciais de cargas</vt:lpstr>
      <vt:lpstr>2 - Dados condutores áreas</vt:lpstr>
      <vt:lpstr>3 - Dados condutores QGF-áreas </vt:lpstr>
      <vt:lpstr>4 - Dados de curto-circuito</vt:lpstr>
      <vt:lpstr>5 - Correção Fator de potência </vt:lpstr>
      <vt:lpstr>Tabela de dados WEG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Augusto Pagi Ferreira</dc:creator>
  <cp:keywords/>
  <dc:description/>
  <cp:lastModifiedBy>OTAVIO FAGUNDES COUTO DE MORAIS</cp:lastModifiedBy>
  <cp:revision/>
  <dcterms:created xsi:type="dcterms:W3CDTF">2024-05-21T20:11:13Z</dcterms:created>
  <dcterms:modified xsi:type="dcterms:W3CDTF">2025-06-05T01:00:56Z</dcterms:modified>
  <cp:category/>
  <cp:contentStatus/>
</cp:coreProperties>
</file>