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5480" windowHeight="11640" firstSheet="6" activeTab="11"/>
  </bookViews>
  <sheets>
    <sheet name="TB JANVIER 22" sheetId="1" r:id="rId1"/>
    <sheet name="TABLEAU DE BORD MARS RECTIFI(3)" sheetId="8" state="hidden" r:id="rId2"/>
    <sheet name="TB Fevrier22" sheetId="58" r:id="rId3"/>
    <sheet name="MARS 22" sheetId="60" r:id="rId4"/>
    <sheet name="AVRIL22" sheetId="64" r:id="rId5"/>
    <sheet name="MAI 22" sheetId="66" r:id="rId6"/>
    <sheet name="JUIN 22 (2)" sheetId="67" r:id="rId7"/>
    <sheet name="JUILLET 22 (4)" sheetId="70" r:id="rId8"/>
    <sheet name="AOUT 22" sheetId="69" r:id="rId9"/>
    <sheet name="septembre22" sheetId="71" r:id="rId10"/>
    <sheet name="Octobre 22)" sheetId="72" r:id="rId11"/>
    <sheet name="Novembre 22)" sheetId="74" r:id="rId12"/>
    <sheet name="Decembre 22," sheetId="76" r:id="rId13"/>
    <sheet name="Debre provis 21, (2)" sheetId="77" r:id="rId14"/>
    <sheet name="conso" sheetId="56" r:id="rId15"/>
    <sheet name="Feuil3" sheetId="40" r:id="rId16"/>
    <sheet name="Feuil5" sheetId="49" r:id="rId17"/>
    <sheet name="Feuil1" sheetId="73" r:id="rId18"/>
    <sheet name="Feuil2" sheetId="75" r:id="rId19"/>
  </sheets>
  <calcPr calcId="162913"/>
</workbook>
</file>

<file path=xl/calcChain.xml><?xml version="1.0" encoding="utf-8"?>
<calcChain xmlns="http://schemas.openxmlformats.org/spreadsheetml/2006/main">
  <c r="G9" i="66" l="1"/>
  <c r="E15" i="66" l="1"/>
  <c r="E19" i="66"/>
  <c r="E21" i="66"/>
  <c r="E23" i="66"/>
  <c r="I9" i="66"/>
  <c r="J9" i="66" s="1"/>
  <c r="K9" i="66" s="1"/>
  <c r="I10" i="66"/>
  <c r="J10" i="66" s="1"/>
  <c r="K10" i="66" s="1"/>
  <c r="I11" i="66"/>
  <c r="I13" i="66"/>
  <c r="J13" i="66" s="1"/>
  <c r="K13" i="66" s="1"/>
  <c r="I15" i="66"/>
  <c r="J15" i="66" s="1"/>
  <c r="K15" i="66" s="1"/>
  <c r="I19" i="66"/>
  <c r="I20" i="66"/>
  <c r="I21" i="66"/>
  <c r="I24" i="66"/>
  <c r="J24" i="66" s="1"/>
  <c r="K24" i="66" s="1"/>
  <c r="I23" i="66"/>
  <c r="I27" i="66"/>
  <c r="I28" i="66"/>
  <c r="I29" i="66"/>
  <c r="D35" i="66"/>
  <c r="E35" i="66" s="1"/>
  <c r="F35" i="66" s="1"/>
  <c r="F9" i="66"/>
  <c r="F10" i="66"/>
  <c r="G10" i="66" s="1"/>
  <c r="F11" i="66"/>
  <c r="G11" i="66" s="1"/>
  <c r="J11" i="66"/>
  <c r="K11" i="66" s="1"/>
  <c r="F12" i="66"/>
  <c r="G12" i="66"/>
  <c r="I12" i="66"/>
  <c r="J12" i="66"/>
  <c r="K12" i="66" s="1"/>
  <c r="F13" i="66"/>
  <c r="G13" i="66" s="1"/>
  <c r="D14" i="66"/>
  <c r="H14" i="66" s="1"/>
  <c r="E14" i="66"/>
  <c r="F15" i="66"/>
  <c r="G15" i="66" s="1"/>
  <c r="F16" i="66"/>
  <c r="G16" i="66" s="1"/>
  <c r="I16" i="66"/>
  <c r="J16" i="66"/>
  <c r="K16" i="66" s="1"/>
  <c r="F17" i="66"/>
  <c r="I17" i="66"/>
  <c r="J17" i="66"/>
  <c r="D18" i="66"/>
  <c r="H18" i="66" s="1"/>
  <c r="F20" i="66"/>
  <c r="J20" i="66"/>
  <c r="K20" i="66" s="1"/>
  <c r="F21" i="66"/>
  <c r="G21" i="66" s="1"/>
  <c r="J21" i="66"/>
  <c r="K21" i="66" s="1"/>
  <c r="F22" i="66"/>
  <c r="I22" i="66"/>
  <c r="J22" i="66" s="1"/>
  <c r="F23" i="66"/>
  <c r="G23" i="66" s="1"/>
  <c r="F24" i="66"/>
  <c r="G24" i="66" s="1"/>
  <c r="D25" i="66"/>
  <c r="H25" i="66" s="1"/>
  <c r="F27" i="66"/>
  <c r="G27" i="66" s="1"/>
  <c r="J27" i="66"/>
  <c r="K27" i="66" s="1"/>
  <c r="F28" i="66"/>
  <c r="J28" i="66"/>
  <c r="K28" i="66" s="1"/>
  <c r="F29" i="66"/>
  <c r="G29" i="66" s="1"/>
  <c r="J29" i="66"/>
  <c r="K29" i="66" s="1"/>
  <c r="F14" i="66" l="1"/>
  <c r="G14" i="66" s="1"/>
  <c r="I14" i="66"/>
  <c r="J14" i="66" s="1"/>
  <c r="K14" i="66" s="1"/>
  <c r="E18" i="66"/>
  <c r="I18" i="66" s="1"/>
  <c r="D26" i="66"/>
  <c r="H26" i="66" s="1"/>
  <c r="F19" i="66"/>
  <c r="G19" i="66" s="1"/>
  <c r="J19" i="66"/>
  <c r="K19" i="66" s="1"/>
  <c r="E25" i="66"/>
  <c r="I25" i="66" s="1"/>
  <c r="J23" i="66"/>
  <c r="K23" i="66" s="1"/>
  <c r="E22" i="60"/>
  <c r="I30" i="64"/>
  <c r="F18" i="66" l="1"/>
  <c r="G18" i="66" s="1"/>
  <c r="J18" i="66"/>
  <c r="K18" i="66" s="1"/>
  <c r="D30" i="66"/>
  <c r="H30" i="66" s="1"/>
  <c r="F25" i="66"/>
  <c r="G25" i="66" s="1"/>
  <c r="J25" i="66"/>
  <c r="K25" i="66" s="1"/>
  <c r="E26" i="66"/>
  <c r="I26" i="66" s="1"/>
  <c r="E29" i="64"/>
  <c r="E10" i="58"/>
  <c r="E10" i="64"/>
  <c r="D42" i="64"/>
  <c r="F26" i="66" l="1"/>
  <c r="G26" i="66" s="1"/>
  <c r="J26" i="66"/>
  <c r="K26" i="66" s="1"/>
  <c r="E30" i="66"/>
  <c r="I30" i="66" s="1"/>
  <c r="E21" i="64"/>
  <c r="E23" i="64"/>
  <c r="F30" i="66" l="1"/>
  <c r="G30" i="66" s="1"/>
  <c r="J30" i="66"/>
  <c r="K30" i="66" s="1"/>
  <c r="E37" i="58"/>
  <c r="E34" i="1"/>
  <c r="E19" i="64" l="1"/>
  <c r="E26" i="58" l="1"/>
  <c r="E23" i="1"/>
  <c r="E11" i="1"/>
  <c r="E13" i="64"/>
  <c r="E14" i="64" s="1"/>
  <c r="E20" i="60"/>
  <c r="E18" i="60" s="1"/>
  <c r="F9" i="60"/>
  <c r="G9" i="60" s="1"/>
  <c r="E13" i="60"/>
  <c r="O22" i="60"/>
  <c r="D34" i="60" l="1"/>
  <c r="H25" i="64"/>
  <c r="H14" i="64"/>
  <c r="H18" i="64" s="1"/>
  <c r="H24" i="60"/>
  <c r="H17" i="60"/>
  <c r="H13" i="60"/>
  <c r="D18" i="60"/>
  <c r="H26" i="64" l="1"/>
  <c r="H30" i="64" s="1"/>
  <c r="H25" i="60"/>
  <c r="H29" i="60" s="1"/>
  <c r="E21" i="1"/>
  <c r="E24" i="58"/>
  <c r="D37" i="58"/>
  <c r="E13" i="58"/>
  <c r="H28" i="58"/>
  <c r="E19" i="1"/>
  <c r="I10" i="1"/>
  <c r="I10" i="58" s="1"/>
  <c r="I9" i="60" s="1"/>
  <c r="I10" i="64" s="1"/>
  <c r="F10" i="1"/>
  <c r="F9" i="1"/>
  <c r="E14" i="1"/>
  <c r="E22" i="58" l="1"/>
  <c r="E28" i="58" s="1"/>
  <c r="E21" i="77"/>
  <c r="E15" i="77"/>
  <c r="F11" i="76"/>
  <c r="E35" i="77"/>
  <c r="E13" i="77"/>
  <c r="F10" i="76"/>
  <c r="F13" i="74"/>
  <c r="F11" i="74"/>
  <c r="F10" i="74"/>
  <c r="F37" i="77"/>
  <c r="G37" i="77" s="1"/>
  <c r="F36" i="77"/>
  <c r="G36" i="77" s="1"/>
  <c r="D35" i="77"/>
  <c r="F35" i="77" s="1"/>
  <c r="G35" i="77" s="1"/>
  <c r="F29" i="77"/>
  <c r="G29" i="77" s="1"/>
  <c r="E28" i="77"/>
  <c r="F28" i="77" s="1"/>
  <c r="G27" i="77"/>
  <c r="F27" i="77"/>
  <c r="H25" i="77"/>
  <c r="D25" i="77"/>
  <c r="F24" i="77"/>
  <c r="G24" i="77" s="1"/>
  <c r="F23" i="77"/>
  <c r="G23" i="77" s="1"/>
  <c r="F22" i="77"/>
  <c r="F20" i="77"/>
  <c r="F17" i="77"/>
  <c r="G16" i="77"/>
  <c r="F16" i="77"/>
  <c r="F15" i="77"/>
  <c r="G15" i="77" s="1"/>
  <c r="H14" i="77"/>
  <c r="H18" i="77" s="1"/>
  <c r="H26" i="77" s="1"/>
  <c r="H30" i="77" s="1"/>
  <c r="D14" i="77"/>
  <c r="D18" i="77" s="1"/>
  <c r="D26" i="77" s="1"/>
  <c r="D30" i="77" s="1"/>
  <c r="F13" i="77"/>
  <c r="G13" i="77" s="1"/>
  <c r="F12" i="77"/>
  <c r="G12" i="77" s="1"/>
  <c r="F11" i="77"/>
  <c r="G11" i="77" s="1"/>
  <c r="E10" i="77"/>
  <c r="E14" i="77" s="1"/>
  <c r="F14" i="77" s="1"/>
  <c r="G14" i="77" s="1"/>
  <c r="F9" i="77"/>
  <c r="F12" i="76"/>
  <c r="F9" i="76"/>
  <c r="F10" i="77" l="1"/>
  <c r="G10" i="77" s="1"/>
  <c r="F15" i="76"/>
  <c r="G15" i="76" s="1"/>
  <c r="F21" i="77"/>
  <c r="G21" i="77" s="1"/>
  <c r="E18" i="77"/>
  <c r="E19" i="77"/>
  <c r="F13" i="76"/>
  <c r="G13" i="76" s="1"/>
  <c r="F28" i="76"/>
  <c r="F35" i="76"/>
  <c r="G35" i="76" s="1"/>
  <c r="F37" i="76"/>
  <c r="G37" i="76" s="1"/>
  <c r="F36" i="76"/>
  <c r="G36" i="76" s="1"/>
  <c r="F29" i="76"/>
  <c r="G29" i="76" s="1"/>
  <c r="F27" i="76"/>
  <c r="G27" i="76" s="1"/>
  <c r="H25" i="76"/>
  <c r="D25" i="76"/>
  <c r="F24" i="76"/>
  <c r="G24" i="76" s="1"/>
  <c r="F23" i="76"/>
  <c r="G23" i="76" s="1"/>
  <c r="F22" i="76"/>
  <c r="F21" i="76"/>
  <c r="G21" i="76" s="1"/>
  <c r="F20" i="76"/>
  <c r="F17" i="76"/>
  <c r="F16" i="76"/>
  <c r="G16" i="76" s="1"/>
  <c r="H14" i="76"/>
  <c r="H18" i="76" s="1"/>
  <c r="D14" i="76"/>
  <c r="D18" i="76" s="1"/>
  <c r="G12" i="76"/>
  <c r="G10" i="76"/>
  <c r="E14" i="76"/>
  <c r="E25" i="77" l="1"/>
  <c r="F19" i="77"/>
  <c r="G19" i="77" s="1"/>
  <c r="E26" i="77"/>
  <c r="F18" i="77"/>
  <c r="G18" i="77" s="1"/>
  <c r="F14" i="76"/>
  <c r="G14" i="76" s="1"/>
  <c r="D26" i="76"/>
  <c r="D30" i="76" s="1"/>
  <c r="H26" i="76"/>
  <c r="H30" i="76" s="1"/>
  <c r="E18" i="76"/>
  <c r="G11" i="76"/>
  <c r="E14" i="74"/>
  <c r="F28" i="74"/>
  <c r="F37" i="74"/>
  <c r="G37" i="74" s="1"/>
  <c r="F36" i="74"/>
  <c r="G36" i="74" s="1"/>
  <c r="F35" i="74"/>
  <c r="G35" i="74" s="1"/>
  <c r="F29" i="74"/>
  <c r="G29" i="74" s="1"/>
  <c r="F27" i="74"/>
  <c r="G27" i="74" s="1"/>
  <c r="H25" i="74"/>
  <c r="D25" i="74"/>
  <c r="F24" i="74"/>
  <c r="G24" i="74" s="1"/>
  <c r="F23" i="74"/>
  <c r="G23" i="74" s="1"/>
  <c r="F22" i="74"/>
  <c r="F21" i="74"/>
  <c r="G21" i="74" s="1"/>
  <c r="F20" i="74"/>
  <c r="F17" i="74"/>
  <c r="F16" i="74"/>
  <c r="G16" i="74" s="1"/>
  <c r="H14" i="74"/>
  <c r="H18" i="74" s="1"/>
  <c r="D14" i="74"/>
  <c r="D18" i="74" s="1"/>
  <c r="G13" i="74"/>
  <c r="F12" i="74"/>
  <c r="G12" i="74" s="1"/>
  <c r="F9" i="74"/>
  <c r="F37" i="72"/>
  <c r="P11" i="56"/>
  <c r="O9" i="56"/>
  <c r="P9" i="56" s="1"/>
  <c r="O10" i="56"/>
  <c r="P10" i="56" s="1"/>
  <c r="H9" i="56"/>
  <c r="H10" i="56"/>
  <c r="H8" i="56"/>
  <c r="E30" i="77" l="1"/>
  <c r="F26" i="77"/>
  <c r="G26" i="77" s="1"/>
  <c r="F25" i="77"/>
  <c r="G25" i="77" s="1"/>
  <c r="E25" i="76"/>
  <c r="E26" i="76" s="1"/>
  <c r="F19" i="76"/>
  <c r="G19" i="76" s="1"/>
  <c r="F18" i="76"/>
  <c r="G18" i="76" s="1"/>
  <c r="D26" i="74"/>
  <c r="D30" i="74" s="1"/>
  <c r="H26" i="74"/>
  <c r="H30" i="74" s="1"/>
  <c r="F15" i="74"/>
  <c r="G15" i="74" s="1"/>
  <c r="G10" i="74"/>
  <c r="G11" i="74"/>
  <c r="E14" i="72"/>
  <c r="E25" i="72"/>
  <c r="H25" i="72"/>
  <c r="H14" i="72"/>
  <c r="H18" i="72" s="1"/>
  <c r="H26" i="72" s="1"/>
  <c r="H30" i="72" s="1"/>
  <c r="G37" i="72"/>
  <c r="F36" i="72"/>
  <c r="G36" i="72" s="1"/>
  <c r="F35" i="72"/>
  <c r="G35" i="72" s="1"/>
  <c r="F29" i="72"/>
  <c r="G29" i="72" s="1"/>
  <c r="F28" i="72"/>
  <c r="F27" i="72"/>
  <c r="G27" i="72" s="1"/>
  <c r="D25" i="72"/>
  <c r="F24" i="72"/>
  <c r="G24" i="72" s="1"/>
  <c r="F23" i="72"/>
  <c r="G23" i="72" s="1"/>
  <c r="F22" i="72"/>
  <c r="F21" i="72"/>
  <c r="G21" i="72" s="1"/>
  <c r="F20" i="72"/>
  <c r="F17" i="72"/>
  <c r="F16" i="72"/>
  <c r="G16" i="72" s="1"/>
  <c r="F15" i="72"/>
  <c r="G15" i="72" s="1"/>
  <c r="D14" i="72"/>
  <c r="D18" i="72" s="1"/>
  <c r="F13" i="72"/>
  <c r="G13" i="72" s="1"/>
  <c r="F12" i="72"/>
  <c r="G12" i="72" s="1"/>
  <c r="F11" i="72"/>
  <c r="G11" i="72" s="1"/>
  <c r="F10" i="72"/>
  <c r="G10" i="72" s="1"/>
  <c r="F9" i="72"/>
  <c r="E35" i="69"/>
  <c r="F30" i="77" l="1"/>
  <c r="G30" i="77" s="1"/>
  <c r="F26" i="76"/>
  <c r="G26" i="76" s="1"/>
  <c r="E30" i="76"/>
  <c r="F25" i="76"/>
  <c r="G25" i="76" s="1"/>
  <c r="F14" i="74"/>
  <c r="G14" i="74" s="1"/>
  <c r="E18" i="74"/>
  <c r="E25" i="74"/>
  <c r="F19" i="74"/>
  <c r="G19" i="74" s="1"/>
  <c r="E18" i="72"/>
  <c r="D26" i="72"/>
  <c r="D30" i="72" s="1"/>
  <c r="F14" i="72"/>
  <c r="G14" i="72" s="1"/>
  <c r="F25" i="72"/>
  <c r="G25" i="72" s="1"/>
  <c r="F19" i="72"/>
  <c r="G19" i="72" s="1"/>
  <c r="F28" i="71"/>
  <c r="H7" i="56"/>
  <c r="O8" i="56"/>
  <c r="O7" i="56"/>
  <c r="P7" i="56" s="1"/>
  <c r="F15" i="71"/>
  <c r="G15" i="71" s="1"/>
  <c r="G37" i="71"/>
  <c r="F36" i="71"/>
  <c r="G36" i="71" s="1"/>
  <c r="F35" i="71"/>
  <c r="G35" i="71" s="1"/>
  <c r="F29" i="71"/>
  <c r="G29" i="71" s="1"/>
  <c r="F27" i="71"/>
  <c r="G27" i="71" s="1"/>
  <c r="H25" i="71"/>
  <c r="D25" i="71"/>
  <c r="F24" i="71"/>
  <c r="G24" i="71" s="1"/>
  <c r="F23" i="71"/>
  <c r="G23" i="71" s="1"/>
  <c r="F22" i="71"/>
  <c r="F21" i="71"/>
  <c r="G21" i="71" s="1"/>
  <c r="F20" i="71"/>
  <c r="F17" i="71"/>
  <c r="F16" i="71"/>
  <c r="G16" i="71" s="1"/>
  <c r="H14" i="71"/>
  <c r="H18" i="71" s="1"/>
  <c r="D14" i="71"/>
  <c r="D18" i="71" s="1"/>
  <c r="D26" i="71" s="1"/>
  <c r="D30" i="71" s="1"/>
  <c r="F12" i="71"/>
  <c r="G12" i="71" s="1"/>
  <c r="F11" i="71"/>
  <c r="G11" i="71" s="1"/>
  <c r="F10" i="71"/>
  <c r="G10" i="71" s="1"/>
  <c r="E14" i="71"/>
  <c r="F9" i="71"/>
  <c r="F30" i="76" l="1"/>
  <c r="G30" i="76" s="1"/>
  <c r="E26" i="74"/>
  <c r="F18" i="74"/>
  <c r="G18" i="74" s="1"/>
  <c r="F25" i="74"/>
  <c r="G25" i="74" s="1"/>
  <c r="E26" i="72"/>
  <c r="F18" i="72"/>
  <c r="G18" i="72" s="1"/>
  <c r="H26" i="71"/>
  <c r="H30" i="71" s="1"/>
  <c r="F14" i="71"/>
  <c r="G14" i="71" s="1"/>
  <c r="E18" i="71"/>
  <c r="E25" i="71"/>
  <c r="F13" i="71"/>
  <c r="G13" i="71" s="1"/>
  <c r="F19" i="71"/>
  <c r="G19" i="71" s="1"/>
  <c r="E30" i="74" l="1"/>
  <c r="F26" i="74"/>
  <c r="G26" i="74" s="1"/>
  <c r="F26" i="72"/>
  <c r="G26" i="72" s="1"/>
  <c r="E30" i="72"/>
  <c r="E26" i="71"/>
  <c r="F18" i="71"/>
  <c r="G18" i="71" s="1"/>
  <c r="F25" i="71"/>
  <c r="G25" i="71" s="1"/>
  <c r="F30" i="74" l="1"/>
  <c r="G30" i="74" s="1"/>
  <c r="F30" i="72"/>
  <c r="G30" i="72" s="1"/>
  <c r="F26" i="71"/>
  <c r="G26" i="71" s="1"/>
  <c r="E30" i="71"/>
  <c r="F30" i="71" l="1"/>
  <c r="G30" i="71" s="1"/>
  <c r="D24" i="49" l="1"/>
  <c r="D23" i="49"/>
  <c r="D22" i="49"/>
  <c r="D17" i="49"/>
  <c r="D18" i="49"/>
  <c r="D7" i="49"/>
  <c r="D12" i="49"/>
  <c r="P8" i="56" l="1"/>
  <c r="D35" i="69" l="1"/>
  <c r="F37" i="70"/>
  <c r="G37" i="70" s="1"/>
  <c r="F36" i="70"/>
  <c r="G36" i="70" s="1"/>
  <c r="F29" i="70"/>
  <c r="G29" i="70" s="1"/>
  <c r="F28" i="70"/>
  <c r="G27" i="70"/>
  <c r="F27" i="70"/>
  <c r="H25" i="70"/>
  <c r="D25" i="70"/>
  <c r="F24" i="70"/>
  <c r="G24" i="70" s="1"/>
  <c r="F22" i="70"/>
  <c r="F21" i="70"/>
  <c r="G21" i="70" s="1"/>
  <c r="F20" i="70"/>
  <c r="F19" i="70"/>
  <c r="G19" i="70" s="1"/>
  <c r="F17" i="70"/>
  <c r="F16" i="70"/>
  <c r="G16" i="70" s="1"/>
  <c r="H14" i="70"/>
  <c r="H18" i="70" s="1"/>
  <c r="H26" i="70" s="1"/>
  <c r="H30" i="70" s="1"/>
  <c r="D14" i="70"/>
  <c r="D18" i="70" s="1"/>
  <c r="F13" i="70"/>
  <c r="G13" i="70" s="1"/>
  <c r="F12" i="70"/>
  <c r="G12" i="70" s="1"/>
  <c r="F10" i="70"/>
  <c r="G10" i="70" s="1"/>
  <c r="F9" i="70"/>
  <c r="O6" i="56"/>
  <c r="P6" i="56" s="1"/>
  <c r="O5" i="56"/>
  <c r="P5" i="56" s="1"/>
  <c r="O4" i="56"/>
  <c r="P4" i="56" s="1"/>
  <c r="O3" i="56"/>
  <c r="O15" i="56" s="1"/>
  <c r="H6" i="56"/>
  <c r="H5" i="56"/>
  <c r="H4" i="56"/>
  <c r="H3" i="56"/>
  <c r="H15" i="56" s="1"/>
  <c r="C18" i="49"/>
  <c r="P3" i="56" l="1"/>
  <c r="D26" i="70"/>
  <c r="D30" i="70" s="1"/>
  <c r="O20" i="56"/>
  <c r="L21" i="56" s="1"/>
  <c r="F11" i="70"/>
  <c r="G11" i="70" s="1"/>
  <c r="E14" i="70"/>
  <c r="F23" i="70"/>
  <c r="G23" i="70" s="1"/>
  <c r="E25" i="70"/>
  <c r="D30" i="49"/>
  <c r="F15" i="69"/>
  <c r="F15" i="70" l="1"/>
  <c r="G15" i="70" s="1"/>
  <c r="F25" i="70"/>
  <c r="G25" i="70" s="1"/>
  <c r="E18" i="70"/>
  <c r="F14" i="70"/>
  <c r="G14" i="70" s="1"/>
  <c r="E26" i="70" l="1"/>
  <c r="F18" i="70"/>
  <c r="G18" i="70" s="1"/>
  <c r="E30" i="70" l="1"/>
  <c r="F26" i="70"/>
  <c r="G26" i="70" s="1"/>
  <c r="F30" i="70" l="1"/>
  <c r="G30" i="70" s="1"/>
  <c r="G37" i="69"/>
  <c r="F36" i="69"/>
  <c r="G36" i="69" s="1"/>
  <c r="F29" i="69"/>
  <c r="G29" i="69" s="1"/>
  <c r="F28" i="69"/>
  <c r="F27" i="69"/>
  <c r="G27" i="69" s="1"/>
  <c r="F24" i="69"/>
  <c r="G24" i="69" s="1"/>
  <c r="F23" i="69"/>
  <c r="G23" i="69" s="1"/>
  <c r="F22" i="69"/>
  <c r="F21" i="69"/>
  <c r="G21" i="69" s="1"/>
  <c r="F20" i="69"/>
  <c r="F17" i="69"/>
  <c r="F16" i="69"/>
  <c r="G16" i="69" s="1"/>
  <c r="G15" i="69"/>
  <c r="F12" i="69"/>
  <c r="G12" i="69" s="1"/>
  <c r="F11" i="69"/>
  <c r="G11" i="69" s="1"/>
  <c r="F9" i="69"/>
  <c r="F35" i="70"/>
  <c r="G35" i="70" s="1"/>
  <c r="F12" i="49"/>
  <c r="F14" i="49"/>
  <c r="F9" i="49"/>
  <c r="E12" i="49"/>
  <c r="E14" i="49"/>
  <c r="D14" i="49"/>
  <c r="D26" i="49" s="1"/>
  <c r="E9" i="49"/>
  <c r="E26" i="49" s="1"/>
  <c r="H14" i="49"/>
  <c r="H11" i="49"/>
  <c r="H6" i="49"/>
  <c r="H10" i="49"/>
  <c r="H16" i="49"/>
  <c r="H19" i="49"/>
  <c r="H20" i="49"/>
  <c r="H21" i="49"/>
  <c r="H5" i="49"/>
  <c r="C12" i="49"/>
  <c r="C26" i="49" s="1"/>
  <c r="F23" i="67"/>
  <c r="G23" i="67" s="1"/>
  <c r="F10" i="67"/>
  <c r="F21" i="67"/>
  <c r="G21" i="67" s="1"/>
  <c r="F15" i="67"/>
  <c r="G15" i="67" s="1"/>
  <c r="G10" i="67"/>
  <c r="F29" i="67"/>
  <c r="G29" i="67" s="1"/>
  <c r="F27" i="67"/>
  <c r="G27" i="67" s="1"/>
  <c r="F24" i="67"/>
  <c r="G24" i="67" s="1"/>
  <c r="F22" i="67"/>
  <c r="F20" i="67"/>
  <c r="F17" i="67"/>
  <c r="F16" i="67"/>
  <c r="G16" i="67" s="1"/>
  <c r="F13" i="67"/>
  <c r="G13" i="67" s="1"/>
  <c r="F12" i="67"/>
  <c r="G12" i="67" s="1"/>
  <c r="F11" i="67"/>
  <c r="G11" i="67" s="1"/>
  <c r="F9" i="67"/>
  <c r="F28" i="67"/>
  <c r="D25" i="67"/>
  <c r="H25" i="67"/>
  <c r="F37" i="67"/>
  <c r="G37" i="67" s="1"/>
  <c r="F36" i="67"/>
  <c r="G36" i="67" s="1"/>
  <c r="D14" i="67"/>
  <c r="D18" i="67" s="1"/>
  <c r="H14" i="67"/>
  <c r="H18" i="67" s="1"/>
  <c r="H26" i="67" s="1"/>
  <c r="H30" i="67" s="1"/>
  <c r="F37" i="66"/>
  <c r="G37" i="66" s="1"/>
  <c r="F36" i="66"/>
  <c r="G36" i="66" s="1"/>
  <c r="G35" i="66"/>
  <c r="D25" i="64"/>
  <c r="D14" i="64"/>
  <c r="D18" i="64" s="1"/>
  <c r="F35" i="67" l="1"/>
  <c r="G35" i="67" s="1"/>
  <c r="F35" i="69"/>
  <c r="G35" i="69" s="1"/>
  <c r="F14" i="69"/>
  <c r="G14" i="69" s="1"/>
  <c r="F10" i="69"/>
  <c r="G10" i="69" s="1"/>
  <c r="F13" i="69"/>
  <c r="G13" i="69" s="1"/>
  <c r="F19" i="69"/>
  <c r="G19" i="69" s="1"/>
  <c r="H12" i="49"/>
  <c r="E14" i="67"/>
  <c r="F14" i="67" s="1"/>
  <c r="G14" i="67" s="1"/>
  <c r="D26" i="67"/>
  <c r="D30" i="67" s="1"/>
  <c r="D26" i="64"/>
  <c r="D30" i="64" s="1"/>
  <c r="E18" i="67" l="1"/>
  <c r="F25" i="69"/>
  <c r="G25" i="69" s="1"/>
  <c r="F18" i="69"/>
  <c r="G18" i="69" s="1"/>
  <c r="E25" i="67"/>
  <c r="F25" i="67" s="1"/>
  <c r="G25" i="67" s="1"/>
  <c r="F19" i="67"/>
  <c r="G19" i="67" s="1"/>
  <c r="F18" i="67"/>
  <c r="G18" i="67" s="1"/>
  <c r="F37" i="64"/>
  <c r="G37" i="64" s="1"/>
  <c r="F36" i="64"/>
  <c r="G36" i="64" s="1"/>
  <c r="F35" i="64"/>
  <c r="G35" i="64" s="1"/>
  <c r="F29" i="64"/>
  <c r="G29" i="64" s="1"/>
  <c r="F28" i="64"/>
  <c r="F27" i="64"/>
  <c r="G27" i="64" s="1"/>
  <c r="F24" i="64"/>
  <c r="G24" i="64" s="1"/>
  <c r="F23" i="64"/>
  <c r="G23" i="64" s="1"/>
  <c r="F22" i="64"/>
  <c r="F21" i="64"/>
  <c r="G21" i="64" s="1"/>
  <c r="F20" i="64"/>
  <c r="F17" i="64"/>
  <c r="F16" i="64"/>
  <c r="G16" i="64" s="1"/>
  <c r="F15" i="64"/>
  <c r="G15" i="64" s="1"/>
  <c r="F13" i="64"/>
  <c r="G13" i="64" s="1"/>
  <c r="F12" i="64"/>
  <c r="G12" i="64" s="1"/>
  <c r="F11" i="64"/>
  <c r="G11" i="64" s="1"/>
  <c r="F10" i="64"/>
  <c r="G10" i="64" s="1"/>
  <c r="F9" i="64"/>
  <c r="E26" i="67" l="1"/>
  <c r="F26" i="67" s="1"/>
  <c r="G26" i="67" s="1"/>
  <c r="F26" i="69"/>
  <c r="G26" i="69" s="1"/>
  <c r="E30" i="67"/>
  <c r="F30" i="67" s="1"/>
  <c r="G30" i="67" s="1"/>
  <c r="F14" i="64"/>
  <c r="G14" i="64" s="1"/>
  <c r="E18" i="64"/>
  <c r="I9" i="71" l="1"/>
  <c r="J9" i="69"/>
  <c r="K9" i="69" s="1"/>
  <c r="I17" i="71"/>
  <c r="J17" i="69"/>
  <c r="F30" i="69"/>
  <c r="G30" i="69" s="1"/>
  <c r="F18" i="64"/>
  <c r="G18" i="64" s="1"/>
  <c r="E25" i="64"/>
  <c r="F19" i="64"/>
  <c r="G19" i="64" s="1"/>
  <c r="I9" i="72" l="1"/>
  <c r="J9" i="71"/>
  <c r="K9" i="71" s="1"/>
  <c r="I19" i="71"/>
  <c r="J19" i="69"/>
  <c r="K19" i="69" s="1"/>
  <c r="I17" i="72"/>
  <c r="J17" i="71"/>
  <c r="F25" i="64"/>
  <c r="G25" i="64" s="1"/>
  <c r="E26" i="64"/>
  <c r="E30" i="64" s="1"/>
  <c r="I17" i="74" l="1"/>
  <c r="I17" i="77" s="1"/>
  <c r="J17" i="77" s="1"/>
  <c r="J17" i="72"/>
  <c r="I19" i="72"/>
  <c r="J19" i="71"/>
  <c r="K19" i="71" s="1"/>
  <c r="J9" i="72"/>
  <c r="K9" i="72" s="1"/>
  <c r="I9" i="74"/>
  <c r="I9" i="77" s="1"/>
  <c r="J9" i="77" s="1"/>
  <c r="K9" i="77" s="1"/>
  <c r="F26" i="64"/>
  <c r="G26" i="64" s="1"/>
  <c r="F36" i="60"/>
  <c r="G36" i="60" s="1"/>
  <c r="F35" i="60"/>
  <c r="G35" i="60" s="1"/>
  <c r="F34" i="60"/>
  <c r="G34" i="60" s="1"/>
  <c r="F28" i="60"/>
  <c r="G28" i="60" s="1"/>
  <c r="F27" i="60"/>
  <c r="F26" i="60"/>
  <c r="G26" i="60" s="1"/>
  <c r="F23" i="60"/>
  <c r="G23" i="60" s="1"/>
  <c r="F22" i="60"/>
  <c r="G22" i="60" s="1"/>
  <c r="F21" i="60"/>
  <c r="F20" i="60"/>
  <c r="G20" i="60" s="1"/>
  <c r="F19" i="60"/>
  <c r="D24" i="60"/>
  <c r="F16" i="60"/>
  <c r="F15" i="60"/>
  <c r="G15" i="60" s="1"/>
  <c r="F14" i="60"/>
  <c r="G14" i="60" s="1"/>
  <c r="F12" i="60"/>
  <c r="G12" i="60" s="1"/>
  <c r="F11" i="60"/>
  <c r="G11" i="60" s="1"/>
  <c r="F10" i="60"/>
  <c r="G10" i="60" s="1"/>
  <c r="D13" i="60"/>
  <c r="D17" i="60" s="1"/>
  <c r="F8" i="60"/>
  <c r="D25" i="60" l="1"/>
  <c r="D29" i="60" s="1"/>
  <c r="J9" i="60"/>
  <c r="K9" i="60" s="1"/>
  <c r="J17" i="74"/>
  <c r="I17" i="76"/>
  <c r="J17" i="76" s="1"/>
  <c r="I19" i="74"/>
  <c r="I19" i="77" s="1"/>
  <c r="J19" i="77" s="1"/>
  <c r="K19" i="77" s="1"/>
  <c r="J19" i="72"/>
  <c r="K19" i="72" s="1"/>
  <c r="J9" i="74"/>
  <c r="K9" i="74" s="1"/>
  <c r="I9" i="76"/>
  <c r="J9" i="76" s="1"/>
  <c r="K9" i="76" s="1"/>
  <c r="F30" i="64"/>
  <c r="G30" i="64" s="1"/>
  <c r="E17" i="60"/>
  <c r="F13" i="60"/>
  <c r="G13" i="60" s="1"/>
  <c r="F39" i="58"/>
  <c r="G39" i="58" s="1"/>
  <c r="F38" i="58"/>
  <c r="G38" i="58" s="1"/>
  <c r="F37" i="58"/>
  <c r="G37" i="58" s="1"/>
  <c r="F32" i="58"/>
  <c r="G32" i="58" s="1"/>
  <c r="F31" i="58"/>
  <c r="G31" i="58" s="1"/>
  <c r="F30" i="58"/>
  <c r="G30" i="58" s="1"/>
  <c r="F27" i="58"/>
  <c r="G27" i="58" s="1"/>
  <c r="F26" i="58"/>
  <c r="G26" i="58" s="1"/>
  <c r="F25" i="58"/>
  <c r="G25" i="58" s="1"/>
  <c r="F24" i="58"/>
  <c r="G24" i="58" s="1"/>
  <c r="F23" i="58"/>
  <c r="G23" i="58" s="1"/>
  <c r="F20" i="58"/>
  <c r="G20" i="58" s="1"/>
  <c r="F19" i="58"/>
  <c r="G19" i="58" s="1"/>
  <c r="E14" i="58"/>
  <c r="F13" i="58"/>
  <c r="G13" i="58" s="1"/>
  <c r="D14" i="58"/>
  <c r="F12" i="58"/>
  <c r="G12" i="58" s="1"/>
  <c r="F11" i="58"/>
  <c r="G11" i="58" s="1"/>
  <c r="F10" i="58"/>
  <c r="G10" i="58" s="1"/>
  <c r="F9" i="58"/>
  <c r="G9" i="58" s="1"/>
  <c r="E25" i="1"/>
  <c r="E18" i="1"/>
  <c r="I18" i="1" s="1"/>
  <c r="I18" i="58" s="1"/>
  <c r="D25" i="1"/>
  <c r="D14" i="1"/>
  <c r="H11" i="1"/>
  <c r="J10" i="64" l="1"/>
  <c r="K10" i="64" s="1"/>
  <c r="E26" i="1"/>
  <c r="I19" i="76"/>
  <c r="J19" i="76" s="1"/>
  <c r="K19" i="76" s="1"/>
  <c r="J19" i="74"/>
  <c r="K19" i="74" s="1"/>
  <c r="E24" i="60"/>
  <c r="F18" i="60"/>
  <c r="G18" i="60" s="1"/>
  <c r="F17" i="60"/>
  <c r="G17" i="60" s="1"/>
  <c r="E21" i="58"/>
  <c r="F14" i="58"/>
  <c r="G14" i="58" s="1"/>
  <c r="F15" i="58"/>
  <c r="G15" i="58" s="1"/>
  <c r="D21" i="58"/>
  <c r="D28" i="58"/>
  <c r="H14" i="58"/>
  <c r="H21" i="58" s="1"/>
  <c r="H29" i="58" s="1"/>
  <c r="H33" i="58" s="1"/>
  <c r="D18" i="1"/>
  <c r="E25" i="60" l="1"/>
  <c r="I21" i="58"/>
  <c r="I17" i="60" s="1"/>
  <c r="I18" i="64" s="1"/>
  <c r="I10" i="67"/>
  <c r="D29" i="58"/>
  <c r="D33" i="58" s="1"/>
  <c r="E30" i="1"/>
  <c r="F24" i="60"/>
  <c r="G24" i="60" s="1"/>
  <c r="F21" i="58"/>
  <c r="G21" i="58" s="1"/>
  <c r="F22" i="58"/>
  <c r="G22" i="58" s="1"/>
  <c r="E29" i="58"/>
  <c r="E33" i="58" s="1"/>
  <c r="K14" i="58"/>
  <c r="D26" i="1"/>
  <c r="D30" i="1" s="1"/>
  <c r="E29" i="60" l="1"/>
  <c r="F25" i="60"/>
  <c r="G25" i="60" s="1"/>
  <c r="J17" i="60"/>
  <c r="K17" i="60" s="1"/>
  <c r="I10" i="70"/>
  <c r="J10" i="67"/>
  <c r="K10" i="67" s="1"/>
  <c r="J18" i="64"/>
  <c r="K18" i="64" s="1"/>
  <c r="F29" i="60"/>
  <c r="G29" i="60" s="1"/>
  <c r="F28" i="58"/>
  <c r="G28" i="58" s="1"/>
  <c r="P14" i="56"/>
  <c r="P13" i="56"/>
  <c r="P12" i="56"/>
  <c r="P15" i="56" s="1"/>
  <c r="P18" i="56" s="1"/>
  <c r="J28" i="69" l="1"/>
  <c r="K28" i="69" s="1"/>
  <c r="I28" i="71"/>
  <c r="J27" i="69"/>
  <c r="K27" i="69" s="1"/>
  <c r="I27" i="71"/>
  <c r="I23" i="71"/>
  <c r="J23" i="69"/>
  <c r="K23" i="69" s="1"/>
  <c r="J22" i="69"/>
  <c r="I22" i="71"/>
  <c r="J16" i="69"/>
  <c r="K16" i="69" s="1"/>
  <c r="I16" i="71"/>
  <c r="I18" i="67"/>
  <c r="I11" i="71"/>
  <c r="J11" i="69"/>
  <c r="K11" i="69" s="1"/>
  <c r="J10" i="70"/>
  <c r="K10" i="70" s="1"/>
  <c r="F29" i="58"/>
  <c r="G29" i="58" s="1"/>
  <c r="I27" i="1"/>
  <c r="I30" i="58" s="1"/>
  <c r="I26" i="60" s="1"/>
  <c r="I27" i="64" l="1"/>
  <c r="J26" i="60"/>
  <c r="K26" i="60" s="1"/>
  <c r="J28" i="71"/>
  <c r="K28" i="71" s="1"/>
  <c r="I28" i="72"/>
  <c r="J29" i="69"/>
  <c r="K29" i="69" s="1"/>
  <c r="I29" i="71"/>
  <c r="J27" i="71"/>
  <c r="K27" i="71" s="1"/>
  <c r="I27" i="72"/>
  <c r="J23" i="71"/>
  <c r="K23" i="71" s="1"/>
  <c r="I23" i="72"/>
  <c r="J24" i="69"/>
  <c r="K24" i="69" s="1"/>
  <c r="I24" i="71"/>
  <c r="J20" i="69"/>
  <c r="I20" i="71"/>
  <c r="I22" i="72"/>
  <c r="J22" i="71"/>
  <c r="J16" i="71"/>
  <c r="K16" i="71" s="1"/>
  <c r="I16" i="72"/>
  <c r="I12" i="71"/>
  <c r="J12" i="69"/>
  <c r="K12" i="69" s="1"/>
  <c r="I11" i="72"/>
  <c r="J11" i="71"/>
  <c r="K11" i="71" s="1"/>
  <c r="J13" i="69"/>
  <c r="K13" i="69" s="1"/>
  <c r="I13" i="71"/>
  <c r="J18" i="67"/>
  <c r="K18" i="67" s="1"/>
  <c r="I18" i="70"/>
  <c r="J10" i="69"/>
  <c r="K10" i="69" s="1"/>
  <c r="I10" i="71"/>
  <c r="J14" i="69"/>
  <c r="K14" i="69" s="1"/>
  <c r="I14" i="71"/>
  <c r="J30" i="58"/>
  <c r="K30" i="58" s="1"/>
  <c r="F33" i="58"/>
  <c r="G33" i="58" s="1"/>
  <c r="H28" i="1"/>
  <c r="H29" i="1"/>
  <c r="H27" i="1"/>
  <c r="H20" i="1"/>
  <c r="H21" i="1"/>
  <c r="H22" i="1"/>
  <c r="H23" i="1"/>
  <c r="H24" i="1"/>
  <c r="H19" i="1"/>
  <c r="H16" i="1"/>
  <c r="H17" i="1"/>
  <c r="H15" i="1"/>
  <c r="H10" i="1"/>
  <c r="H12" i="1"/>
  <c r="H13" i="1"/>
  <c r="H9" i="1"/>
  <c r="J27" i="64" l="1"/>
  <c r="K27" i="64" s="1"/>
  <c r="J29" i="71"/>
  <c r="K29" i="71" s="1"/>
  <c r="I29" i="72"/>
  <c r="J27" i="72"/>
  <c r="K27" i="72" s="1"/>
  <c r="I27" i="74"/>
  <c r="J28" i="72"/>
  <c r="K28" i="72" s="1"/>
  <c r="I28" i="74"/>
  <c r="J22" i="72"/>
  <c r="I22" i="74"/>
  <c r="I21" i="71"/>
  <c r="J21" i="69"/>
  <c r="K21" i="69" s="1"/>
  <c r="I24" i="72"/>
  <c r="J24" i="71"/>
  <c r="K24" i="71" s="1"/>
  <c r="J20" i="71"/>
  <c r="I20" i="72"/>
  <c r="J23" i="72"/>
  <c r="K23" i="72" s="1"/>
  <c r="I23" i="74"/>
  <c r="I16" i="74"/>
  <c r="J16" i="72"/>
  <c r="K16" i="72" s="1"/>
  <c r="J12" i="71"/>
  <c r="K12" i="71" s="1"/>
  <c r="I12" i="72"/>
  <c r="J14" i="71"/>
  <c r="K14" i="71" s="1"/>
  <c r="I14" i="72"/>
  <c r="J13" i="71"/>
  <c r="K13" i="71" s="1"/>
  <c r="I13" i="72"/>
  <c r="J11" i="72"/>
  <c r="K11" i="72" s="1"/>
  <c r="I11" i="74"/>
  <c r="J10" i="71"/>
  <c r="K10" i="71" s="1"/>
  <c r="I10" i="72"/>
  <c r="J18" i="70"/>
  <c r="K18" i="70" s="1"/>
  <c r="I27" i="67" l="1"/>
  <c r="I27" i="77"/>
  <c r="J27" i="77" s="1"/>
  <c r="K27" i="77" s="1"/>
  <c r="J27" i="74"/>
  <c r="K27" i="74" s="1"/>
  <c r="I27" i="76"/>
  <c r="J27" i="76" s="1"/>
  <c r="K27" i="76" s="1"/>
  <c r="I28" i="77"/>
  <c r="J28" i="77" s="1"/>
  <c r="K28" i="77" s="1"/>
  <c r="I28" i="76"/>
  <c r="J28" i="76" s="1"/>
  <c r="K28" i="76" s="1"/>
  <c r="J28" i="74"/>
  <c r="K28" i="74" s="1"/>
  <c r="J29" i="72"/>
  <c r="K29" i="72" s="1"/>
  <c r="I29" i="74"/>
  <c r="J21" i="71"/>
  <c r="K21" i="71" s="1"/>
  <c r="I21" i="72"/>
  <c r="I23" i="77"/>
  <c r="J23" i="77" s="1"/>
  <c r="K23" i="77" s="1"/>
  <c r="J23" i="74"/>
  <c r="K23" i="74" s="1"/>
  <c r="I23" i="76"/>
  <c r="J23" i="76" s="1"/>
  <c r="K23" i="76" s="1"/>
  <c r="I24" i="74"/>
  <c r="J24" i="72"/>
  <c r="K24" i="72" s="1"/>
  <c r="I20" i="74"/>
  <c r="J20" i="72"/>
  <c r="I22" i="77"/>
  <c r="J22" i="77" s="1"/>
  <c r="I22" i="76"/>
  <c r="J22" i="76" s="1"/>
  <c r="J22" i="74"/>
  <c r="I16" i="77"/>
  <c r="J16" i="77" s="1"/>
  <c r="K16" i="77" s="1"/>
  <c r="J16" i="74"/>
  <c r="K16" i="74" s="1"/>
  <c r="I16" i="76"/>
  <c r="J16" i="76" s="1"/>
  <c r="K16" i="76" s="1"/>
  <c r="I10" i="74"/>
  <c r="J10" i="72"/>
  <c r="K10" i="72" s="1"/>
  <c r="I11" i="77"/>
  <c r="J11" i="77" s="1"/>
  <c r="K11" i="77" s="1"/>
  <c r="I11" i="76"/>
  <c r="J11" i="76" s="1"/>
  <c r="K11" i="76" s="1"/>
  <c r="J11" i="74"/>
  <c r="K11" i="74" s="1"/>
  <c r="J13" i="72"/>
  <c r="K13" i="72" s="1"/>
  <c r="I13" i="74"/>
  <c r="J12" i="72"/>
  <c r="K12" i="72" s="1"/>
  <c r="I12" i="74"/>
  <c r="J18" i="69"/>
  <c r="K18" i="69" s="1"/>
  <c r="I18" i="71"/>
  <c r="J14" i="72"/>
  <c r="K14" i="72" s="1"/>
  <c r="I14" i="74"/>
  <c r="I27" i="70" l="1"/>
  <c r="J27" i="70" s="1"/>
  <c r="K27" i="70" s="1"/>
  <c r="J27" i="67"/>
  <c r="K27" i="67" s="1"/>
  <c r="I29" i="77"/>
  <c r="J29" i="77" s="1"/>
  <c r="K29" i="77" s="1"/>
  <c r="J29" i="74"/>
  <c r="K29" i="74" s="1"/>
  <c r="I29" i="76"/>
  <c r="J29" i="76" s="1"/>
  <c r="K29" i="76" s="1"/>
  <c r="I20" i="77"/>
  <c r="J20" i="77" s="1"/>
  <c r="J20" i="74"/>
  <c r="I20" i="76"/>
  <c r="J20" i="76" s="1"/>
  <c r="J25" i="69"/>
  <c r="K25" i="69" s="1"/>
  <c r="I25" i="71"/>
  <c r="I24" i="77"/>
  <c r="J24" i="77" s="1"/>
  <c r="K24" i="77" s="1"/>
  <c r="I24" i="76"/>
  <c r="J24" i="76" s="1"/>
  <c r="K24" i="76" s="1"/>
  <c r="J24" i="74"/>
  <c r="K24" i="74" s="1"/>
  <c r="J21" i="72"/>
  <c r="K21" i="72" s="1"/>
  <c r="I21" i="74"/>
  <c r="I14" i="77"/>
  <c r="J14" i="77" s="1"/>
  <c r="K14" i="77" s="1"/>
  <c r="J14" i="74"/>
  <c r="K14" i="74" s="1"/>
  <c r="I14" i="76"/>
  <c r="J14" i="76" s="1"/>
  <c r="K14" i="76" s="1"/>
  <c r="I12" i="77"/>
  <c r="J12" i="77" s="1"/>
  <c r="K12" i="77" s="1"/>
  <c r="I12" i="76"/>
  <c r="J12" i="76" s="1"/>
  <c r="K12" i="76" s="1"/>
  <c r="J12" i="74"/>
  <c r="K12" i="74" s="1"/>
  <c r="I10" i="76"/>
  <c r="J10" i="76" s="1"/>
  <c r="K10" i="76" s="1"/>
  <c r="I10" i="77"/>
  <c r="J10" i="77" s="1"/>
  <c r="K10" i="77" s="1"/>
  <c r="J10" i="74"/>
  <c r="K10" i="74" s="1"/>
  <c r="J26" i="69"/>
  <c r="K26" i="69" s="1"/>
  <c r="I26" i="71"/>
  <c r="I18" i="72"/>
  <c r="J18" i="71"/>
  <c r="K18" i="71" s="1"/>
  <c r="I13" i="77"/>
  <c r="J13" i="77" s="1"/>
  <c r="K13" i="77" s="1"/>
  <c r="I13" i="76"/>
  <c r="J13" i="76" s="1"/>
  <c r="K13" i="76" s="1"/>
  <c r="J13" i="74"/>
  <c r="K13" i="74" s="1"/>
  <c r="I9" i="1"/>
  <c r="I11" i="1"/>
  <c r="I11" i="58" s="1"/>
  <c r="I10" i="60" s="1"/>
  <c r="I12" i="1"/>
  <c r="I12" i="58" s="1"/>
  <c r="I11" i="60" s="1"/>
  <c r="I13" i="1"/>
  <c r="I13" i="58" s="1"/>
  <c r="I12" i="60" s="1"/>
  <c r="I15" i="1"/>
  <c r="I15" i="58" s="1"/>
  <c r="I14" i="60" s="1"/>
  <c r="I16" i="1"/>
  <c r="I17" i="1"/>
  <c r="I21" i="1"/>
  <c r="I24" i="58" s="1"/>
  <c r="I20" i="60" s="1"/>
  <c r="I22" i="1"/>
  <c r="I25" i="58" s="1"/>
  <c r="I21" i="60" s="1"/>
  <c r="I23" i="1"/>
  <c r="I26" i="58" s="1"/>
  <c r="I22" i="60" s="1"/>
  <c r="I24" i="1"/>
  <c r="I27" i="58" s="1"/>
  <c r="I23" i="60" s="1"/>
  <c r="I28" i="1"/>
  <c r="I31" i="58" s="1"/>
  <c r="I27" i="60" s="1"/>
  <c r="I29" i="1"/>
  <c r="I32" i="58" s="1"/>
  <c r="I28" i="60" s="1"/>
  <c r="F34" i="1"/>
  <c r="I20" i="1"/>
  <c r="I23" i="58" s="1"/>
  <c r="I19" i="60" s="1"/>
  <c r="H25" i="1"/>
  <c r="H14" i="1"/>
  <c r="H18" i="1" s="1"/>
  <c r="I20" i="64" l="1"/>
  <c r="J19" i="60"/>
  <c r="J28" i="60"/>
  <c r="K28" i="60" s="1"/>
  <c r="I29" i="64"/>
  <c r="I24" i="64"/>
  <c r="J23" i="60"/>
  <c r="K23" i="60" s="1"/>
  <c r="J21" i="60"/>
  <c r="I22" i="64"/>
  <c r="I20" i="58"/>
  <c r="I17" i="58"/>
  <c r="I16" i="60" s="1"/>
  <c r="J11" i="60"/>
  <c r="K11" i="60" s="1"/>
  <c r="I12" i="64"/>
  <c r="J9" i="1"/>
  <c r="I9" i="58"/>
  <c r="I28" i="64"/>
  <c r="J27" i="60"/>
  <c r="K27" i="60" s="1"/>
  <c r="I23" i="64"/>
  <c r="J22" i="60"/>
  <c r="K22" i="60" s="1"/>
  <c r="J20" i="60"/>
  <c r="K20" i="60" s="1"/>
  <c r="I21" i="64"/>
  <c r="I19" i="58"/>
  <c r="I16" i="58"/>
  <c r="I15" i="60" s="1"/>
  <c r="J12" i="60"/>
  <c r="K12" i="60" s="1"/>
  <c r="I13" i="64"/>
  <c r="J10" i="60"/>
  <c r="K10" i="60" s="1"/>
  <c r="I11" i="64"/>
  <c r="I25" i="72"/>
  <c r="J25" i="71"/>
  <c r="K25" i="71" s="1"/>
  <c r="I21" i="77"/>
  <c r="J21" i="77" s="1"/>
  <c r="K21" i="77" s="1"/>
  <c r="I21" i="76"/>
  <c r="J21" i="76" s="1"/>
  <c r="K21" i="76" s="1"/>
  <c r="J21" i="74"/>
  <c r="K21" i="74" s="1"/>
  <c r="J26" i="71"/>
  <c r="K26" i="71" s="1"/>
  <c r="I26" i="72"/>
  <c r="I18" i="74"/>
  <c r="J18" i="72"/>
  <c r="K18" i="72" s="1"/>
  <c r="J30" i="69"/>
  <c r="K30" i="69" s="1"/>
  <c r="I30" i="71"/>
  <c r="J32" i="58"/>
  <c r="K32" i="58" s="1"/>
  <c r="J31" i="58"/>
  <c r="K31" i="58" s="1"/>
  <c r="J23" i="58"/>
  <c r="K23" i="58" s="1"/>
  <c r="J24" i="58"/>
  <c r="K24" i="58" s="1"/>
  <c r="J27" i="58"/>
  <c r="K27" i="58" s="1"/>
  <c r="J25" i="58"/>
  <c r="K25" i="58" s="1"/>
  <c r="J26" i="58"/>
  <c r="K26" i="58" s="1"/>
  <c r="J19" i="58"/>
  <c r="K19" i="58" s="1"/>
  <c r="J20" i="58"/>
  <c r="K20" i="58" s="1"/>
  <c r="J11" i="1"/>
  <c r="J12" i="1"/>
  <c r="J13" i="1"/>
  <c r="J15" i="1"/>
  <c r="J10" i="1"/>
  <c r="I14" i="1"/>
  <c r="I14" i="58" s="1"/>
  <c r="I13" i="60" s="1"/>
  <c r="H26" i="1"/>
  <c r="H30" i="1" s="1"/>
  <c r="I14" i="64" l="1"/>
  <c r="J13" i="60"/>
  <c r="K13" i="60" s="1"/>
  <c r="J11" i="64"/>
  <c r="K11" i="64" s="1"/>
  <c r="J13" i="64"/>
  <c r="K13" i="64" s="1"/>
  <c r="J15" i="60"/>
  <c r="K15" i="60" s="1"/>
  <c r="I16" i="64"/>
  <c r="J21" i="64"/>
  <c r="K21" i="64" s="1"/>
  <c r="I8" i="60"/>
  <c r="J9" i="58"/>
  <c r="K9" i="58" s="1"/>
  <c r="J12" i="64"/>
  <c r="K12" i="64" s="1"/>
  <c r="I17" i="64"/>
  <c r="J16" i="60"/>
  <c r="J22" i="64"/>
  <c r="J29" i="64"/>
  <c r="K29" i="64" s="1"/>
  <c r="J23" i="64"/>
  <c r="K23" i="64" s="1"/>
  <c r="J28" i="64"/>
  <c r="K28" i="64" s="1"/>
  <c r="J24" i="64"/>
  <c r="K24" i="64" s="1"/>
  <c r="J20" i="64"/>
  <c r="K20" i="64" s="1"/>
  <c r="I25" i="74"/>
  <c r="J25" i="72"/>
  <c r="K25" i="72" s="1"/>
  <c r="I18" i="77"/>
  <c r="J18" i="77" s="1"/>
  <c r="K18" i="77" s="1"/>
  <c r="I18" i="76"/>
  <c r="J18" i="76" s="1"/>
  <c r="K18" i="76" s="1"/>
  <c r="J18" i="74"/>
  <c r="K18" i="74" s="1"/>
  <c r="J30" i="71"/>
  <c r="K30" i="71" s="1"/>
  <c r="I30" i="72"/>
  <c r="J26" i="72"/>
  <c r="K26" i="72" s="1"/>
  <c r="I26" i="74"/>
  <c r="J15" i="58"/>
  <c r="K15" i="58" s="1"/>
  <c r="J12" i="58"/>
  <c r="K12" i="58" s="1"/>
  <c r="J21" i="58"/>
  <c r="K21" i="58" s="1"/>
  <c r="J10" i="58"/>
  <c r="K10" i="58" s="1"/>
  <c r="J13" i="58"/>
  <c r="K13" i="58" s="1"/>
  <c r="J11" i="58"/>
  <c r="K11" i="58" s="1"/>
  <c r="I19" i="1"/>
  <c r="I22" i="58" s="1"/>
  <c r="I18" i="60" s="1"/>
  <c r="F25" i="1"/>
  <c r="G25" i="1" s="1"/>
  <c r="F36" i="8"/>
  <c r="G36" i="8" s="1"/>
  <c r="F35" i="8"/>
  <c r="G35" i="8" s="1"/>
  <c r="F34" i="8"/>
  <c r="G34" i="8" s="1"/>
  <c r="F29" i="8"/>
  <c r="G29" i="8" s="1"/>
  <c r="I28" i="8"/>
  <c r="J28" i="8" s="1"/>
  <c r="K28" i="8" s="1"/>
  <c r="F28" i="8"/>
  <c r="G28" i="8" s="1"/>
  <c r="G27" i="8"/>
  <c r="F27" i="8"/>
  <c r="F24" i="8"/>
  <c r="G24" i="8" s="1"/>
  <c r="F23" i="8"/>
  <c r="G23" i="8" s="1"/>
  <c r="G22" i="8"/>
  <c r="F22" i="8"/>
  <c r="F21" i="8"/>
  <c r="G21" i="8" s="1"/>
  <c r="F20" i="8"/>
  <c r="G20" i="8" s="1"/>
  <c r="E19" i="8"/>
  <c r="E25" i="8" s="1"/>
  <c r="I17" i="8"/>
  <c r="J17" i="8" s="1"/>
  <c r="K17" i="8" s="1"/>
  <c r="F17" i="8"/>
  <c r="G17" i="8" s="1"/>
  <c r="I16" i="8"/>
  <c r="J16" i="8" s="1"/>
  <c r="K16" i="8" s="1"/>
  <c r="F16" i="8"/>
  <c r="G16" i="8" s="1"/>
  <c r="F15" i="8"/>
  <c r="G15" i="8" s="1"/>
  <c r="E14" i="8"/>
  <c r="E18" i="8" s="1"/>
  <c r="F13" i="8"/>
  <c r="G13" i="8" s="1"/>
  <c r="F12" i="8"/>
  <c r="G12" i="8" s="1"/>
  <c r="F11" i="8"/>
  <c r="G11" i="8" s="1"/>
  <c r="F10" i="8"/>
  <c r="G10" i="8" s="1"/>
  <c r="F9" i="8"/>
  <c r="G9" i="8" s="1"/>
  <c r="I29" i="8"/>
  <c r="J29" i="8" s="1"/>
  <c r="K29" i="8" s="1"/>
  <c r="I20" i="8"/>
  <c r="J20" i="8" s="1"/>
  <c r="K20" i="8" s="1"/>
  <c r="I15" i="8"/>
  <c r="J15" i="8" s="1"/>
  <c r="K15" i="8" s="1"/>
  <c r="I13" i="8"/>
  <c r="J13" i="8" s="1"/>
  <c r="K13" i="8" s="1"/>
  <c r="I9" i="8"/>
  <c r="J9" i="8" s="1"/>
  <c r="K9" i="8" s="1"/>
  <c r="J18" i="1"/>
  <c r="K18" i="1" s="1"/>
  <c r="J27" i="1"/>
  <c r="K27" i="1" s="1"/>
  <c r="J24" i="1"/>
  <c r="K24" i="1" s="1"/>
  <c r="J23" i="1"/>
  <c r="K23" i="1" s="1"/>
  <c r="J22" i="1"/>
  <c r="K22" i="1" s="1"/>
  <c r="J21" i="1"/>
  <c r="K21" i="1" s="1"/>
  <c r="J20" i="1"/>
  <c r="K20" i="1" s="1"/>
  <c r="K15" i="1"/>
  <c r="K14" i="1"/>
  <c r="K13" i="1"/>
  <c r="K12" i="1"/>
  <c r="K10" i="1"/>
  <c r="K9" i="1"/>
  <c r="F13" i="1"/>
  <c r="G13" i="1" s="1"/>
  <c r="F27" i="1"/>
  <c r="G27" i="1" s="1"/>
  <c r="F36" i="1"/>
  <c r="G36" i="1" s="1"/>
  <c r="F35" i="1"/>
  <c r="G35" i="1" s="1"/>
  <c r="G34" i="1"/>
  <c r="J16" i="1"/>
  <c r="K16" i="1" s="1"/>
  <c r="J17" i="1"/>
  <c r="K17" i="1" s="1"/>
  <c r="J28" i="1"/>
  <c r="K28" i="1" s="1"/>
  <c r="J29" i="1"/>
  <c r="K29" i="1" s="1"/>
  <c r="F29" i="1"/>
  <c r="G29" i="1" s="1"/>
  <c r="F14" i="1"/>
  <c r="G14" i="1" s="1"/>
  <c r="F15" i="1"/>
  <c r="G15" i="1" s="1"/>
  <c r="F16" i="1"/>
  <c r="G16" i="1" s="1"/>
  <c r="F17" i="1"/>
  <c r="G17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8" i="1"/>
  <c r="G28" i="1" s="1"/>
  <c r="K11" i="1"/>
  <c r="I19" i="64" l="1"/>
  <c r="J18" i="60"/>
  <c r="K18" i="60" s="1"/>
  <c r="I23" i="67"/>
  <c r="I22" i="67"/>
  <c r="I21" i="67"/>
  <c r="J16" i="64"/>
  <c r="K16" i="64" s="1"/>
  <c r="I20" i="67"/>
  <c r="I24" i="67"/>
  <c r="I28" i="67"/>
  <c r="I29" i="67"/>
  <c r="J17" i="64"/>
  <c r="I12" i="67"/>
  <c r="I9" i="64"/>
  <c r="J8" i="60"/>
  <c r="K8" i="60" s="1"/>
  <c r="I13" i="67"/>
  <c r="I11" i="67"/>
  <c r="J14" i="64"/>
  <c r="K14" i="64" s="1"/>
  <c r="I25" i="77"/>
  <c r="J25" i="77" s="1"/>
  <c r="K25" i="77" s="1"/>
  <c r="I25" i="76"/>
  <c r="J25" i="76" s="1"/>
  <c r="K25" i="76" s="1"/>
  <c r="J25" i="74"/>
  <c r="K25" i="74" s="1"/>
  <c r="I26" i="77"/>
  <c r="J26" i="77" s="1"/>
  <c r="K26" i="77" s="1"/>
  <c r="I26" i="76"/>
  <c r="J26" i="76" s="1"/>
  <c r="K26" i="76" s="1"/>
  <c r="J26" i="74"/>
  <c r="K26" i="74" s="1"/>
  <c r="I30" i="74"/>
  <c r="J30" i="72"/>
  <c r="K30" i="72" s="1"/>
  <c r="J19" i="1"/>
  <c r="K19" i="1" s="1"/>
  <c r="I15" i="64"/>
  <c r="J14" i="60"/>
  <c r="K14" i="60" s="1"/>
  <c r="I25" i="1"/>
  <c r="I28" i="58" s="1"/>
  <c r="I24" i="60" s="1"/>
  <c r="I30" i="1"/>
  <c r="I33" i="58" s="1"/>
  <c r="I29" i="60" s="1"/>
  <c r="F18" i="1"/>
  <c r="G18" i="1" s="1"/>
  <c r="F19" i="8"/>
  <c r="G19" i="8" s="1"/>
  <c r="I22" i="8"/>
  <c r="J22" i="8" s="1"/>
  <c r="K22" i="8" s="1"/>
  <c r="I24" i="8"/>
  <c r="J24" i="8" s="1"/>
  <c r="K24" i="8" s="1"/>
  <c r="I12" i="8"/>
  <c r="J12" i="8" s="1"/>
  <c r="K12" i="8" s="1"/>
  <c r="I21" i="8"/>
  <c r="J21" i="8" s="1"/>
  <c r="K21" i="8" s="1"/>
  <c r="I11" i="8"/>
  <c r="J11" i="8" s="1"/>
  <c r="K11" i="8" s="1"/>
  <c r="I27" i="8"/>
  <c r="J27" i="8" s="1"/>
  <c r="K27" i="8" s="1"/>
  <c r="I10" i="8"/>
  <c r="J10" i="8" s="1"/>
  <c r="K10" i="8" s="1"/>
  <c r="I23" i="8"/>
  <c r="J23" i="8" s="1"/>
  <c r="K23" i="8" s="1"/>
  <c r="I25" i="8"/>
  <c r="J25" i="8" s="1"/>
  <c r="K25" i="8" s="1"/>
  <c r="F25" i="8"/>
  <c r="G25" i="8" s="1"/>
  <c r="F18" i="8"/>
  <c r="G18" i="8" s="1"/>
  <c r="E26" i="8"/>
  <c r="I19" i="8"/>
  <c r="J19" i="8" s="1"/>
  <c r="K19" i="8" s="1"/>
  <c r="I14" i="8"/>
  <c r="J14" i="8" s="1"/>
  <c r="K14" i="8" s="1"/>
  <c r="F14" i="8"/>
  <c r="G14" i="8" s="1"/>
  <c r="F12" i="1"/>
  <c r="G12" i="1" s="1"/>
  <c r="F11" i="1"/>
  <c r="G11" i="1" s="1"/>
  <c r="G10" i="1"/>
  <c r="G9" i="1"/>
  <c r="J24" i="60" l="1"/>
  <c r="K24" i="60" s="1"/>
  <c r="I25" i="64"/>
  <c r="I13" i="70"/>
  <c r="J13" i="70" s="1"/>
  <c r="K13" i="70" s="1"/>
  <c r="J13" i="67"/>
  <c r="K13" i="67" s="1"/>
  <c r="I29" i="70"/>
  <c r="J29" i="70" s="1"/>
  <c r="K29" i="70" s="1"/>
  <c r="J29" i="67"/>
  <c r="K29" i="67" s="1"/>
  <c r="I24" i="70"/>
  <c r="J24" i="70" s="1"/>
  <c r="K24" i="70" s="1"/>
  <c r="J24" i="67"/>
  <c r="K24" i="67" s="1"/>
  <c r="J20" i="67"/>
  <c r="I20" i="70"/>
  <c r="J20" i="70" s="1"/>
  <c r="I14" i="67"/>
  <c r="J11" i="67"/>
  <c r="K11" i="67" s="1"/>
  <c r="I11" i="70"/>
  <c r="J11" i="70" s="1"/>
  <c r="K11" i="70" s="1"/>
  <c r="J9" i="64"/>
  <c r="K9" i="64" s="1"/>
  <c r="I12" i="70"/>
  <c r="J12" i="70" s="1"/>
  <c r="K12" i="70" s="1"/>
  <c r="J12" i="67"/>
  <c r="K12" i="67" s="1"/>
  <c r="I17" i="67"/>
  <c r="J28" i="67"/>
  <c r="K28" i="67" s="1"/>
  <c r="I28" i="70"/>
  <c r="J28" i="70" s="1"/>
  <c r="K28" i="70" s="1"/>
  <c r="I16" i="67"/>
  <c r="I21" i="70"/>
  <c r="J21" i="70" s="1"/>
  <c r="K21" i="70" s="1"/>
  <c r="J21" i="67"/>
  <c r="K21" i="67" s="1"/>
  <c r="J22" i="67"/>
  <c r="I22" i="70"/>
  <c r="J22" i="70" s="1"/>
  <c r="J23" i="67"/>
  <c r="K23" i="67" s="1"/>
  <c r="I23" i="70"/>
  <c r="J19" i="64"/>
  <c r="K19" i="64" s="1"/>
  <c r="J29" i="60"/>
  <c r="K29" i="60" s="1"/>
  <c r="I30" i="77"/>
  <c r="J30" i="77" s="1"/>
  <c r="K30" i="77" s="1"/>
  <c r="J30" i="74"/>
  <c r="K30" i="74" s="1"/>
  <c r="I30" i="76"/>
  <c r="J30" i="76" s="1"/>
  <c r="K30" i="76" s="1"/>
  <c r="J25" i="1"/>
  <c r="K25" i="1" s="1"/>
  <c r="J22" i="58"/>
  <c r="K22" i="58" s="1"/>
  <c r="J15" i="64"/>
  <c r="K15" i="64" s="1"/>
  <c r="J33" i="58"/>
  <c r="K33" i="58" s="1"/>
  <c r="I26" i="1"/>
  <c r="I29" i="58" s="1"/>
  <c r="I25" i="60" s="1"/>
  <c r="I18" i="8"/>
  <c r="J18" i="8" s="1"/>
  <c r="K18" i="8" s="1"/>
  <c r="E30" i="8"/>
  <c r="F26" i="8"/>
  <c r="G26" i="8" s="1"/>
  <c r="I26" i="8"/>
  <c r="J26" i="8" s="1"/>
  <c r="K26" i="8" s="1"/>
  <c r="F26" i="1"/>
  <c r="G26" i="1" s="1"/>
  <c r="M25" i="70" l="1"/>
  <c r="J23" i="70"/>
  <c r="K23" i="70" s="1"/>
  <c r="J16" i="67"/>
  <c r="K16" i="67" s="1"/>
  <c r="I16" i="70"/>
  <c r="J16" i="70" s="1"/>
  <c r="K16" i="70" s="1"/>
  <c r="I17" i="70"/>
  <c r="J17" i="70" s="1"/>
  <c r="J17" i="67"/>
  <c r="J25" i="64"/>
  <c r="K25" i="64" s="1"/>
  <c r="I19" i="67"/>
  <c r="I9" i="67"/>
  <c r="I14" i="70"/>
  <c r="J14" i="70" s="1"/>
  <c r="K14" i="70" s="1"/>
  <c r="J14" i="67"/>
  <c r="K14" i="67" s="1"/>
  <c r="J30" i="64"/>
  <c r="K30" i="64" s="1"/>
  <c r="J25" i="60"/>
  <c r="K25" i="60" s="1"/>
  <c r="I26" i="64"/>
  <c r="J28" i="58"/>
  <c r="K28" i="58" s="1"/>
  <c r="J26" i="1"/>
  <c r="K26" i="1" s="1"/>
  <c r="I15" i="67"/>
  <c r="F30" i="1"/>
  <c r="G30" i="1" s="1"/>
  <c r="I30" i="8"/>
  <c r="J30" i="8" s="1"/>
  <c r="K30" i="8" s="1"/>
  <c r="F30" i="8"/>
  <c r="G30" i="8" s="1"/>
  <c r="J30" i="1"/>
  <c r="K30" i="1" s="1"/>
  <c r="I9" i="70" l="1"/>
  <c r="J9" i="70" s="1"/>
  <c r="K9" i="70" s="1"/>
  <c r="J9" i="67"/>
  <c r="K9" i="67" s="1"/>
  <c r="I19" i="70"/>
  <c r="J19" i="70" s="1"/>
  <c r="K19" i="70" s="1"/>
  <c r="J19" i="67"/>
  <c r="K19" i="67" s="1"/>
  <c r="I25" i="67"/>
  <c r="J26" i="64"/>
  <c r="K26" i="64" s="1"/>
  <c r="I30" i="67"/>
  <c r="J29" i="58"/>
  <c r="K29" i="58" s="1"/>
  <c r="I15" i="70"/>
  <c r="J15" i="67"/>
  <c r="K15" i="67" s="1"/>
  <c r="I25" i="70" l="1"/>
  <c r="J25" i="70" s="1"/>
  <c r="K25" i="70" s="1"/>
  <c r="J25" i="67"/>
  <c r="K25" i="67" s="1"/>
  <c r="I30" i="70"/>
  <c r="J30" i="70" s="1"/>
  <c r="K30" i="70" s="1"/>
  <c r="J30" i="67"/>
  <c r="K30" i="67" s="1"/>
  <c r="I26" i="67"/>
  <c r="J15" i="70"/>
  <c r="K15" i="70" s="1"/>
  <c r="J26" i="67" l="1"/>
  <c r="K26" i="67" s="1"/>
  <c r="I26" i="70"/>
  <c r="J26" i="70" s="1"/>
  <c r="K26" i="70" s="1"/>
  <c r="I15" i="71"/>
  <c r="J15" i="69"/>
  <c r="K15" i="69" s="1"/>
  <c r="J15" i="71" l="1"/>
  <c r="K15" i="71" s="1"/>
  <c r="I15" i="72"/>
  <c r="J15" i="72" l="1"/>
  <c r="K15" i="72" s="1"/>
  <c r="I15" i="74"/>
  <c r="I15" i="77" l="1"/>
  <c r="J15" i="77" s="1"/>
  <c r="K15" i="77" s="1"/>
  <c r="J15" i="74"/>
  <c r="K15" i="74" s="1"/>
  <c r="I15" i="76"/>
  <c r="J15" i="76" s="1"/>
  <c r="K15" i="76" s="1"/>
</calcChain>
</file>

<file path=xl/comments1.xml><?xml version="1.0" encoding="utf-8"?>
<comments xmlns="http://schemas.openxmlformats.org/spreadsheetml/2006/main">
  <authors>
    <author>Auteur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regur fact 07 de mt 241 et l'activite des ecoles de mt 24243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800da de mt forfait sur le mt reporter pour le moi prochain
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 xml:space="preserve">Auteur:
déstockage de tvo 75
elimination de couvre joint de production msila
elimination de la comptabilisation de la rgularisation de fact mois d'avril
241*2
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815 de mois octobre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regularisation de mt des écoles  24243 et le mt 423 de compta mois de septembre de fact 7
</t>
        </r>
      </text>
    </comment>
  </commentList>
</comments>
</file>

<file path=xl/comments5.xml><?xml version="1.0" encoding="utf-8"?>
<comments xmlns="http://schemas.openxmlformats.org/spreadsheetml/2006/main">
  <authors>
    <author>Auteur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815 de mois octobre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regularisation de mt des écoles  24243 et le mt 423 de compta mois de septembre de fact 7
</t>
        </r>
      </text>
    </comment>
  </commentList>
</comments>
</file>

<file path=xl/sharedStrings.xml><?xml version="1.0" encoding="utf-8"?>
<sst xmlns="http://schemas.openxmlformats.org/spreadsheetml/2006/main" count="1178" uniqueCount="181">
  <si>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</si>
  <si>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</si>
  <si>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</si>
  <si>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</si>
  <si>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</si>
  <si>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</si>
  <si>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</si>
  <si>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</si>
  <si>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</si>
  <si>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</si>
  <si>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</si>
  <si>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</si>
  <si>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</si>
  <si>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</si>
  <si>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</si>
  <si>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</si>
  <si>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</si>
  <si>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</si>
  <si>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</si>
  <si>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</si>
  <si>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</si>
  <si>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Vente de marchandise</t>
  </si>
  <si>
    <t>Vente de produits finis et intermédiares</t>
  </si>
  <si>
    <t>701 et 702</t>
  </si>
  <si>
    <t xml:space="preserve">Vente de travaux </t>
  </si>
  <si>
    <t>Vente d'etudes</t>
  </si>
  <si>
    <t>Autres ( 703,708 et 709)</t>
  </si>
  <si>
    <t>Chiffre d'affaires =(1)+(2)+(3)+(4)+(5)</t>
  </si>
  <si>
    <t>705 et 706</t>
  </si>
  <si>
    <t>Production stockées ou déstockée</t>
  </si>
  <si>
    <t>Subvention d'exploitation</t>
  </si>
  <si>
    <t>Production de période = (6)+(7)+(8)+(9)</t>
  </si>
  <si>
    <t>Achats  consommés</t>
  </si>
  <si>
    <t>Dont achat  de marchandises vendues</t>
  </si>
  <si>
    <t>Matière première</t>
  </si>
  <si>
    <t>Achat  d'etudes et préstations de services</t>
  </si>
  <si>
    <t>Sevices exterieurs</t>
  </si>
  <si>
    <t>Autres services exterieurs</t>
  </si>
  <si>
    <t>Consommations de la période=(11)+(15)+(16)</t>
  </si>
  <si>
    <t>Valeur ajoutée = (10)-(17)</t>
  </si>
  <si>
    <t>Charges  personnel</t>
  </si>
  <si>
    <t>Charges  personnel ecart*</t>
  </si>
  <si>
    <t>*</t>
  </si>
  <si>
    <t>Impots, taxes et versement assimilés</t>
  </si>
  <si>
    <t>E.B.E =(18)-(19)-20)</t>
  </si>
  <si>
    <t>AGREGATS</t>
  </si>
  <si>
    <t>CPT</t>
  </si>
  <si>
    <t>SCF</t>
  </si>
  <si>
    <t xml:space="preserve">MOIS </t>
  </si>
  <si>
    <t>ÉVOLUTION</t>
  </si>
  <si>
    <t>écart</t>
  </si>
  <si>
    <t>CUMUL</t>
  </si>
  <si>
    <t>23</t>
  </si>
  <si>
    <t>Créances clients (Montant brut)</t>
  </si>
  <si>
    <t>24</t>
  </si>
  <si>
    <t>Effectif total</t>
  </si>
  <si>
    <t>Dont permanents</t>
  </si>
  <si>
    <t>CONSTRUB-EST BEJAIA</t>
  </si>
  <si>
    <t>Direstion des Réalisation de Bejaia</t>
  </si>
  <si>
    <t>U: KDA</t>
  </si>
  <si>
    <t>Production immobilsée</t>
  </si>
  <si>
    <t>A fin Jan</t>
  </si>
  <si>
    <t xml:space="preserve">Taux évol % </t>
  </si>
  <si>
    <t>Taux évol %</t>
  </si>
  <si>
    <t>MOIS DE MARS 2018</t>
  </si>
  <si>
    <t>A fin FEV</t>
  </si>
  <si>
    <t>A fin MARS</t>
  </si>
  <si>
    <t>JAN</t>
  </si>
  <si>
    <t>FEV</t>
  </si>
  <si>
    <t>MARS</t>
  </si>
  <si>
    <t>AVRIL</t>
  </si>
  <si>
    <t>MAI</t>
  </si>
  <si>
    <t>JUIN</t>
  </si>
  <si>
    <t>JUILLET</t>
  </si>
  <si>
    <t>AOUT</t>
  </si>
  <si>
    <t>OCT</t>
  </si>
  <si>
    <t>ECART</t>
  </si>
  <si>
    <t>total</t>
  </si>
  <si>
    <t>Direstion  Régionale de Bejaia</t>
  </si>
  <si>
    <t>SEP</t>
  </si>
  <si>
    <t>NOVEM</t>
  </si>
  <si>
    <t>DECE</t>
  </si>
  <si>
    <t>EXCEL</t>
  </si>
  <si>
    <t>LOGICIEL</t>
  </si>
  <si>
    <t>A fin Dem</t>
  </si>
  <si>
    <t>A fin Fev</t>
  </si>
  <si>
    <t>activité tech</t>
  </si>
  <si>
    <t>menuiserie</t>
  </si>
  <si>
    <t>remila</t>
  </si>
  <si>
    <t>A fin Mars</t>
  </si>
  <si>
    <t>Direction  Régionale de Bejaia</t>
  </si>
  <si>
    <t>S.BARA</t>
  </si>
  <si>
    <t>total activite travaux</t>
  </si>
  <si>
    <t>Travaux de nettoyage au niveau de la zep d'ighil ouabarouak</t>
  </si>
  <si>
    <t>Réparation toiture saharrienne BMT</t>
  </si>
  <si>
    <t>Réalisation d'un réservoir interne au niveau de la bache à eau Ighil Oubarouak</t>
  </si>
  <si>
    <t>Travaux d'extention de la nouvelle direction des achats EPB</t>
  </si>
  <si>
    <t>Fourniture et mise en œuvre de béton au niveau de BMT</t>
  </si>
  <si>
    <t>Réalisation d'un abris au profit des transitaires bmt</t>
  </si>
  <si>
    <t>A fin Avril</t>
  </si>
  <si>
    <t xml:space="preserve">                     CONSTRUB-EST</t>
  </si>
  <si>
    <t xml:space="preserve">                           DIRECTION REGIONALE BEJAIA</t>
  </si>
  <si>
    <t>Montant</t>
  </si>
  <si>
    <t>CLIENTS</t>
  </si>
  <si>
    <t>Nature</t>
  </si>
  <si>
    <t>U:KDA</t>
  </si>
  <si>
    <t>Facturation</t>
  </si>
  <si>
    <t>Total</t>
  </si>
  <si>
    <t>Paiement</t>
  </si>
  <si>
    <t xml:space="preserve">  DETAILLE DES CREANCES CLIENTS  DU MOIS DE MARS 2021</t>
  </si>
  <si>
    <t>Clients particulier</t>
  </si>
  <si>
    <t>vente de béton et location du matériel</t>
  </si>
  <si>
    <t>Bejaia le, 25/05/2021</t>
  </si>
  <si>
    <t>A fin Mai</t>
  </si>
  <si>
    <t>A fin Juin</t>
  </si>
  <si>
    <t>Réalisation d'un bloc sanitaire au niveau de la zone BMT</t>
  </si>
  <si>
    <t>Travaux de réparation des établissemets scolaires endommagés par le seisme</t>
  </si>
  <si>
    <t>Travaux de réparation du siège de la direction des travaux public suite aux dégats  causés par le seisme du 18 mars</t>
  </si>
  <si>
    <t>Réalisation des 2000 Lgts LPL Ighzer ouzarif -oued ghir-</t>
  </si>
  <si>
    <t>Désignation des projets</t>
  </si>
  <si>
    <t>Activité Déclaré</t>
  </si>
  <si>
    <t>Montant contrat</t>
  </si>
  <si>
    <t>Travaux de réalisation d'une loge gardien en TCE AOKAS</t>
  </si>
  <si>
    <t>Travaux de réalisation d'une loge gardien en TCE KHERRATA</t>
  </si>
  <si>
    <t>Aménagement espace exterieur CT Béjaia</t>
  </si>
  <si>
    <t>Réalisation d'une canalisation qui acheminera les cables de la fibre optique BMT</t>
  </si>
  <si>
    <t>GESTION DES PROJETS  DE L'ANNEE 2021</t>
  </si>
  <si>
    <t>Nbr</t>
  </si>
  <si>
    <t>Réparation d'une parcelle  de terrain au niveau de la Zep BMT</t>
  </si>
  <si>
    <t>Travaux de refection atelier de maintenance en peinture laquée</t>
  </si>
  <si>
    <t>Réparation d'une parcelle au niveau du quai  poste 24 BMT</t>
  </si>
  <si>
    <t>Réalisation de sanitaire et douches au niveau de l'atelier de maintenance</t>
  </si>
  <si>
    <t>facturation des travaux encour</t>
  </si>
  <si>
    <t>Réalisation d'un abri personne en charpente métallique de l'année 2020-2021</t>
  </si>
  <si>
    <t>projet achevée</t>
  </si>
  <si>
    <t>OBS</t>
  </si>
  <si>
    <t>Encaissement</t>
  </si>
  <si>
    <t>Créance</t>
  </si>
  <si>
    <t>Construction d'un abri groupe éléctrogène</t>
  </si>
  <si>
    <t>A fin Juillet</t>
  </si>
  <si>
    <t>BEJAIA  LE,04/08/2021</t>
  </si>
  <si>
    <t>PR</t>
  </si>
  <si>
    <t>CT MATX</t>
  </si>
  <si>
    <t>PRODUCT</t>
  </si>
  <si>
    <t>MGNX</t>
  </si>
  <si>
    <t>TOTAL</t>
  </si>
  <si>
    <t>MGNX ELKSEUR</t>
  </si>
  <si>
    <t>B, REMILA</t>
  </si>
  <si>
    <t>A fin Aout</t>
  </si>
  <si>
    <t>MOIS D'AÔUT 2021</t>
  </si>
  <si>
    <t>BEJAIA  LE,05/09/2021</t>
  </si>
  <si>
    <t>Réhabilitation du bloc A/coté Quai</t>
  </si>
  <si>
    <t>MOIS DE SEPTEMBRE 2021</t>
  </si>
  <si>
    <t>A fin Sept</t>
  </si>
  <si>
    <t>BEJAIA  LE,05/10/2021</t>
  </si>
  <si>
    <t>MOIS D'OCTOBRE 2021</t>
  </si>
  <si>
    <t>BEJAIA  LE,04/11/2021</t>
  </si>
  <si>
    <t>A fin Oct</t>
  </si>
  <si>
    <t>MOIS DE NOVEMBRE 2021</t>
  </si>
  <si>
    <t>A fin Nov</t>
  </si>
  <si>
    <t>BEJAIA  LE,02/12/2021</t>
  </si>
  <si>
    <t>MOIS   DE DECEMBRE 2021</t>
  </si>
  <si>
    <t>A fin Dec</t>
  </si>
  <si>
    <t>BEJAIA  LE,05/01/2022</t>
  </si>
  <si>
    <t>²</t>
  </si>
  <si>
    <r>
      <t>L'audition libre permet d'interroger une personne soupçonnée d'avoir commis une </t>
    </r>
    <r>
      <rPr>
        <i/>
        <u/>
        <sz val="12"/>
        <color rgb="FF414856"/>
        <rFont val="Arial"/>
        <family val="2"/>
      </rPr>
      <t>infraction: Acte interdit par la loi et passible de sanctions pénales</t>
    </r>
    <r>
      <rPr>
        <sz val="12"/>
        <color rgb="FF414856"/>
        <rFont val="Arial"/>
        <family val="2"/>
      </rPr>
      <t> sans la mettre en </t>
    </r>
    <r>
      <rPr>
        <i/>
        <u/>
        <sz val="12"/>
        <color rgb="FF414856"/>
        <rFont val="Arial"/>
        <family val="2"/>
      </rPr>
      <t>garde à vue: Mesure de privation de liberté prise à l'encontre d'un suspect lors d'une enquête judiciaire en matière pénale</t>
    </r>
    <r>
      <rPr>
        <sz val="12"/>
        <color rgb="FF414856"/>
        <rFont val="Arial"/>
        <family val="2"/>
      </rPr>
      <t>. On parle aussi d'audition comme </t>
    </r>
    <r>
      <rPr>
        <i/>
        <sz val="12"/>
        <color rgb="FF414856"/>
        <rFont val="Arial"/>
        <family val="2"/>
      </rPr>
      <t>suspect libre</t>
    </r>
    <r>
      <rPr>
        <sz val="12"/>
        <color rgb="FF414856"/>
        <rFont val="Arial"/>
        <family val="2"/>
      </rPr>
      <t>. La procédure peut être utilisée par les policiers, gendarmes ou fonctionnaires ayant des pouvoirs de police judiciaire. La personne entendue a le droit de quitter les lieux à tout moment. Dans certains cas, elle peut être assistée d'un avocat.</t>
    </r>
  </si>
  <si>
    <t>MOIS DE JANVIER 2022</t>
  </si>
  <si>
    <t>Bejaia le,07/02/2021</t>
  </si>
  <si>
    <t>MOIS DE FEVRIER 2022</t>
  </si>
  <si>
    <t>MOIS DE MARS 2022</t>
  </si>
  <si>
    <t>Bejaia le,07/03/2022</t>
  </si>
  <si>
    <t>MOIS D'AVRIL 2022</t>
  </si>
  <si>
    <t>MOIS DE MAI 2022</t>
  </si>
  <si>
    <t>BEJAIA  LE,06/06/2022</t>
  </si>
  <si>
    <t>BEJAIA  LE,07/07/2022</t>
  </si>
  <si>
    <t>MOIS DE JUIN 2022</t>
  </si>
  <si>
    <t>MOIS DE JUILLET 2022</t>
  </si>
  <si>
    <t>BEJAIA  LE,05/04/2022</t>
  </si>
  <si>
    <t>TVO  REGLEE</t>
  </si>
  <si>
    <t>BEJAIA  LE,09/05/2021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</si>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</sst>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_-* #,##0\ _€_-;\-* #,##0\ _€_-;_-* &quot;-&quot;??\ _€_-;_-@_-"/>
    <numFmt numFmtId="165" formatCode="0.000"/>
    <numFmt numFmtId="166" formatCode="0.0"/>
    <numFmt numFmtId="167" formatCode="_-* #,##0.00_-;\-* #,##0.00_-;_-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hadow/>
      <sz val="28"/>
      <color rgb="FFE0322D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Times New Roman"/>
      <family val="1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414856"/>
      <name val="Arial"/>
      <family val="2"/>
    </font>
    <font>
      <i/>
      <u/>
      <sz val="12"/>
      <color rgb="FF414856"/>
      <name val="Arial"/>
      <family val="2"/>
    </font>
    <font>
      <i/>
      <sz val="12"/>
      <color rgb="FF41485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9DAE5"/>
      </left>
      <right style="medium">
        <color rgb="FFC9DAE5"/>
      </right>
      <top style="medium">
        <color rgb="FFC9DAE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8">
    <xf numFmtId="0" fontId="0" fillId="0" borderId="0" xfId="0"/>
    <xf numFmtId="49" fontId="0" fillId="0" borderId="15" xfId="0" applyNumberForma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2" borderId="8" xfId="0" applyFont="1" applyFill="1" applyBorder="1" applyAlignment="1">
      <alignment horizontal="center"/>
    </xf>
    <xf numFmtId="0" fontId="10" fillId="0" borderId="0" xfId="0" applyFont="1"/>
    <xf numFmtId="0" fontId="6" fillId="2" borderId="24" xfId="0" applyFont="1" applyFill="1" applyBorder="1" applyAlignment="1">
      <alignment horizontal="center"/>
    </xf>
    <xf numFmtId="17" fontId="6" fillId="2" borderId="20" xfId="0" applyNumberFormat="1" applyFont="1" applyFill="1" applyBorder="1" applyAlignment="1">
      <alignment horizontal="center"/>
    </xf>
    <xf numFmtId="17" fontId="6" fillId="2" borderId="21" xfId="0" applyNumberFormat="1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49" fontId="10" fillId="0" borderId="15" xfId="0" applyNumberFormat="1" applyFont="1" applyBorder="1" applyAlignment="1">
      <alignment horizontal="center"/>
    </xf>
    <xf numFmtId="0" fontId="10" fillId="0" borderId="16" xfId="0" applyFont="1" applyBorder="1"/>
    <xf numFmtId="0" fontId="6" fillId="0" borderId="16" xfId="0" applyFont="1" applyBorder="1" applyAlignment="1">
      <alignment horizontal="center"/>
    </xf>
    <xf numFmtId="164" fontId="10" fillId="0" borderId="16" xfId="1" applyNumberFormat="1" applyFont="1" applyBorder="1"/>
    <xf numFmtId="0" fontId="10" fillId="0" borderId="3" xfId="1" applyNumberFormat="1" applyFont="1" applyBorder="1"/>
    <xf numFmtId="2" fontId="10" fillId="0" borderId="17" xfId="1" applyNumberFormat="1" applyFont="1" applyBorder="1"/>
    <xf numFmtId="49" fontId="10" fillId="0" borderId="20" xfId="0" applyNumberFormat="1" applyFont="1" applyBorder="1" applyAlignment="1">
      <alignment horizontal="center"/>
    </xf>
    <xf numFmtId="0" fontId="10" fillId="0" borderId="14" xfId="0" applyFont="1" applyBorder="1"/>
    <xf numFmtId="0" fontId="6" fillId="0" borderId="14" xfId="0" applyFont="1" applyBorder="1"/>
    <xf numFmtId="164" fontId="10" fillId="0" borderId="14" xfId="1" applyNumberFormat="1" applyFont="1" applyBorder="1"/>
    <xf numFmtId="2" fontId="10" fillId="0" borderId="21" xfId="1" applyNumberFormat="1" applyFont="1" applyBorder="1"/>
    <xf numFmtId="3" fontId="10" fillId="0" borderId="16" xfId="0" applyNumberFormat="1" applyFont="1" applyBorder="1"/>
    <xf numFmtId="2" fontId="10" fillId="0" borderId="3" xfId="1" applyNumberFormat="1" applyFont="1" applyBorder="1"/>
    <xf numFmtId="49" fontId="10" fillId="0" borderId="25" xfId="0" applyNumberFormat="1" applyFont="1" applyBorder="1" applyAlignment="1">
      <alignment horizontal="center"/>
    </xf>
    <xf numFmtId="0" fontId="10" fillId="0" borderId="3" xfId="0" applyFont="1" applyBorder="1"/>
    <xf numFmtId="0" fontId="6" fillId="0" borderId="3" xfId="0" applyFont="1" applyBorder="1"/>
    <xf numFmtId="164" fontId="10" fillId="0" borderId="3" xfId="1" applyNumberFormat="1" applyFont="1" applyBorder="1"/>
    <xf numFmtId="2" fontId="10" fillId="0" borderId="28" xfId="1" applyNumberFormat="1" applyFont="1" applyBorder="1"/>
    <xf numFmtId="49" fontId="6" fillId="3" borderId="15" xfId="0" applyNumberFormat="1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center"/>
    </xf>
    <xf numFmtId="3" fontId="6" fillId="3" borderId="16" xfId="0" applyNumberFormat="1" applyFont="1" applyFill="1" applyBorder="1"/>
    <xf numFmtId="164" fontId="6" fillId="3" borderId="16" xfId="1" applyNumberFormat="1" applyFont="1" applyFill="1" applyBorder="1"/>
    <xf numFmtId="2" fontId="6" fillId="3" borderId="17" xfId="1" applyNumberFormat="1" applyFont="1" applyFill="1" applyBorder="1"/>
    <xf numFmtId="1" fontId="10" fillId="0" borderId="3" xfId="1" applyNumberFormat="1" applyFont="1" applyBorder="1"/>
    <xf numFmtId="0" fontId="6" fillId="0" borderId="14" xfId="0" applyFont="1" applyBorder="1" applyAlignment="1">
      <alignment horizontal="center"/>
    </xf>
    <xf numFmtId="164" fontId="10" fillId="0" borderId="8" xfId="1" applyNumberFormat="1" applyFont="1" applyBorder="1"/>
    <xf numFmtId="2" fontId="10" fillId="0" borderId="23" xfId="1" applyNumberFormat="1" applyFont="1" applyBorder="1"/>
    <xf numFmtId="49" fontId="6" fillId="3" borderId="25" xfId="0" applyNumberFormat="1" applyFont="1" applyFill="1" applyBorder="1" applyAlignment="1">
      <alignment horizontal="center"/>
    </xf>
    <xf numFmtId="0" fontId="6" fillId="3" borderId="3" xfId="0" applyFont="1" applyFill="1" applyBorder="1"/>
    <xf numFmtId="0" fontId="6" fillId="3" borderId="3" xfId="0" applyFont="1" applyFill="1" applyBorder="1" applyAlignment="1">
      <alignment horizontal="center"/>
    </xf>
    <xf numFmtId="3" fontId="6" fillId="3" borderId="3" xfId="0" applyNumberFormat="1" applyFont="1" applyFill="1" applyBorder="1"/>
    <xf numFmtId="164" fontId="6" fillId="3" borderId="3" xfId="1" applyNumberFormat="1" applyFont="1" applyFill="1" applyBorder="1"/>
    <xf numFmtId="1" fontId="6" fillId="3" borderId="3" xfId="1" applyNumberFormat="1" applyFont="1" applyFill="1" applyBorder="1"/>
    <xf numFmtId="2" fontId="6" fillId="3" borderId="28" xfId="1" applyNumberFormat="1" applyFont="1" applyFill="1" applyBorder="1"/>
    <xf numFmtId="0" fontId="6" fillId="0" borderId="3" xfId="0" applyFont="1" applyBorder="1" applyAlignment="1">
      <alignment horizontal="center"/>
    </xf>
    <xf numFmtId="2" fontId="6" fillId="3" borderId="3" xfId="1" applyNumberFormat="1" applyFont="1" applyFill="1" applyBorder="1"/>
    <xf numFmtId="2" fontId="6" fillId="3" borderId="16" xfId="1" applyNumberFormat="1" applyFont="1" applyFill="1" applyBorder="1"/>
    <xf numFmtId="49" fontId="10" fillId="0" borderId="10" xfId="0" applyNumberFormat="1" applyFont="1" applyBorder="1" applyAlignment="1">
      <alignment horizontal="center"/>
    </xf>
    <xf numFmtId="0" fontId="10" fillId="0" borderId="5" xfId="0" applyFont="1" applyBorder="1"/>
    <xf numFmtId="0" fontId="6" fillId="0" borderId="5" xfId="0" applyFont="1" applyBorder="1" applyAlignment="1">
      <alignment horizontal="center"/>
    </xf>
    <xf numFmtId="164" fontId="10" fillId="0" borderId="5" xfId="1" applyNumberFormat="1" applyFont="1" applyBorder="1"/>
    <xf numFmtId="2" fontId="10" fillId="0" borderId="5" xfId="1" applyNumberFormat="1" applyFont="1" applyBorder="1"/>
    <xf numFmtId="2" fontId="10" fillId="0" borderId="11" xfId="1" applyNumberFormat="1" applyFont="1" applyBorder="1"/>
    <xf numFmtId="49" fontId="10" fillId="0" borderId="22" xfId="0" applyNumberFormat="1" applyFont="1" applyBorder="1" applyAlignment="1">
      <alignment horizontal="center"/>
    </xf>
    <xf numFmtId="0" fontId="10" fillId="0" borderId="0" xfId="0" applyFont="1" applyBorder="1"/>
    <xf numFmtId="0" fontId="10" fillId="0" borderId="5" xfId="1" applyNumberFormat="1" applyFont="1" applyBorder="1"/>
    <xf numFmtId="49" fontId="6" fillId="3" borderId="12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9" xfId="0" applyFont="1" applyFill="1" applyBorder="1"/>
    <xf numFmtId="43" fontId="6" fillId="3" borderId="16" xfId="1" applyFont="1" applyFill="1" applyBorder="1"/>
    <xf numFmtId="17" fontId="6" fillId="2" borderId="8" xfId="0" applyNumberFormat="1" applyFont="1" applyFill="1" applyBorder="1" applyAlignment="1">
      <alignment horizontal="center"/>
    </xf>
    <xf numFmtId="0" fontId="6" fillId="2" borderId="4" xfId="0" applyNumberFormat="1" applyFont="1" applyFill="1" applyBorder="1" applyAlignment="1">
      <alignment horizontal="center"/>
    </xf>
    <xf numFmtId="0" fontId="6" fillId="2" borderId="9" xfId="0" applyNumberFormat="1" applyFont="1" applyFill="1" applyBorder="1" applyAlignment="1">
      <alignment horizontal="center"/>
    </xf>
    <xf numFmtId="43" fontId="10" fillId="0" borderId="16" xfId="1" applyFont="1" applyBorder="1"/>
    <xf numFmtId="49" fontId="10" fillId="0" borderId="12" xfId="0" applyNumberFormat="1" applyFont="1" applyBorder="1" applyAlignment="1">
      <alignment horizontal="center"/>
    </xf>
    <xf numFmtId="0" fontId="10" fillId="0" borderId="18" xfId="0" applyFont="1" applyBorder="1"/>
    <xf numFmtId="49" fontId="11" fillId="0" borderId="15" xfId="0" applyNumberFormat="1" applyFont="1" applyBorder="1" applyAlignment="1">
      <alignment horizontal="center"/>
    </xf>
    <xf numFmtId="0" fontId="11" fillId="0" borderId="16" xfId="0" applyFont="1" applyBorder="1"/>
    <xf numFmtId="0" fontId="12" fillId="0" borderId="16" xfId="0" applyFont="1" applyBorder="1" applyAlignment="1">
      <alignment horizontal="center"/>
    </xf>
    <xf numFmtId="164" fontId="11" fillId="0" borderId="16" xfId="1" applyNumberFormat="1" applyFont="1" applyBorder="1"/>
    <xf numFmtId="0" fontId="11" fillId="0" borderId="3" xfId="1" applyNumberFormat="1" applyFont="1" applyBorder="1"/>
    <xf numFmtId="2" fontId="11" fillId="0" borderId="17" xfId="1" applyNumberFormat="1" applyFont="1" applyBorder="1"/>
    <xf numFmtId="0" fontId="11" fillId="0" borderId="0" xfId="0" applyFont="1"/>
    <xf numFmtId="49" fontId="11" fillId="0" borderId="20" xfId="0" applyNumberFormat="1" applyFont="1" applyBorder="1" applyAlignment="1">
      <alignment horizontal="center"/>
    </xf>
    <xf numFmtId="0" fontId="11" fillId="0" borderId="14" xfId="0" applyFont="1" applyBorder="1"/>
    <xf numFmtId="0" fontId="12" fillId="0" borderId="14" xfId="0" applyFont="1" applyBorder="1"/>
    <xf numFmtId="164" fontId="11" fillId="0" borderId="14" xfId="1" applyNumberFormat="1" applyFont="1" applyBorder="1"/>
    <xf numFmtId="3" fontId="11" fillId="0" borderId="16" xfId="0" applyNumberFormat="1" applyFont="1" applyBorder="1"/>
    <xf numFmtId="2" fontId="11" fillId="0" borderId="3" xfId="1" applyNumberFormat="1" applyFont="1" applyBorder="1"/>
    <xf numFmtId="49" fontId="11" fillId="0" borderId="25" xfId="0" applyNumberFormat="1" applyFont="1" applyBorder="1" applyAlignment="1">
      <alignment horizontal="center"/>
    </xf>
    <xf numFmtId="0" fontId="11" fillId="0" borderId="3" xfId="0" applyFont="1" applyBorder="1"/>
    <xf numFmtId="0" fontId="12" fillId="0" borderId="3" xfId="0" applyFont="1" applyBorder="1"/>
    <xf numFmtId="164" fontId="11" fillId="0" borderId="3" xfId="1" applyNumberFormat="1" applyFont="1" applyBorder="1"/>
    <xf numFmtId="2" fontId="11" fillId="0" borderId="28" xfId="1" applyNumberFormat="1" applyFont="1" applyBorder="1"/>
    <xf numFmtId="49" fontId="12" fillId="3" borderId="15" xfId="0" applyNumberFormat="1" applyFont="1" applyFill="1" applyBorder="1" applyAlignment="1">
      <alignment horizontal="center"/>
    </xf>
    <xf numFmtId="0" fontId="11" fillId="0" borderId="17" xfId="1" applyNumberFormat="1" applyFont="1" applyBorder="1"/>
    <xf numFmtId="0" fontId="12" fillId="0" borderId="14" xfId="0" applyFont="1" applyBorder="1" applyAlignment="1">
      <alignment horizontal="center"/>
    </xf>
    <xf numFmtId="0" fontId="11" fillId="0" borderId="26" xfId="0" applyFont="1" applyBorder="1"/>
    <xf numFmtId="164" fontId="11" fillId="0" borderId="8" xfId="1" applyNumberFormat="1" applyFont="1" applyBorder="1"/>
    <xf numFmtId="0" fontId="12" fillId="0" borderId="3" xfId="0" applyFont="1" applyBorder="1" applyAlignment="1">
      <alignment horizontal="center"/>
    </xf>
    <xf numFmtId="0" fontId="12" fillId="0" borderId="0" xfId="0" applyFont="1"/>
    <xf numFmtId="49" fontId="11" fillId="0" borderId="10" xfId="0" applyNumberFormat="1" applyFont="1" applyBorder="1" applyAlignment="1">
      <alignment horizontal="center"/>
    </xf>
    <xf numFmtId="0" fontId="11" fillId="0" borderId="5" xfId="0" applyFont="1" applyBorder="1"/>
    <xf numFmtId="0" fontId="12" fillId="0" borderId="5" xfId="0" applyFont="1" applyBorder="1" applyAlignment="1">
      <alignment horizontal="center"/>
    </xf>
    <xf numFmtId="164" fontId="11" fillId="0" borderId="5" xfId="1" applyNumberFormat="1" applyFont="1" applyBorder="1"/>
    <xf numFmtId="2" fontId="11" fillId="0" borderId="5" xfId="1" applyNumberFormat="1" applyFont="1" applyBorder="1"/>
    <xf numFmtId="2" fontId="11" fillId="0" borderId="11" xfId="1" applyNumberFormat="1" applyFont="1" applyBorder="1"/>
    <xf numFmtId="49" fontId="11" fillId="0" borderId="22" xfId="0" applyNumberFormat="1" applyFont="1" applyBorder="1" applyAlignment="1">
      <alignment horizontal="center"/>
    </xf>
    <xf numFmtId="0" fontId="11" fillId="0" borderId="0" xfId="0" applyFont="1" applyBorder="1"/>
    <xf numFmtId="0" fontId="11" fillId="0" borderId="14" xfId="0" applyFont="1" applyFill="1" applyBorder="1"/>
    <xf numFmtId="0" fontId="11" fillId="0" borderId="5" xfId="1" applyNumberFormat="1" applyFont="1" applyBorder="1"/>
    <xf numFmtId="2" fontId="11" fillId="0" borderId="21" xfId="1" applyNumberFormat="1" applyFont="1" applyBorder="1"/>
    <xf numFmtId="17" fontId="12" fillId="2" borderId="22" xfId="0" applyNumberFormat="1" applyFont="1" applyFill="1" applyBorder="1" applyAlignment="1">
      <alignment horizontal="center"/>
    </xf>
    <xf numFmtId="17" fontId="12" fillId="2" borderId="8" xfId="0" applyNumberFormat="1" applyFont="1" applyFill="1" applyBorder="1" applyAlignment="1">
      <alignment horizontal="center"/>
    </xf>
    <xf numFmtId="0" fontId="12" fillId="2" borderId="4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43" fontId="11" fillId="0" borderId="16" xfId="1" applyFont="1" applyBorder="1"/>
    <xf numFmtId="0" fontId="11" fillId="0" borderId="16" xfId="1" applyNumberFormat="1" applyFont="1" applyBorder="1"/>
    <xf numFmtId="49" fontId="11" fillId="0" borderId="12" xfId="0" applyNumberFormat="1" applyFont="1" applyBorder="1" applyAlignment="1">
      <alignment horizontal="center"/>
    </xf>
    <xf numFmtId="0" fontId="11" fillId="0" borderId="18" xfId="0" applyFont="1" applyBorder="1"/>
    <xf numFmtId="165" fontId="11" fillId="0" borderId="23" xfId="1" applyNumberFormat="1" applyFont="1" applyBorder="1"/>
    <xf numFmtId="0" fontId="5" fillId="0" borderId="16" xfId="0" applyFont="1" applyBorder="1"/>
    <xf numFmtId="43" fontId="5" fillId="0" borderId="16" xfId="1" applyFont="1" applyBorder="1"/>
    <xf numFmtId="0" fontId="5" fillId="0" borderId="16" xfId="1" applyNumberFormat="1" applyFont="1" applyBorder="1"/>
    <xf numFmtId="3" fontId="11" fillId="0" borderId="5" xfId="0" applyNumberFormat="1" applyFont="1" applyBorder="1"/>
    <xf numFmtId="0" fontId="12" fillId="4" borderId="16" xfId="0" applyFont="1" applyFill="1" applyBorder="1"/>
    <xf numFmtId="0" fontId="12" fillId="4" borderId="16" xfId="0" applyFont="1" applyFill="1" applyBorder="1" applyAlignment="1">
      <alignment horizontal="center"/>
    </xf>
    <xf numFmtId="3" fontId="12" fillId="4" borderId="16" xfId="0" applyNumberFormat="1" applyFont="1" applyFill="1" applyBorder="1"/>
    <xf numFmtId="164" fontId="12" fillId="4" borderId="16" xfId="1" applyNumberFormat="1" applyFont="1" applyFill="1" applyBorder="1"/>
    <xf numFmtId="2" fontId="12" fillId="4" borderId="16" xfId="1" applyNumberFormat="1" applyFont="1" applyFill="1" applyBorder="1"/>
    <xf numFmtId="2" fontId="12" fillId="4" borderId="17" xfId="1" applyNumberFormat="1" applyFont="1" applyFill="1" applyBorder="1"/>
    <xf numFmtId="49" fontId="12" fillId="4" borderId="25" xfId="0" applyNumberFormat="1" applyFont="1" applyFill="1" applyBorder="1" applyAlignment="1">
      <alignment horizontal="center"/>
    </xf>
    <xf numFmtId="0" fontId="12" fillId="4" borderId="3" xfId="0" applyFont="1" applyFill="1" applyBorder="1"/>
    <xf numFmtId="0" fontId="12" fillId="4" borderId="3" xfId="0" applyFont="1" applyFill="1" applyBorder="1" applyAlignment="1">
      <alignment horizontal="center"/>
    </xf>
    <xf numFmtId="3" fontId="12" fillId="4" borderId="3" xfId="0" applyNumberFormat="1" applyFont="1" applyFill="1" applyBorder="1"/>
    <xf numFmtId="164" fontId="12" fillId="4" borderId="3" xfId="1" applyNumberFormat="1" applyFont="1" applyFill="1" applyBorder="1"/>
    <xf numFmtId="43" fontId="12" fillId="4" borderId="3" xfId="1" applyFont="1" applyFill="1" applyBorder="1"/>
    <xf numFmtId="2" fontId="12" fillId="4" borderId="28" xfId="1" applyNumberFormat="1" applyFont="1" applyFill="1" applyBorder="1"/>
    <xf numFmtId="49" fontId="12" fillId="4" borderId="15" xfId="0" applyNumberFormat="1" applyFont="1" applyFill="1" applyBorder="1" applyAlignment="1">
      <alignment horizontal="center"/>
    </xf>
    <xf numFmtId="164" fontId="12" fillId="4" borderId="16" xfId="1" applyNumberFormat="1" applyFont="1" applyFill="1" applyBorder="1" applyAlignment="1">
      <alignment horizontal="right"/>
    </xf>
    <xf numFmtId="2" fontId="12" fillId="4" borderId="3" xfId="1" applyNumberFormat="1" applyFont="1" applyFill="1" applyBorder="1"/>
    <xf numFmtId="49" fontId="12" fillId="4" borderId="12" xfId="0" applyNumberFormat="1" applyFont="1" applyFill="1" applyBorder="1" applyAlignment="1">
      <alignment horizontal="center"/>
    </xf>
    <xf numFmtId="0" fontId="12" fillId="4" borderId="1" xfId="0" applyFont="1" applyFill="1" applyBorder="1"/>
    <xf numFmtId="0" fontId="12" fillId="4" borderId="19" xfId="0" applyFont="1" applyFill="1" applyBorder="1"/>
    <xf numFmtId="43" fontId="12" fillId="4" borderId="16" xfId="1" applyFont="1" applyFill="1" applyBorder="1"/>
    <xf numFmtId="0" fontId="6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5" fillId="0" borderId="19" xfId="0" applyFont="1" applyBorder="1"/>
    <xf numFmtId="0" fontId="11" fillId="0" borderId="31" xfId="0" applyFont="1" applyBorder="1"/>
    <xf numFmtId="0" fontId="0" fillId="0" borderId="30" xfId="0" applyBorder="1"/>
    <xf numFmtId="0" fontId="0" fillId="0" borderId="3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0" xfId="0" applyFill="1" applyBorder="1" applyAlignment="1">
      <alignment vertical="center"/>
    </xf>
    <xf numFmtId="43" fontId="14" fillId="0" borderId="16" xfId="1" applyFont="1" applyBorder="1"/>
    <xf numFmtId="2" fontId="10" fillId="0" borderId="17" xfId="1" applyNumberFormat="1" applyFont="1" applyBorder="1" applyAlignment="1">
      <alignment horizontal="center" vertical="center"/>
    </xf>
    <xf numFmtId="164" fontId="6" fillId="3" borderId="16" xfId="0" applyNumberFormat="1" applyFont="1" applyFill="1" applyBorder="1"/>
    <xf numFmtId="2" fontId="10" fillId="0" borderId="17" xfId="1" applyNumberFormat="1" applyFont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5" borderId="16" xfId="0" applyFont="1" applyFill="1" applyBorder="1"/>
    <xf numFmtId="3" fontId="6" fillId="5" borderId="16" xfId="0" applyNumberFormat="1" applyFont="1" applyFill="1" applyBorder="1"/>
    <xf numFmtId="0" fontId="6" fillId="2" borderId="24" xfId="0" applyFont="1" applyFill="1" applyBorder="1" applyAlignment="1">
      <alignment horizontal="center"/>
    </xf>
    <xf numFmtId="164" fontId="0" fillId="0" borderId="0" xfId="0" applyNumberFormat="1"/>
    <xf numFmtId="164" fontId="10" fillId="0" borderId="0" xfId="0" applyNumberFormat="1" applyFont="1"/>
    <xf numFmtId="166" fontId="10" fillId="0" borderId="5" xfId="1" applyNumberFormat="1" applyFont="1" applyBorder="1"/>
    <xf numFmtId="3" fontId="6" fillId="3" borderId="18" xfId="0" applyNumberFormat="1" applyFont="1" applyFill="1" applyBorder="1"/>
    <xf numFmtId="49" fontId="6" fillId="0" borderId="2" xfId="0" applyNumberFormat="1" applyFont="1" applyFill="1" applyBorder="1" applyAlignment="1">
      <alignment horizontal="center"/>
    </xf>
    <xf numFmtId="0" fontId="6" fillId="0" borderId="6" xfId="0" applyFont="1" applyFill="1" applyBorder="1"/>
    <xf numFmtId="0" fontId="6" fillId="0" borderId="32" xfId="0" applyFont="1" applyFill="1" applyBorder="1"/>
    <xf numFmtId="0" fontId="6" fillId="0" borderId="18" xfId="0" applyFont="1" applyFill="1" applyBorder="1"/>
    <xf numFmtId="3" fontId="6" fillId="0" borderId="18" xfId="0" applyNumberFormat="1" applyFont="1" applyFill="1" applyBorder="1"/>
    <xf numFmtId="164" fontId="6" fillId="0" borderId="18" xfId="1" applyNumberFormat="1" applyFont="1" applyFill="1" applyBorder="1"/>
    <xf numFmtId="43" fontId="6" fillId="0" borderId="18" xfId="1" applyFont="1" applyFill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1" applyNumberFormat="1" applyFont="1" applyFill="1" applyBorder="1"/>
    <xf numFmtId="2" fontId="6" fillId="0" borderId="0" xfId="1" applyNumberFormat="1" applyFont="1" applyFill="1" applyBorder="1"/>
    <xf numFmtId="164" fontId="10" fillId="0" borderId="0" xfId="0" applyNumberFormat="1" applyFont="1" applyFill="1"/>
    <xf numFmtId="0" fontId="6" fillId="0" borderId="0" xfId="0" applyFont="1" applyFill="1"/>
    <xf numFmtId="3" fontId="0" fillId="0" borderId="0" xfId="0" applyNumberFormat="1"/>
    <xf numFmtId="0" fontId="15" fillId="0" borderId="0" xfId="0" applyFont="1"/>
    <xf numFmtId="0" fontId="18" fillId="0" borderId="0" xfId="0" applyFont="1" applyFill="1"/>
    <xf numFmtId="0" fontId="18" fillId="0" borderId="0" xfId="0" applyFont="1"/>
    <xf numFmtId="0" fontId="15" fillId="6" borderId="0" xfId="0" applyFont="1" applyFill="1"/>
    <xf numFmtId="0" fontId="22" fillId="0" borderId="0" xfId="0" applyFont="1" applyFill="1"/>
    <xf numFmtId="0" fontId="22" fillId="0" borderId="0" xfId="0" applyFont="1"/>
    <xf numFmtId="0" fontId="22" fillId="0" borderId="0" xfId="0" applyFont="1" applyAlignment="1"/>
    <xf numFmtId="0" fontId="21" fillId="8" borderId="12" xfId="0" applyFont="1" applyFill="1" applyBorder="1" applyAlignment="1">
      <alignment horizontal="center" vertical="center"/>
    </xf>
    <xf numFmtId="0" fontId="21" fillId="3" borderId="15" xfId="0" applyFont="1" applyFill="1" applyBorder="1"/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/>
    </xf>
    <xf numFmtId="0" fontId="24" fillId="0" borderId="39" xfId="0" applyFont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4" fillId="0" borderId="40" xfId="0" applyFont="1" applyBorder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/>
    <xf numFmtId="0" fontId="23" fillId="0" borderId="0" xfId="0" applyFont="1" applyBorder="1" applyAlignment="1">
      <alignment vertical="center"/>
    </xf>
    <xf numFmtId="0" fontId="10" fillId="0" borderId="0" xfId="0" applyFont="1" applyAlignment="1">
      <alignment wrapText="1"/>
    </xf>
    <xf numFmtId="0" fontId="21" fillId="8" borderId="8" xfId="0" applyFont="1" applyFill="1" applyBorder="1" applyAlignment="1">
      <alignment horizontal="center" vertical="center"/>
    </xf>
    <xf numFmtId="0" fontId="6" fillId="0" borderId="24" xfId="0" applyFont="1" applyBorder="1" applyAlignment="1">
      <alignment wrapText="1"/>
    </xf>
    <xf numFmtId="0" fontId="21" fillId="3" borderId="12" xfId="0" applyFont="1" applyFill="1" applyBorder="1" applyAlignment="1">
      <alignment horizontal="center" vertical="center"/>
    </xf>
    <xf numFmtId="0" fontId="19" fillId="0" borderId="42" xfId="0" applyFont="1" applyBorder="1" applyAlignment="1">
      <alignment wrapText="1"/>
    </xf>
    <xf numFmtId="0" fontId="19" fillId="0" borderId="43" xfId="0" applyFont="1" applyBorder="1" applyAlignment="1">
      <alignment wrapText="1"/>
    </xf>
    <xf numFmtId="0" fontId="21" fillId="3" borderId="44" xfId="0" applyFont="1" applyFill="1" applyBorder="1"/>
    <xf numFmtId="0" fontId="20" fillId="3" borderId="45" xfId="0" applyFont="1" applyFill="1" applyBorder="1"/>
    <xf numFmtId="0" fontId="27" fillId="0" borderId="0" xfId="0" applyFont="1"/>
    <xf numFmtId="0" fontId="27" fillId="0" borderId="46" xfId="0" applyFont="1" applyBorder="1" applyAlignment="1">
      <alignment horizontal="left" indent="1"/>
    </xf>
    <xf numFmtId="0" fontId="28" fillId="0" borderId="0" xfId="0" applyFont="1"/>
    <xf numFmtId="0" fontId="6" fillId="2" borderId="24" xfId="0" applyFont="1" applyFill="1" applyBorder="1" applyAlignment="1">
      <alignment horizontal="center"/>
    </xf>
    <xf numFmtId="0" fontId="19" fillId="0" borderId="37" xfId="0" applyFont="1" applyBorder="1" applyAlignment="1">
      <alignment vertical="center" wrapText="1"/>
    </xf>
    <xf numFmtId="0" fontId="6" fillId="2" borderId="24" xfId="0" applyFont="1" applyFill="1" applyBorder="1" applyAlignment="1">
      <alignment horizontal="center"/>
    </xf>
    <xf numFmtId="3" fontId="10" fillId="0" borderId="14" xfId="0" applyNumberFormat="1" applyFont="1" applyBorder="1"/>
    <xf numFmtId="43" fontId="0" fillId="0" borderId="0" xfId="1" applyFont="1" applyAlignment="1">
      <alignment vertical="center"/>
    </xf>
    <xf numFmtId="0" fontId="0" fillId="0" borderId="47" xfId="0" applyBorder="1"/>
    <xf numFmtId="43" fontId="0" fillId="0" borderId="47" xfId="1" applyFont="1" applyBorder="1" applyAlignment="1">
      <alignment vertical="center"/>
    </xf>
    <xf numFmtId="43" fontId="6" fillId="0" borderId="0" xfId="1" applyFont="1" applyAlignment="1">
      <alignment vertical="center"/>
    </xf>
    <xf numFmtId="43" fontId="0" fillId="0" borderId="0" xfId="1" applyFont="1" applyBorder="1" applyAlignment="1">
      <alignment vertical="center"/>
    </xf>
    <xf numFmtId="49" fontId="0" fillId="0" borderId="48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3" fontId="0" fillId="0" borderId="33" xfId="1" applyFont="1" applyBorder="1" applyAlignment="1">
      <alignment vertical="center"/>
    </xf>
    <xf numFmtId="43" fontId="0" fillId="0" borderId="41" xfId="1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4" fillId="0" borderId="51" xfId="0" applyFont="1" applyBorder="1" applyAlignment="1">
      <alignment vertical="center" wrapText="1"/>
    </xf>
    <xf numFmtId="0" fontId="0" fillId="0" borderId="49" xfId="0" applyFill="1" applyBorder="1" applyAlignment="1">
      <alignment vertical="center" wrapText="1"/>
    </xf>
    <xf numFmtId="43" fontId="0" fillId="0" borderId="52" xfId="1" applyFont="1" applyBorder="1" applyAlignment="1">
      <alignment vertical="center"/>
    </xf>
    <xf numFmtId="43" fontId="0" fillId="7" borderId="52" xfId="1" applyFont="1" applyFill="1" applyBorder="1" applyAlignment="1">
      <alignment vertical="center"/>
    </xf>
    <xf numFmtId="43" fontId="0" fillId="0" borderId="52" xfId="1" applyFont="1" applyFill="1" applyBorder="1" applyAlignment="1">
      <alignment vertical="center"/>
    </xf>
    <xf numFmtId="0" fontId="0" fillId="7" borderId="52" xfId="0" applyFill="1" applyBorder="1"/>
    <xf numFmtId="167" fontId="0" fillId="0" borderId="52" xfId="1" applyNumberFormat="1" applyFont="1" applyFill="1" applyBorder="1" applyAlignment="1">
      <alignment horizontal="center" vertical="center"/>
    </xf>
    <xf numFmtId="0" fontId="0" fillId="0" borderId="52" xfId="0" applyBorder="1"/>
    <xf numFmtId="43" fontId="0" fillId="0" borderId="48" xfId="1" applyFont="1" applyBorder="1" applyAlignment="1">
      <alignment vertical="center"/>
    </xf>
    <xf numFmtId="43" fontId="0" fillId="0" borderId="49" xfId="1" applyFont="1" applyBorder="1" applyAlignment="1">
      <alignment vertical="center"/>
    </xf>
    <xf numFmtId="43" fontId="30" fillId="0" borderId="49" xfId="1" applyFont="1" applyBorder="1" applyAlignment="1">
      <alignment vertical="center"/>
    </xf>
    <xf numFmtId="43" fontId="0" fillId="0" borderId="49" xfId="1" applyFont="1" applyFill="1" applyBorder="1" applyAlignment="1">
      <alignment vertical="center"/>
    </xf>
    <xf numFmtId="43" fontId="29" fillId="0" borderId="50" xfId="0" applyNumberFormat="1" applyFont="1" applyBorder="1" applyAlignment="1">
      <alignment vertical="center"/>
    </xf>
    <xf numFmtId="43" fontId="0" fillId="0" borderId="27" xfId="1" applyFont="1" applyFill="1" applyBorder="1" applyAlignment="1">
      <alignment vertical="center"/>
    </xf>
    <xf numFmtId="43" fontId="0" fillId="0" borderId="34" xfId="1" applyFont="1" applyFill="1" applyBorder="1" applyAlignment="1">
      <alignment vertical="center"/>
    </xf>
    <xf numFmtId="0" fontId="0" fillId="0" borderId="49" xfId="0" applyBorder="1" applyAlignment="1">
      <alignment wrapText="1"/>
    </xf>
    <xf numFmtId="0" fontId="0" fillId="0" borderId="36" xfId="0" applyFill="1" applyBorder="1" applyAlignment="1">
      <alignment vertical="center" wrapText="1"/>
    </xf>
    <xf numFmtId="167" fontId="0" fillId="0" borderId="53" xfId="1" applyNumberFormat="1" applyFont="1" applyFill="1" applyBorder="1" applyAlignment="1">
      <alignment horizontal="center" vertical="center"/>
    </xf>
    <xf numFmtId="43" fontId="0" fillId="0" borderId="36" xfId="1" applyFont="1" applyBorder="1" applyAlignment="1">
      <alignment vertical="center"/>
    </xf>
    <xf numFmtId="0" fontId="0" fillId="0" borderId="35" xfId="0" applyBorder="1"/>
    <xf numFmtId="0" fontId="21" fillId="9" borderId="12" xfId="0" applyFont="1" applyFill="1" applyBorder="1" applyAlignment="1">
      <alignment horizontal="center" vertical="center"/>
    </xf>
    <xf numFmtId="43" fontId="29" fillId="0" borderId="54" xfId="0" applyNumberFormat="1" applyFont="1" applyBorder="1" applyAlignment="1">
      <alignment vertical="center"/>
    </xf>
    <xf numFmtId="43" fontId="29" fillId="0" borderId="1" xfId="0" applyNumberFormat="1" applyFont="1" applyBorder="1" applyAlignment="1">
      <alignment vertical="center"/>
    </xf>
    <xf numFmtId="0" fontId="0" fillId="0" borderId="53" xfId="0" applyBorder="1"/>
    <xf numFmtId="43" fontId="29" fillId="0" borderId="12" xfId="0" applyNumberFormat="1" applyFont="1" applyBorder="1" applyAlignment="1">
      <alignment vertical="center"/>
    </xf>
    <xf numFmtId="0" fontId="0" fillId="0" borderId="49" xfId="0" applyBorder="1"/>
    <xf numFmtId="0" fontId="0" fillId="0" borderId="24" xfId="0" applyBorder="1"/>
    <xf numFmtId="43" fontId="29" fillId="0" borderId="13" xfId="0" applyNumberFormat="1" applyFont="1" applyBorder="1" applyAlignment="1">
      <alignment vertical="center"/>
    </xf>
    <xf numFmtId="0" fontId="31" fillId="0" borderId="40" xfId="0" applyFont="1" applyBorder="1" applyAlignment="1">
      <alignment vertical="center" wrapText="1"/>
    </xf>
    <xf numFmtId="0" fontId="0" fillId="0" borderId="50" xfId="0" applyBorder="1"/>
    <xf numFmtId="43" fontId="22" fillId="0" borderId="52" xfId="1" applyFont="1" applyBorder="1" applyAlignment="1">
      <alignment vertical="center"/>
    </xf>
    <xf numFmtId="43" fontId="22" fillId="0" borderId="49" xfId="1" applyFont="1" applyBorder="1" applyAlignment="1">
      <alignment vertical="center"/>
    </xf>
    <xf numFmtId="43" fontId="22" fillId="0" borderId="47" xfId="1" applyFont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47" xfId="0" applyBorder="1" applyAlignment="1">
      <alignment vertical="center"/>
    </xf>
    <xf numFmtId="43" fontId="0" fillId="0" borderId="30" xfId="1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3" fontId="0" fillId="0" borderId="30" xfId="0" applyNumberFormat="1" applyBorder="1"/>
    <xf numFmtId="43" fontId="0" fillId="0" borderId="0" xfId="0" applyNumberFormat="1"/>
    <xf numFmtId="0" fontId="6" fillId="2" borderId="24" xfId="0" applyFont="1" applyFill="1" applyBorder="1" applyAlignment="1">
      <alignment horizontal="center"/>
    </xf>
    <xf numFmtId="164" fontId="6" fillId="0" borderId="0" xfId="0" applyNumberFormat="1" applyFont="1"/>
    <xf numFmtId="43" fontId="0" fillId="0" borderId="0" xfId="1" applyFont="1"/>
    <xf numFmtId="0" fontId="6" fillId="2" borderId="24" xfId="0" applyFont="1" applyFill="1" applyBorder="1" applyAlignment="1">
      <alignment horizontal="center"/>
    </xf>
    <xf numFmtId="43" fontId="0" fillId="2" borderId="48" xfId="1" applyFont="1" applyFill="1" applyBorder="1" applyAlignment="1">
      <alignment vertical="center"/>
    </xf>
    <xf numFmtId="43" fontId="0" fillId="2" borderId="49" xfId="1" applyFont="1" applyFill="1" applyBorder="1" applyAlignment="1">
      <alignment vertical="center"/>
    </xf>
    <xf numFmtId="43" fontId="0" fillId="10" borderId="30" xfId="1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43" fontId="2" fillId="0" borderId="30" xfId="1" applyFont="1" applyBorder="1" applyAlignment="1">
      <alignment vertical="center"/>
    </xf>
    <xf numFmtId="43" fontId="2" fillId="0" borderId="30" xfId="0" applyNumberFormat="1" applyFont="1" applyBorder="1"/>
    <xf numFmtId="43" fontId="2" fillId="0" borderId="0" xfId="0" applyNumberFormat="1" applyFont="1"/>
    <xf numFmtId="43" fontId="0" fillId="0" borderId="30" xfId="1" applyFont="1" applyFill="1" applyBorder="1" applyAlignment="1">
      <alignment vertical="center"/>
    </xf>
    <xf numFmtId="0" fontId="0" fillId="10" borderId="30" xfId="0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3" fontId="10" fillId="0" borderId="54" xfId="0" applyNumberFormat="1" applyFont="1" applyBorder="1"/>
    <xf numFmtId="164" fontId="10" fillId="0" borderId="19" xfId="1" applyNumberFormat="1" applyFont="1" applyBorder="1"/>
    <xf numFmtId="0" fontId="10" fillId="0" borderId="1" xfId="0" applyFont="1" applyBorder="1"/>
    <xf numFmtId="0" fontId="6" fillId="2" borderId="2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33" fillId="0" borderId="0" xfId="0" applyFont="1" applyAlignment="1">
      <alignment vertical="center" wrapText="1"/>
    </xf>
    <xf numFmtId="3" fontId="10" fillId="0" borderId="3" xfId="0" applyNumberFormat="1" applyFont="1" applyBorder="1"/>
    <xf numFmtId="164" fontId="14" fillId="0" borderId="16" xfId="1" applyNumberFormat="1" applyFont="1" applyBorder="1"/>
    <xf numFmtId="3" fontId="7" fillId="0" borderId="0" xfId="0" applyNumberFormat="1" applyFont="1"/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2" borderId="2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2" fillId="0" borderId="12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164" fontId="20" fillId="3" borderId="12" xfId="1" applyNumberFormat="1" applyFont="1" applyFill="1" applyBorder="1" applyAlignment="1">
      <alignment horizontal="center" vertical="center"/>
    </xf>
    <xf numFmtId="164" fontId="20" fillId="3" borderId="18" xfId="1" applyNumberFormat="1" applyFont="1" applyFill="1" applyBorder="1" applyAlignment="1">
      <alignment horizontal="center" vertical="center"/>
    </xf>
    <xf numFmtId="164" fontId="20" fillId="3" borderId="13" xfId="1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43" fontId="2" fillId="7" borderId="8" xfId="1" applyFont="1" applyFill="1" applyBorder="1" applyAlignment="1">
      <alignment horizontal="center" vertical="center"/>
    </xf>
    <xf numFmtId="43" fontId="2" fillId="7" borderId="9" xfId="1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192246</xdr:colOff>
      <xdr:row>1</xdr:row>
      <xdr:rowOff>10064</xdr:rowOff>
    </xdr:from>
    <xdr:ext cx="4503285" cy="781111"/>
    <xdr:sp macro="" textlink="">
      <xdr:nvSpPr>
        <xdr:cNvPr id="3" name="Rectangle 2"/>
        <xdr:cNvSpPr/>
      </xdr:nvSpPr>
      <xdr:spPr>
        <a:xfrm>
          <a:off x="5009175" y="282207"/>
          <a:ext cx="4503285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5824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5824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5824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5824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5824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408215</xdr:colOff>
      <xdr:row>0</xdr:row>
      <xdr:rowOff>299356</xdr:rowOff>
    </xdr:from>
    <xdr:to>
      <xdr:col>3</xdr:col>
      <xdr:colOff>979715</xdr:colOff>
      <xdr:row>3</xdr:row>
      <xdr:rowOff>81642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3644" y="299356"/>
          <a:ext cx="4884964" cy="43542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40821</xdr:rowOff>
    </xdr:from>
    <xdr:to>
      <xdr:col>1</xdr:col>
      <xdr:colOff>530678</xdr:colOff>
      <xdr:row>4</xdr:row>
      <xdr:rowOff>68035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821"/>
          <a:ext cx="966107" cy="1034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54429</xdr:rowOff>
    </xdr:from>
    <xdr:to>
      <xdr:col>11</xdr:col>
      <xdr:colOff>688660</xdr:colOff>
      <xdr:row>6</xdr:row>
      <xdr:rowOff>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11036"/>
          <a:ext cx="13220839" cy="9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192246</xdr:colOff>
      <xdr:row>1</xdr:row>
      <xdr:rowOff>10064</xdr:rowOff>
    </xdr:from>
    <xdr:ext cx="4503285" cy="781111"/>
    <xdr:sp macro="" textlink="">
      <xdr:nvSpPr>
        <xdr:cNvPr id="2" name="Rectangle 1"/>
        <xdr:cNvSpPr/>
      </xdr:nvSpPr>
      <xdr:spPr>
        <a:xfrm>
          <a:off x="5011896" y="276764"/>
          <a:ext cx="4503285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rgbClr val="C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rgbClr val="C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</a:t>
          </a:r>
          <a:r>
            <a:rPr lang="fr-FR" sz="4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DE BORD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192246</xdr:colOff>
      <xdr:row>1</xdr:row>
      <xdr:rowOff>10064</xdr:rowOff>
    </xdr:from>
    <xdr:ext cx="4503285" cy="781111"/>
    <xdr:sp macro="" textlink="">
      <xdr:nvSpPr>
        <xdr:cNvPr id="2" name="Rectangle 1"/>
        <xdr:cNvSpPr/>
      </xdr:nvSpPr>
      <xdr:spPr>
        <a:xfrm>
          <a:off x="5011896" y="276764"/>
          <a:ext cx="4503285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192246</xdr:colOff>
      <xdr:row>1</xdr:row>
      <xdr:rowOff>10064</xdr:rowOff>
    </xdr:from>
    <xdr:ext cx="4503285" cy="781111"/>
    <xdr:sp macro="" textlink="">
      <xdr:nvSpPr>
        <xdr:cNvPr id="2" name="Rectangle 1"/>
        <xdr:cNvSpPr/>
      </xdr:nvSpPr>
      <xdr:spPr>
        <a:xfrm>
          <a:off x="5011896" y="276764"/>
          <a:ext cx="4503285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  <xdr:oneCellAnchor>
    <xdr:from>
      <xdr:col>3</xdr:col>
      <xdr:colOff>192246</xdr:colOff>
      <xdr:row>1</xdr:row>
      <xdr:rowOff>10064</xdr:rowOff>
    </xdr:from>
    <xdr:ext cx="4503285" cy="781111"/>
    <xdr:sp macro="" textlink="">
      <xdr:nvSpPr>
        <xdr:cNvPr id="3" name="Rectangle 2"/>
        <xdr:cNvSpPr/>
      </xdr:nvSpPr>
      <xdr:spPr>
        <a:xfrm>
          <a:off x="5009175" y="282207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3103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5824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5824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5824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56174</xdr:colOff>
      <xdr:row>0</xdr:row>
      <xdr:rowOff>50886</xdr:rowOff>
    </xdr:from>
    <xdr:ext cx="4503285" cy="781111"/>
    <xdr:sp macro="" textlink="">
      <xdr:nvSpPr>
        <xdr:cNvPr id="2" name="Rectangle 1"/>
        <xdr:cNvSpPr/>
      </xdr:nvSpPr>
      <xdr:spPr>
        <a:xfrm>
          <a:off x="4875824" y="50886"/>
          <a:ext cx="450328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fr-FR" sz="40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TABLEAU</a:t>
          </a:r>
          <a:r>
            <a:rPr lang="fr-FR" sz="4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DE BORD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47"/>
  <sheetViews>
    <sheetView topLeftCell="A13" zoomScale="70" zoomScaleNormal="70" workbookViewId="0">
      <selection activeCell="G39" sqref="G39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6.5703125" customWidth="1"/>
    <col min="8" max="8" width="13.5703125" customWidth="1"/>
    <col min="9" max="9" width="13.140625" customWidth="1"/>
    <col min="10" max="10" width="14.42578125" customWidth="1"/>
    <col min="11" max="11" width="18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78</v>
      </c>
      <c r="B2" s="5"/>
    </row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26.25" x14ac:dyDescent="0.4">
      <c r="C5" s="302" t="s">
        <v>166</v>
      </c>
      <c r="D5" s="302"/>
      <c r="E5" s="302"/>
      <c r="F5" s="302"/>
      <c r="G5" s="302"/>
      <c r="H5" s="302"/>
      <c r="I5" s="302"/>
    </row>
    <row r="6" spans="1:12" ht="1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10" t="s">
        <v>47</v>
      </c>
      <c r="D8" s="12">
        <v>44197</v>
      </c>
      <c r="E8" s="12">
        <v>44562</v>
      </c>
      <c r="F8" s="13" t="s">
        <v>50</v>
      </c>
      <c r="G8" s="14" t="s">
        <v>62</v>
      </c>
      <c r="H8" s="12">
        <v>44197</v>
      </c>
      <c r="I8" s="12">
        <v>44562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>E9-D9</f>
        <v>0</v>
      </c>
      <c r="G9" s="28" t="e">
        <f>(F9/D9)*100</f>
        <v>#DIV/0!</v>
      </c>
      <c r="H9" s="17">
        <f>D9</f>
        <v>0</v>
      </c>
      <c r="I9" s="17">
        <f>E9</f>
        <v>0</v>
      </c>
      <c r="J9" s="19">
        <f>I9-H9</f>
        <v>0</v>
      </c>
      <c r="K9" s="21" t="e">
        <f t="shared" ref="K9:K14" si="0"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23">
        <v>285</v>
      </c>
      <c r="E10" s="283">
        <v>5118</v>
      </c>
      <c r="F10" s="19">
        <f>E10-D10</f>
        <v>4833</v>
      </c>
      <c r="G10" s="20">
        <f>(F10/D10)*100</f>
        <v>1695.7894736842106</v>
      </c>
      <c r="H10" s="19">
        <f t="shared" ref="H10:H24" si="1">D10</f>
        <v>285</v>
      </c>
      <c r="I10" s="17">
        <f>E10</f>
        <v>5118</v>
      </c>
      <c r="J10" s="19">
        <f t="shared" ref="J10:J15" si="2">I10-H10</f>
        <v>4833</v>
      </c>
      <c r="K10" s="26">
        <f t="shared" si="0"/>
        <v>16.957894736842107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7">
        <v>2135</v>
      </c>
      <c r="E11" s="279">
        <f>15425</f>
        <v>15425</v>
      </c>
      <c r="F11" s="278">
        <f>E10-D11</f>
        <v>2983</v>
      </c>
      <c r="G11" s="28">
        <f>(F11/D11)*100</f>
        <v>139.71896955503513</v>
      </c>
      <c r="H11" s="19">
        <f>D11</f>
        <v>2135</v>
      </c>
      <c r="I11" s="17">
        <f>E10</f>
        <v>5118</v>
      </c>
      <c r="J11" s="19">
        <f t="shared" si="2"/>
        <v>2983</v>
      </c>
      <c r="K11" s="21">
        <f t="shared" si="0"/>
        <v>1.3971896955503513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>E12-D12</f>
        <v>0</v>
      </c>
      <c r="G12" s="20" t="e">
        <f>(F12/D12)*100</f>
        <v>#DIV/0!</v>
      </c>
      <c r="H12" s="70">
        <f t="shared" si="1"/>
        <v>0</v>
      </c>
      <c r="I12" s="17">
        <f t="shared" ref="I12:I29" si="3">E12</f>
        <v>0</v>
      </c>
      <c r="J12" s="19">
        <f t="shared" si="2"/>
        <v>0</v>
      </c>
      <c r="K12" s="26" t="e">
        <f t="shared" si="0"/>
        <v>#DIV/0!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>
        <v>11</v>
      </c>
      <c r="E13" s="30">
        <v>40</v>
      </c>
      <c r="F13" s="32">
        <f>E13-D13</f>
        <v>29</v>
      </c>
      <c r="G13" s="28">
        <f>(F13/D13)*100</f>
        <v>263.63636363636363</v>
      </c>
      <c r="H13" s="17">
        <f t="shared" si="1"/>
        <v>11</v>
      </c>
      <c r="I13" s="17">
        <f t="shared" si="3"/>
        <v>40</v>
      </c>
      <c r="J13" s="19">
        <f t="shared" si="2"/>
        <v>29</v>
      </c>
      <c r="K13" s="33">
        <f t="shared" si="0"/>
        <v>2.6363636363636362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2431</v>
      </c>
      <c r="E14" s="37">
        <f>E9+E10+E11+E12+E13</f>
        <v>20583</v>
      </c>
      <c r="F14" s="38">
        <f t="shared" ref="F14:F28" si="4">E14-D14</f>
        <v>18152</v>
      </c>
      <c r="G14" s="53">
        <f>F14/D14</f>
        <v>7.466886055121349</v>
      </c>
      <c r="H14" s="35">
        <f>SUM(H9:H13)</f>
        <v>2431</v>
      </c>
      <c r="I14" s="37">
        <f>E14</f>
        <v>20583</v>
      </c>
      <c r="J14" s="38"/>
      <c r="K14" s="39">
        <f t="shared" si="0"/>
        <v>0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>
        <v>2178</v>
      </c>
      <c r="E15" s="27">
        <v>-1397</v>
      </c>
      <c r="F15" s="19">
        <f t="shared" si="4"/>
        <v>-3575</v>
      </c>
      <c r="G15" s="40">
        <f>(F15/D15)*100</f>
        <v>-164.14141414141415</v>
      </c>
      <c r="H15" s="17">
        <f t="shared" si="1"/>
        <v>2178</v>
      </c>
      <c r="I15" s="17">
        <f t="shared" si="3"/>
        <v>-1397</v>
      </c>
      <c r="J15" s="19">
        <f t="shared" si="2"/>
        <v>-3575</v>
      </c>
      <c r="K15" s="21">
        <f t="shared" ref="K15:K30" si="5">J15/H15</f>
        <v>-1.6414141414141414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/>
      <c r="E16" s="17"/>
      <c r="F16" s="19">
        <f t="shared" si="4"/>
        <v>0</v>
      </c>
      <c r="G16" s="40" t="e">
        <f>(F16/D16)*100</f>
        <v>#DIV/0!</v>
      </c>
      <c r="H16" s="19">
        <f t="shared" si="1"/>
        <v>0</v>
      </c>
      <c r="I16" s="17">
        <f t="shared" si="3"/>
        <v>0</v>
      </c>
      <c r="J16" s="19">
        <f t="shared" ref="J16:J30" si="6">I16-H16</f>
        <v>0</v>
      </c>
      <c r="K16" s="21" t="e">
        <f t="shared" si="5"/>
        <v>#DIV/0!</v>
      </c>
    </row>
    <row r="17" spans="1:11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4"/>
        <v>0</v>
      </c>
      <c r="G17" s="40" t="e">
        <f>(F17/D17)*100</f>
        <v>#DIV/0!</v>
      </c>
      <c r="H17" s="70">
        <f t="shared" si="1"/>
        <v>0</v>
      </c>
      <c r="I17" s="17">
        <f t="shared" si="3"/>
        <v>0</v>
      </c>
      <c r="J17" s="42">
        <f t="shared" si="6"/>
        <v>0</v>
      </c>
      <c r="K17" s="43" t="e">
        <f t="shared" si="5"/>
        <v>#DIV/0!</v>
      </c>
    </row>
    <row r="18" spans="1:11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4609</v>
      </c>
      <c r="E18" s="47">
        <f>E14+E15+E16+E17</f>
        <v>19186</v>
      </c>
      <c r="F18" s="48">
        <f t="shared" si="4"/>
        <v>14577</v>
      </c>
      <c r="G18" s="49">
        <f>F18/D18</f>
        <v>3.1627251030592318</v>
      </c>
      <c r="H18" s="45">
        <f>H14+H15+H16+H17</f>
        <v>4609</v>
      </c>
      <c r="I18" s="37">
        <f>E18</f>
        <v>19186</v>
      </c>
      <c r="J18" s="48">
        <f t="shared" si="6"/>
        <v>14577</v>
      </c>
      <c r="K18" s="50">
        <f t="shared" si="5"/>
        <v>3.1627251030592318</v>
      </c>
    </row>
    <row r="19" spans="1:11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>
        <v>1849</v>
      </c>
      <c r="E19" s="17">
        <f>E20+E21</f>
        <v>3683</v>
      </c>
      <c r="F19" s="19">
        <f t="shared" si="4"/>
        <v>1834</v>
      </c>
      <c r="G19" s="40">
        <f t="shared" ref="G19:G29" si="7">(F19/D19)*100</f>
        <v>99.18875067604111</v>
      </c>
      <c r="H19" s="17">
        <f t="shared" si="1"/>
        <v>1849</v>
      </c>
      <c r="I19" s="17">
        <f t="shared" si="3"/>
        <v>3683</v>
      </c>
      <c r="J19" s="19">
        <f t="shared" si="6"/>
        <v>1834</v>
      </c>
      <c r="K19" s="21">
        <f t="shared" si="5"/>
        <v>0.99188750676041104</v>
      </c>
    </row>
    <row r="20" spans="1:11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4"/>
        <v>0</v>
      </c>
      <c r="G20" s="40" t="e">
        <f t="shared" si="7"/>
        <v>#DIV/0!</v>
      </c>
      <c r="H20" s="17">
        <f t="shared" si="1"/>
        <v>0</v>
      </c>
      <c r="I20" s="17">
        <f t="shared" si="3"/>
        <v>0</v>
      </c>
      <c r="J20" s="19">
        <f t="shared" si="6"/>
        <v>0</v>
      </c>
      <c r="K20" s="21" t="e">
        <f t="shared" si="5"/>
        <v>#DIV/0!</v>
      </c>
    </row>
    <row r="21" spans="1:11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>
        <v>1849</v>
      </c>
      <c r="E21" s="17">
        <f>3288+374+21</f>
        <v>3683</v>
      </c>
      <c r="F21" s="19">
        <f t="shared" si="4"/>
        <v>1834</v>
      </c>
      <c r="G21" s="40">
        <f t="shared" si="7"/>
        <v>99.18875067604111</v>
      </c>
      <c r="H21" s="17">
        <f t="shared" si="1"/>
        <v>1849</v>
      </c>
      <c r="I21" s="17">
        <f t="shared" si="3"/>
        <v>3683</v>
      </c>
      <c r="J21" s="19">
        <f t="shared" si="6"/>
        <v>1834</v>
      </c>
      <c r="K21" s="21">
        <f t="shared" si="5"/>
        <v>0.99188750676041104</v>
      </c>
    </row>
    <row r="22" spans="1:11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4"/>
        <v>0</v>
      </c>
      <c r="G22" s="40" t="e">
        <f t="shared" si="7"/>
        <v>#DIV/0!</v>
      </c>
      <c r="H22" s="70">
        <f t="shared" si="1"/>
        <v>0</v>
      </c>
      <c r="I22" s="17">
        <f t="shared" si="3"/>
        <v>0</v>
      </c>
      <c r="J22" s="19">
        <f t="shared" si="6"/>
        <v>0</v>
      </c>
      <c r="K22" s="21" t="e">
        <f t="shared" si="5"/>
        <v>#DIV/0!</v>
      </c>
    </row>
    <row r="23" spans="1:11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>
        <v>305</v>
      </c>
      <c r="E23" s="17">
        <f>71+92</f>
        <v>163</v>
      </c>
      <c r="F23" s="19">
        <f t="shared" si="4"/>
        <v>-142</v>
      </c>
      <c r="G23" s="40">
        <f t="shared" si="7"/>
        <v>-46.557377049180324</v>
      </c>
      <c r="H23" s="17">
        <f t="shared" si="1"/>
        <v>305</v>
      </c>
      <c r="I23" s="17">
        <f t="shared" si="3"/>
        <v>163</v>
      </c>
      <c r="J23" s="19">
        <f t="shared" si="6"/>
        <v>-142</v>
      </c>
      <c r="K23" s="21">
        <f t="shared" si="5"/>
        <v>-0.46557377049180326</v>
      </c>
    </row>
    <row r="24" spans="1:11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>
        <v>154</v>
      </c>
      <c r="E24" s="30">
        <v>14</v>
      </c>
      <c r="F24" s="32">
        <f t="shared" si="4"/>
        <v>-140</v>
      </c>
      <c r="G24" s="40">
        <f t="shared" si="7"/>
        <v>-90.909090909090907</v>
      </c>
      <c r="H24" s="17">
        <f t="shared" si="1"/>
        <v>154</v>
      </c>
      <c r="I24" s="17">
        <f t="shared" si="3"/>
        <v>14</v>
      </c>
      <c r="J24" s="32">
        <f t="shared" si="6"/>
        <v>-140</v>
      </c>
      <c r="K24" s="33">
        <f t="shared" si="5"/>
        <v>-0.90909090909090906</v>
      </c>
    </row>
    <row r="25" spans="1:11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2308</v>
      </c>
      <c r="E25" s="35">
        <f>E19+E23+E24</f>
        <v>3860</v>
      </c>
      <c r="F25" s="38">
        <f t="shared" si="4"/>
        <v>1552</v>
      </c>
      <c r="G25" s="52">
        <f t="shared" si="7"/>
        <v>67.244367417677637</v>
      </c>
      <c r="H25" s="35">
        <f>H19+H23+H24</f>
        <v>2308</v>
      </c>
      <c r="I25" s="35">
        <f t="shared" si="3"/>
        <v>3860</v>
      </c>
      <c r="J25" s="38">
        <f t="shared" si="6"/>
        <v>1552</v>
      </c>
      <c r="K25" s="39">
        <f t="shared" si="5"/>
        <v>0.67244367417677642</v>
      </c>
    </row>
    <row r="26" spans="1:11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2301</v>
      </c>
      <c r="E26" s="37">
        <f>E18-E25</f>
        <v>15326</v>
      </c>
      <c r="F26" s="38">
        <f t="shared" si="4"/>
        <v>13025</v>
      </c>
      <c r="G26" s="53">
        <f t="shared" si="7"/>
        <v>566.05823554976098</v>
      </c>
      <c r="H26" s="35">
        <f>H18-H25</f>
        <v>2301</v>
      </c>
      <c r="I26" s="35">
        <f t="shared" si="3"/>
        <v>15326</v>
      </c>
      <c r="J26" s="38">
        <f t="shared" si="6"/>
        <v>13025</v>
      </c>
      <c r="K26" s="39">
        <f t="shared" si="5"/>
        <v>5.6605823554976098</v>
      </c>
    </row>
    <row r="27" spans="1:11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>
        <v>8645</v>
      </c>
      <c r="E27" s="55">
        <v>9625</v>
      </c>
      <c r="F27" s="57">
        <f>E27-D27</f>
        <v>980</v>
      </c>
      <c r="G27" s="58">
        <f t="shared" si="7"/>
        <v>11.336032388663968</v>
      </c>
      <c r="H27" s="17">
        <f>D27</f>
        <v>8645</v>
      </c>
      <c r="I27" s="17">
        <f>E27</f>
        <v>9625</v>
      </c>
      <c r="J27" s="57">
        <f t="shared" si="6"/>
        <v>980</v>
      </c>
      <c r="K27" s="59">
        <f t="shared" si="5"/>
        <v>0.11336032388663968</v>
      </c>
    </row>
    <row r="28" spans="1:11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/>
      <c r="E28" s="23"/>
      <c r="F28" s="25">
        <f t="shared" si="4"/>
        <v>0</v>
      </c>
      <c r="G28" s="62" t="e">
        <f t="shared" si="7"/>
        <v>#DIV/0!</v>
      </c>
      <c r="H28" s="70">
        <f>D28</f>
        <v>0</v>
      </c>
      <c r="I28" s="17">
        <f t="shared" si="3"/>
        <v>0</v>
      </c>
      <c r="J28" s="25">
        <f t="shared" si="6"/>
        <v>0</v>
      </c>
      <c r="K28" s="26" t="e">
        <f t="shared" si="5"/>
        <v>#DIV/0!</v>
      </c>
    </row>
    <row r="29" spans="1:11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/>
      <c r="E29" s="17">
        <v>411</v>
      </c>
      <c r="F29" s="19">
        <f>E29-D29</f>
        <v>411</v>
      </c>
      <c r="G29" s="58" t="e">
        <f t="shared" si="7"/>
        <v>#DIV/0!</v>
      </c>
      <c r="H29" s="70">
        <f>D29</f>
        <v>0</v>
      </c>
      <c r="I29" s="17">
        <f t="shared" si="3"/>
        <v>411</v>
      </c>
      <c r="J29" s="19">
        <f t="shared" si="6"/>
        <v>411</v>
      </c>
      <c r="K29" s="21" t="e">
        <f t="shared" si="5"/>
        <v>#DIV/0!</v>
      </c>
    </row>
    <row r="30" spans="1:11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</f>
        <v>-6344</v>
      </c>
      <c r="E30" s="37">
        <f>E26-E27-E29</f>
        <v>5290</v>
      </c>
      <c r="F30" s="38">
        <f>E30-D30</f>
        <v>11634</v>
      </c>
      <c r="G30" s="66">
        <f>F30/D30</f>
        <v>-1.8338587641866331</v>
      </c>
      <c r="H30" s="152">
        <f>H26-H27-H29</f>
        <v>-6344</v>
      </c>
      <c r="I30" s="37">
        <f>E30</f>
        <v>5290</v>
      </c>
      <c r="J30" s="38">
        <f t="shared" si="6"/>
        <v>11634</v>
      </c>
      <c r="K30" s="39">
        <f t="shared" si="5"/>
        <v>-1.8338587641866331</v>
      </c>
    </row>
    <row r="31" spans="1:11" s="9" customFormat="1" ht="15.75" customHeight="1" thickBot="1" x14ac:dyDescent="0.35">
      <c r="A31" s="286" t="s">
        <v>45</v>
      </c>
      <c r="B31" s="287"/>
      <c r="C31" s="8" t="s">
        <v>46</v>
      </c>
      <c r="D31" s="290" t="s">
        <v>51</v>
      </c>
      <c r="E31" s="291"/>
      <c r="F31" s="292" t="s">
        <v>49</v>
      </c>
      <c r="G31" s="293"/>
    </row>
    <row r="32" spans="1:11" s="9" customFormat="1" ht="16.5" customHeight="1" x14ac:dyDescent="0.3">
      <c r="A32" s="288"/>
      <c r="B32" s="289"/>
      <c r="C32" s="296" t="s">
        <v>47</v>
      </c>
      <c r="D32" s="67" t="s">
        <v>84</v>
      </c>
      <c r="E32" s="67" t="s">
        <v>61</v>
      </c>
      <c r="F32" s="288" t="s">
        <v>50</v>
      </c>
      <c r="G32" s="298" t="s">
        <v>62</v>
      </c>
    </row>
    <row r="33" spans="1:10" s="9" customFormat="1" ht="15.75" customHeight="1" thickBot="1" x14ac:dyDescent="0.35">
      <c r="A33" s="294"/>
      <c r="B33" s="295"/>
      <c r="C33" s="297"/>
      <c r="D33" s="68">
        <v>2021</v>
      </c>
      <c r="E33" s="69">
        <v>2022</v>
      </c>
      <c r="F33" s="294"/>
      <c r="G33" s="299"/>
      <c r="J33" s="9" t="s">
        <v>167</v>
      </c>
    </row>
    <row r="34" spans="1:10" s="9" customFormat="1" ht="20.100000000000001" customHeight="1" thickBot="1" x14ac:dyDescent="0.35">
      <c r="A34" s="22" t="s">
        <v>52</v>
      </c>
      <c r="B34" s="23" t="s">
        <v>53</v>
      </c>
      <c r="C34" s="18">
        <v>411</v>
      </c>
      <c r="D34" s="81">
        <v>172057</v>
      </c>
      <c r="E34" s="23">
        <f>6467</f>
        <v>6467</v>
      </c>
      <c r="F34" s="284">
        <f>E34-D34</f>
        <v>-165590</v>
      </c>
      <c r="G34" s="151">
        <f>F34/D34</f>
        <v>-0.96241361874262599</v>
      </c>
    </row>
    <row r="35" spans="1:10" s="9" customFormat="1" ht="20.100000000000001" customHeight="1" thickBot="1" x14ac:dyDescent="0.35">
      <c r="A35" s="71" t="s">
        <v>54</v>
      </c>
      <c r="B35" s="72" t="s">
        <v>55</v>
      </c>
      <c r="C35" s="18"/>
      <c r="D35" s="145">
        <v>191</v>
      </c>
      <c r="E35" s="17">
        <v>188</v>
      </c>
      <c r="F35" s="70">
        <f>E35-D35</f>
        <v>-3</v>
      </c>
      <c r="G35" s="151">
        <f>F35/D35</f>
        <v>-1.5706806282722512E-2</v>
      </c>
    </row>
    <row r="36" spans="1:10" s="9" customFormat="1" ht="20.100000000000001" customHeight="1" thickBot="1" x14ac:dyDescent="0.4">
      <c r="A36" s="16"/>
      <c r="B36" s="17" t="s">
        <v>56</v>
      </c>
      <c r="C36" s="18"/>
      <c r="D36" s="144">
        <v>103</v>
      </c>
      <c r="E36" s="17">
        <v>104</v>
      </c>
      <c r="F36" s="70">
        <f>E36-D36</f>
        <v>1</v>
      </c>
      <c r="G36" s="153">
        <f>F36/D36</f>
        <v>9.7087378640776691E-3</v>
      </c>
    </row>
    <row r="37" spans="1:10" s="9" customFormat="1" ht="18.75" x14ac:dyDescent="0.3">
      <c r="C37" s="6"/>
    </row>
    <row r="38" spans="1:10" s="9" customFormat="1" ht="18.75" x14ac:dyDescent="0.3">
      <c r="C38" s="6"/>
    </row>
    <row r="47" spans="1:10" x14ac:dyDescent="0.25">
      <c r="B47" t="s">
        <v>178</v>
      </c>
    </row>
  </sheetData>
  <mergeCells count="14">
    <mergeCell ref="J6:K6"/>
    <mergeCell ref="C4:H4"/>
    <mergeCell ref="C5:I5"/>
    <mergeCell ref="H7:I7"/>
    <mergeCell ref="J7:K7"/>
    <mergeCell ref="A7:B8"/>
    <mergeCell ref="D7:E7"/>
    <mergeCell ref="F7:G7"/>
    <mergeCell ref="D31:E31"/>
    <mergeCell ref="F31:G31"/>
    <mergeCell ref="A31:B33"/>
    <mergeCell ref="C32:C33"/>
    <mergeCell ref="F32:F33"/>
    <mergeCell ref="G32:G33"/>
  </mergeCells>
  <pageMargins left="0.53" right="0.52" top="0.75" bottom="0.75" header="0.3" footer="0.3"/>
  <pageSetup paperSize="9" scale="70" orientation="landscape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L40"/>
  <sheetViews>
    <sheetView topLeftCell="A13" zoomScale="70" zoomScaleNormal="70" workbookViewId="0">
      <selection activeCell="D35" sqref="D35:D37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5" style="158" customWidth="1"/>
    <col min="10" max="10" width="14.425781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C5" s="302" t="s">
        <v>152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266" t="s">
        <v>47</v>
      </c>
      <c r="D8" s="12"/>
      <c r="E8" s="12"/>
      <c r="F8" s="13" t="s">
        <v>50</v>
      </c>
      <c r="G8" s="14" t="s">
        <v>62</v>
      </c>
      <c r="H8" s="12">
        <v>44075</v>
      </c>
      <c r="I8" s="12">
        <v>44440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>E9-D9</f>
        <v>0</v>
      </c>
      <c r="G9" s="28"/>
      <c r="H9" s="19"/>
      <c r="I9" s="19">
        <f>'AOUT 22'!I9+septembre22!E9</f>
        <v>0</v>
      </c>
      <c r="J9" s="19">
        <f>I9-H9</f>
        <v>0</v>
      </c>
      <c r="K9" s="21" t="e">
        <f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27"/>
      <c r="E10" s="27"/>
      <c r="F10" s="25">
        <f>E10-D10</f>
        <v>0</v>
      </c>
      <c r="G10" s="28" t="e">
        <f>(F10/D10)*100</f>
        <v>#DIV/0!</v>
      </c>
      <c r="H10" s="19"/>
      <c r="I10" s="19">
        <f>'AOUT 22'!I10+septembre22!E10</f>
        <v>0</v>
      </c>
      <c r="J10" s="19">
        <f t="shared" ref="J10:J30" si="0">I10-H10</f>
        <v>0</v>
      </c>
      <c r="K10" s="26" t="e">
        <f t="shared" ref="K10:K30" si="1">J10/H10</f>
        <v>#DIV/0!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"/>
      <c r="E11" s="27"/>
      <c r="F11" s="19">
        <f>E11-D11</f>
        <v>0</v>
      </c>
      <c r="G11" s="28" t="e">
        <f>(F11/D11)*100</f>
        <v>#DIV/0!</v>
      </c>
      <c r="H11" s="19"/>
      <c r="I11" s="19">
        <f>'AOUT 22'!I11+septembre22!E11</f>
        <v>0</v>
      </c>
      <c r="J11" s="19">
        <f t="shared" si="0"/>
        <v>0</v>
      </c>
      <c r="K11" s="21" t="e">
        <f>J11/H11</f>
        <v>#DIV/0!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>E12-D12</f>
        <v>0</v>
      </c>
      <c r="G12" s="20" t="e">
        <f>(F12/D12)*100</f>
        <v>#DIV/0!</v>
      </c>
      <c r="H12" s="19"/>
      <c r="I12" s="19">
        <f>'AOUT 22'!I12+septembre22!E12</f>
        <v>0</v>
      </c>
      <c r="J12" s="19">
        <f t="shared" si="0"/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/>
      <c r="E13" s="30"/>
      <c r="F13" s="32">
        <f>E13-D13</f>
        <v>0</v>
      </c>
      <c r="G13" s="28" t="e">
        <f>(F13/D13)*100</f>
        <v>#DIV/0!</v>
      </c>
      <c r="H13" s="19"/>
      <c r="I13" s="19">
        <f>'AOUT 22'!I13+septembre22!E13</f>
        <v>0</v>
      </c>
      <c r="J13" s="19">
        <f t="shared" si="0"/>
        <v>0</v>
      </c>
      <c r="K13" s="33" t="e">
        <f t="shared" si="1"/>
        <v>#DIV/0!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0</v>
      </c>
      <c r="E14" s="37">
        <f>E9+E10+E11+E12+E13</f>
        <v>0</v>
      </c>
      <c r="F14" s="38">
        <f t="shared" ref="F14:F28" si="2">E14-D14</f>
        <v>0</v>
      </c>
      <c r="G14" s="53" t="e">
        <f>F14/D14</f>
        <v>#DIV/0!</v>
      </c>
      <c r="H14" s="37">
        <f>H9+H10+H11+H12+H13</f>
        <v>0</v>
      </c>
      <c r="I14" s="38">
        <f>'AOUT 22'!I14+septembre22!E14</f>
        <v>0</v>
      </c>
      <c r="J14" s="48">
        <f t="shared" si="0"/>
        <v>0</v>
      </c>
      <c r="K14" s="39" t="e">
        <f>J14/H14</f>
        <v>#DIV/0!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/>
      <c r="E15" s="27"/>
      <c r="F15" s="19">
        <f>E15-D15</f>
        <v>0</v>
      </c>
      <c r="G15" s="40" t="e">
        <f>(F15/D15)*100</f>
        <v>#DIV/0!</v>
      </c>
      <c r="H15" s="19"/>
      <c r="I15" s="19">
        <f>'AOUT 22'!I15+septembre22!E15</f>
        <v>0</v>
      </c>
      <c r="J15" s="19">
        <f t="shared" si="0"/>
        <v>0</v>
      </c>
      <c r="K15" s="21" t="e">
        <f t="shared" si="1"/>
        <v>#DIV/0!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/>
      <c r="E16" s="17"/>
      <c r="F16" s="19">
        <f t="shared" si="2"/>
        <v>0</v>
      </c>
      <c r="G16" s="40" t="e">
        <f>(F16/D16)*100</f>
        <v>#DIV/0!</v>
      </c>
      <c r="H16" s="19"/>
      <c r="I16" s="19">
        <f>'AOUT 22'!I16+septembre22!E16</f>
        <v>0</v>
      </c>
      <c r="J16" s="19">
        <f t="shared" si="0"/>
        <v>0</v>
      </c>
      <c r="K16" s="21" t="e">
        <f t="shared" si="1"/>
        <v>#DIV/0!</v>
      </c>
      <c r="L16" s="9">
        <v>559</v>
      </c>
    </row>
    <row r="17" spans="1:12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2"/>
        <v>0</v>
      </c>
      <c r="G17" s="40"/>
      <c r="H17" s="19"/>
      <c r="I17" s="19">
        <f>'AOUT 22'!I17+septembre22!E17</f>
        <v>0</v>
      </c>
      <c r="J17" s="42">
        <f t="shared" si="0"/>
        <v>0</v>
      </c>
      <c r="K17" s="43"/>
      <c r="L17" s="9">
        <v>0</v>
      </c>
    </row>
    <row r="18" spans="1:12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0</v>
      </c>
      <c r="E18" s="47">
        <f>E14+E15+E16+E17</f>
        <v>0</v>
      </c>
      <c r="F18" s="48">
        <f t="shared" si="2"/>
        <v>0</v>
      </c>
      <c r="G18" s="52" t="e">
        <f>F18/D18</f>
        <v>#DIV/0!</v>
      </c>
      <c r="H18" s="47">
        <f>H14+H15+H16+H17</f>
        <v>0</v>
      </c>
      <c r="I18" s="38">
        <f>'AOUT 22'!I18+septembre22!E18</f>
        <v>0</v>
      </c>
      <c r="J18" s="48">
        <f t="shared" si="0"/>
        <v>0</v>
      </c>
      <c r="K18" s="50" t="e">
        <f t="shared" si="1"/>
        <v>#DIV/0!</v>
      </c>
      <c r="L18" s="159">
        <v>12250</v>
      </c>
    </row>
    <row r="19" spans="1:12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/>
      <c r="E19" s="17"/>
      <c r="F19" s="19">
        <f t="shared" si="2"/>
        <v>0</v>
      </c>
      <c r="G19" s="40" t="e">
        <f>(F19/D19)*100</f>
        <v>#DIV/0!</v>
      </c>
      <c r="H19" s="19"/>
      <c r="I19" s="19">
        <f>'AOUT 22'!I19+septembre22!E19</f>
        <v>0</v>
      </c>
      <c r="J19" s="19">
        <f t="shared" si="0"/>
        <v>0</v>
      </c>
      <c r="K19" s="21" t="e">
        <f t="shared" si="1"/>
        <v>#DIV/0!</v>
      </c>
      <c r="L19" s="159">
        <v>5644</v>
      </c>
    </row>
    <row r="20" spans="1:12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2"/>
        <v>0</v>
      </c>
      <c r="G20" s="40"/>
      <c r="H20" s="19"/>
      <c r="I20" s="19">
        <f>'AOUT 22'!I20+septembre22!E20</f>
        <v>0</v>
      </c>
      <c r="J20" s="19">
        <f t="shared" si="0"/>
        <v>0</v>
      </c>
      <c r="K20" s="21"/>
      <c r="L20" s="159">
        <v>0</v>
      </c>
    </row>
    <row r="21" spans="1:12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/>
      <c r="E21" s="17"/>
      <c r="F21" s="19">
        <f t="shared" si="2"/>
        <v>0</v>
      </c>
      <c r="G21" s="40" t="e">
        <f>(F21/D21)*100</f>
        <v>#DIV/0!</v>
      </c>
      <c r="H21" s="19"/>
      <c r="I21" s="19">
        <f>'AOUT 22'!I21+septembre22!E21</f>
        <v>0</v>
      </c>
      <c r="J21" s="19">
        <f t="shared" si="0"/>
        <v>0</v>
      </c>
      <c r="K21" s="21" t="e">
        <f t="shared" si="1"/>
        <v>#DIV/0!</v>
      </c>
      <c r="L21" s="159">
        <v>5644</v>
      </c>
    </row>
    <row r="22" spans="1:12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2"/>
        <v>0</v>
      </c>
      <c r="G22" s="40"/>
      <c r="H22" s="19"/>
      <c r="I22" s="19">
        <f>'AOUT 22'!I22+septembre22!E22</f>
        <v>0</v>
      </c>
      <c r="J22" s="19">
        <f t="shared" si="0"/>
        <v>0</v>
      </c>
      <c r="K22" s="21"/>
      <c r="L22" s="159">
        <v>0</v>
      </c>
    </row>
    <row r="23" spans="1:12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/>
      <c r="E23" s="17"/>
      <c r="F23" s="19">
        <f t="shared" si="2"/>
        <v>0</v>
      </c>
      <c r="G23" s="40" t="e">
        <f>(F23/D23)*100</f>
        <v>#DIV/0!</v>
      </c>
      <c r="H23" s="19"/>
      <c r="I23" s="19">
        <f>'AOUT 22'!I23+septembre22!E23</f>
        <v>0</v>
      </c>
      <c r="J23" s="19">
        <f t="shared" si="0"/>
        <v>0</v>
      </c>
      <c r="K23" s="21" t="e">
        <f t="shared" si="1"/>
        <v>#DIV/0!</v>
      </c>
      <c r="L23" s="159">
        <v>1971</v>
      </c>
    </row>
    <row r="24" spans="1:12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/>
      <c r="E24" s="30"/>
      <c r="F24" s="32">
        <f t="shared" si="2"/>
        <v>0</v>
      </c>
      <c r="G24" s="40" t="e">
        <f>(F24/D24)*100</f>
        <v>#DIV/0!</v>
      </c>
      <c r="H24" s="19"/>
      <c r="I24" s="19">
        <f>'AOUT 22'!I24+septembre22!E24</f>
        <v>0</v>
      </c>
      <c r="J24" s="32">
        <f t="shared" si="0"/>
        <v>0</v>
      </c>
      <c r="K24" s="33" t="e">
        <f t="shared" si="1"/>
        <v>#DIV/0!</v>
      </c>
      <c r="L24" s="159">
        <v>539</v>
      </c>
    </row>
    <row r="25" spans="1:12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0</v>
      </c>
      <c r="E25" s="35">
        <f>E19+E23+E24</f>
        <v>0</v>
      </c>
      <c r="F25" s="38">
        <f t="shared" si="2"/>
        <v>0</v>
      </c>
      <c r="G25" s="52" t="e">
        <f>(F25/D25)*100</f>
        <v>#DIV/0!</v>
      </c>
      <c r="H25" s="35">
        <f>H19+H23+H24</f>
        <v>0</v>
      </c>
      <c r="I25" s="38">
        <f>'AOUT 22'!I25+septembre22!E25</f>
        <v>0</v>
      </c>
      <c r="J25" s="38">
        <f t="shared" si="0"/>
        <v>0</v>
      </c>
      <c r="K25" s="39" t="e">
        <f t="shared" si="1"/>
        <v>#DIV/0!</v>
      </c>
      <c r="L25" s="159">
        <v>8154</v>
      </c>
    </row>
    <row r="26" spans="1:12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0</v>
      </c>
      <c r="E26" s="37">
        <f>E18-E25</f>
        <v>0</v>
      </c>
      <c r="F26" s="38">
        <f t="shared" si="2"/>
        <v>0</v>
      </c>
      <c r="G26" s="53" t="e">
        <f>(F26/D26)*100</f>
        <v>#DIV/0!</v>
      </c>
      <c r="H26" s="37">
        <f>H18-H25</f>
        <v>0</v>
      </c>
      <c r="I26" s="38">
        <f>'AOUT 22'!I26+septembre22!E26</f>
        <v>0</v>
      </c>
      <c r="J26" s="38">
        <f t="shared" si="0"/>
        <v>0</v>
      </c>
      <c r="K26" s="39" t="e">
        <f t="shared" si="1"/>
        <v>#DIV/0!</v>
      </c>
      <c r="L26" s="159">
        <v>4096</v>
      </c>
    </row>
    <row r="27" spans="1:12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/>
      <c r="E27" s="55"/>
      <c r="F27" s="57">
        <f>E27-D27</f>
        <v>0</v>
      </c>
      <c r="G27" s="58" t="e">
        <f>(F27/D27)*100</f>
        <v>#DIV/0!</v>
      </c>
      <c r="H27" s="19"/>
      <c r="I27" s="19">
        <f>'AOUT 22'!I27+septembre22!E27</f>
        <v>0</v>
      </c>
      <c r="J27" s="57">
        <f t="shared" si="0"/>
        <v>0</v>
      </c>
      <c r="K27" s="59" t="e">
        <f t="shared" si="1"/>
        <v>#DIV/0!</v>
      </c>
      <c r="L27" s="159">
        <v>16904</v>
      </c>
    </row>
    <row r="28" spans="1:12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/>
      <c r="E28" s="23"/>
      <c r="F28" s="25">
        <f t="shared" si="2"/>
        <v>0</v>
      </c>
      <c r="G28" s="160"/>
      <c r="H28" s="19"/>
      <c r="I28" s="19">
        <f>'AOUT 22'!I28+septembre22!E28</f>
        <v>0</v>
      </c>
      <c r="J28" s="25">
        <f t="shared" si="0"/>
        <v>0</v>
      </c>
      <c r="K28" s="26" t="e">
        <f t="shared" si="1"/>
        <v>#DIV/0!</v>
      </c>
      <c r="L28" s="159">
        <v>-386</v>
      </c>
    </row>
    <row r="29" spans="1:12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/>
      <c r="E29" s="17"/>
      <c r="F29" s="19">
        <f>E29-D29</f>
        <v>0</v>
      </c>
      <c r="G29" s="160" t="e">
        <f>(F29/D29)*100</f>
        <v>#DIV/0!</v>
      </c>
      <c r="H29" s="19"/>
      <c r="I29" s="19">
        <f>'AOUT 22'!I29+septembre22!E29</f>
        <v>0</v>
      </c>
      <c r="J29" s="19">
        <f t="shared" si="0"/>
        <v>0</v>
      </c>
      <c r="K29" s="21" t="e">
        <f t="shared" si="1"/>
        <v>#DIV/0!</v>
      </c>
      <c r="L29" s="159">
        <v>0</v>
      </c>
    </row>
    <row r="30" spans="1:12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D26-D27-D29-D28</f>
        <v>0</v>
      </c>
      <c r="E30" s="37">
        <f>E26-E27-E29-E28</f>
        <v>0</v>
      </c>
      <c r="F30" s="38">
        <f>E30-D30</f>
        <v>0</v>
      </c>
      <c r="G30" s="66" t="e">
        <f>F30/D30</f>
        <v>#DIV/0!</v>
      </c>
      <c r="H30" s="37">
        <f>H26-H27-H29-H28</f>
        <v>0</v>
      </c>
      <c r="I30" s="38">
        <f>'AOUT 22'!I30+septembre22!E30</f>
        <v>0</v>
      </c>
      <c r="J30" s="38">
        <f t="shared" si="0"/>
        <v>0</v>
      </c>
      <c r="K30" s="39" t="e">
        <f t="shared" si="1"/>
        <v>#DIV/0!</v>
      </c>
      <c r="L30" s="159">
        <v>-12422</v>
      </c>
    </row>
    <row r="31" spans="1:12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2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/>
    </row>
    <row r="33" spans="1:11" s="9" customFormat="1" ht="18" customHeight="1" x14ac:dyDescent="0.3">
      <c r="A33" s="288"/>
      <c r="B33" s="289"/>
      <c r="C33" s="296" t="s">
        <v>47</v>
      </c>
      <c r="D33" s="67" t="s">
        <v>148</v>
      </c>
      <c r="E33" s="67" t="s">
        <v>153</v>
      </c>
      <c r="F33" s="288" t="s">
        <v>50</v>
      </c>
      <c r="G33" s="298" t="s">
        <v>62</v>
      </c>
      <c r="I33" s="159"/>
      <c r="J33" s="9" t="s">
        <v>154</v>
      </c>
    </row>
    <row r="34" spans="1:11" s="9" customFormat="1" ht="15.75" customHeight="1" thickBot="1" x14ac:dyDescent="0.35">
      <c r="A34" s="294"/>
      <c r="B34" s="295"/>
      <c r="C34" s="297"/>
      <c r="D34" s="69">
        <v>2021</v>
      </c>
      <c r="E34" s="69">
        <v>2021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09"/>
      <c r="E35" s="209"/>
      <c r="F35" s="150">
        <f>E35-D35</f>
        <v>0</v>
      </c>
      <c r="G35" s="151" t="e">
        <f>F35/D35</f>
        <v>#DIV/0!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/>
      <c r="E36" s="17"/>
      <c r="F36" s="70">
        <f>E36-D36</f>
        <v>0</v>
      </c>
      <c r="G36" s="151" t="e">
        <f>F36/D36</f>
        <v>#DIV/0!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/>
      <c r="E37" s="17"/>
      <c r="F37" s="70">
        <v>0</v>
      </c>
      <c r="G37" s="153" t="e">
        <f>F37/D37</f>
        <v>#DIV/0!</v>
      </c>
      <c r="I37" s="159"/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</sheetData>
  <mergeCells count="15">
    <mergeCell ref="C4:H4"/>
    <mergeCell ref="C5:I5"/>
    <mergeCell ref="J6:K6"/>
    <mergeCell ref="A7:B8"/>
    <mergeCell ref="D7:E7"/>
    <mergeCell ref="F7:G7"/>
    <mergeCell ref="H7:I7"/>
    <mergeCell ref="J7:K7"/>
    <mergeCell ref="I35:K35"/>
    <mergeCell ref="A32:B34"/>
    <mergeCell ref="D32:E32"/>
    <mergeCell ref="F32:G32"/>
    <mergeCell ref="C33:C34"/>
    <mergeCell ref="F33:F34"/>
    <mergeCell ref="G33:G34"/>
  </mergeCells>
  <pageMargins left="0.25" right="0.25" top="0.75" bottom="0.75" header="0.3" footer="0.3"/>
  <pageSetup paperSize="9" scale="72" orientation="landscape" verticalDpi="4294967293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40"/>
  <sheetViews>
    <sheetView topLeftCell="A22" zoomScale="70" zoomScaleNormal="70" workbookViewId="0">
      <selection activeCell="F43" sqref="F43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5" style="158" customWidth="1"/>
    <col min="10" max="10" width="16.285156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C5" s="302" t="s">
        <v>155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270" t="s">
        <v>47</v>
      </c>
      <c r="D8" s="12">
        <v>44105</v>
      </c>
      <c r="E8" s="12">
        <v>44470</v>
      </c>
      <c r="F8" s="13" t="s">
        <v>50</v>
      </c>
      <c r="G8" s="14" t="s">
        <v>62</v>
      </c>
      <c r="H8" s="12">
        <v>44105</v>
      </c>
      <c r="I8" s="12">
        <v>44470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>E9-D9</f>
        <v>0</v>
      </c>
      <c r="G9" s="28"/>
      <c r="H9" s="17"/>
      <c r="I9" s="19">
        <f>septembre22!I9+'Octobre 22)'!E9</f>
        <v>0</v>
      </c>
      <c r="J9" s="19">
        <f>I9-H9</f>
        <v>0</v>
      </c>
      <c r="K9" s="21" t="e">
        <f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17"/>
      <c r="E10" s="27"/>
      <c r="F10" s="25">
        <f>E10-D10</f>
        <v>0</v>
      </c>
      <c r="G10" s="28" t="e">
        <f>(F10/D10)*100</f>
        <v>#DIV/0!</v>
      </c>
      <c r="H10" s="27"/>
      <c r="I10" s="19">
        <f>septembre22!I10+'Octobre 22)'!E10</f>
        <v>0</v>
      </c>
      <c r="J10" s="19">
        <f t="shared" ref="J10:J30" si="0">I10-H10</f>
        <v>0</v>
      </c>
      <c r="K10" s="26" t="e">
        <f t="shared" ref="K10:K30" si="1">J10/H10</f>
        <v>#DIV/0!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"/>
      <c r="E11" s="27"/>
      <c r="F11" s="19">
        <f>E11-D11</f>
        <v>0</v>
      </c>
      <c r="G11" s="28" t="e">
        <f>(F11/D11)*100</f>
        <v>#DIV/0!</v>
      </c>
      <c r="H11" s="27"/>
      <c r="I11" s="19">
        <f>septembre22!I11+'Octobre 22)'!E11</f>
        <v>0</v>
      </c>
      <c r="J11" s="19">
        <f t="shared" si="0"/>
        <v>0</v>
      </c>
      <c r="K11" s="21" t="e">
        <f>J11/H11</f>
        <v>#DIV/0!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>E12-D12</f>
        <v>0</v>
      </c>
      <c r="G12" s="20" t="e">
        <f>(F12/D12)*100</f>
        <v>#DIV/0!</v>
      </c>
      <c r="H12" s="23"/>
      <c r="I12" s="19">
        <f>septembre22!I12+'Octobre 22)'!E12</f>
        <v>0</v>
      </c>
      <c r="J12" s="19">
        <f t="shared" si="0"/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/>
      <c r="E13" s="30"/>
      <c r="F13" s="32">
        <f>E13-D13</f>
        <v>0</v>
      </c>
      <c r="G13" s="28" t="e">
        <f>(F13/D13)*100</f>
        <v>#DIV/0!</v>
      </c>
      <c r="H13" s="30"/>
      <c r="I13" s="19">
        <f>septembre22!I13+'Octobre 22)'!E13</f>
        <v>0</v>
      </c>
      <c r="J13" s="19">
        <f t="shared" si="0"/>
        <v>0</v>
      </c>
      <c r="K13" s="33" t="e">
        <f t="shared" si="1"/>
        <v>#DIV/0!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0</v>
      </c>
      <c r="E14" s="37">
        <f>E9+E10+E11+E12+E13</f>
        <v>0</v>
      </c>
      <c r="F14" s="38">
        <f t="shared" ref="F14:F28" si="2">E14-D14</f>
        <v>0</v>
      </c>
      <c r="G14" s="53" t="e">
        <f>F14/D14</f>
        <v>#DIV/0!</v>
      </c>
      <c r="H14" s="37">
        <f>H9+H10+H11+H12+H13</f>
        <v>0</v>
      </c>
      <c r="I14" s="38">
        <f>septembre22!I14+'Octobre 22)'!E14</f>
        <v>0</v>
      </c>
      <c r="J14" s="48">
        <f t="shared" si="0"/>
        <v>0</v>
      </c>
      <c r="K14" s="39" t="e">
        <f>J14/H14</f>
        <v>#DIV/0!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/>
      <c r="E15" s="27"/>
      <c r="F15" s="19">
        <f>E15-D15</f>
        <v>0</v>
      </c>
      <c r="G15" s="40" t="e">
        <f>(F15/D15)*100</f>
        <v>#DIV/0!</v>
      </c>
      <c r="H15" s="27"/>
      <c r="I15" s="19">
        <f>septembre22!I15+'Octobre 22)'!E15</f>
        <v>0</v>
      </c>
      <c r="J15" s="19">
        <f t="shared" si="0"/>
        <v>0</v>
      </c>
      <c r="K15" s="21" t="e">
        <f t="shared" si="1"/>
        <v>#DIV/0!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/>
      <c r="E16" s="17"/>
      <c r="F16" s="19">
        <f t="shared" si="2"/>
        <v>0</v>
      </c>
      <c r="G16" s="40" t="e">
        <f>(F16/D16)*100</f>
        <v>#DIV/0!</v>
      </c>
      <c r="H16" s="17"/>
      <c r="I16" s="19">
        <f>septembre22!I16+'Octobre 22)'!E16</f>
        <v>0</v>
      </c>
      <c r="J16" s="19">
        <f t="shared" si="0"/>
        <v>0</v>
      </c>
      <c r="K16" s="21" t="e">
        <f t="shared" si="1"/>
        <v>#DIV/0!</v>
      </c>
      <c r="L16" s="9">
        <v>559</v>
      </c>
    </row>
    <row r="17" spans="1:12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2"/>
        <v>0</v>
      </c>
      <c r="G17" s="40"/>
      <c r="H17" s="23"/>
      <c r="I17" s="19">
        <f>septembre22!I17+'Octobre 22)'!E17</f>
        <v>0</v>
      </c>
      <c r="J17" s="42">
        <f t="shared" si="0"/>
        <v>0</v>
      </c>
      <c r="K17" s="43"/>
      <c r="L17" s="9">
        <v>0</v>
      </c>
    </row>
    <row r="18" spans="1:12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0</v>
      </c>
      <c r="E18" s="47">
        <f>E14+E15+E16+E17</f>
        <v>0</v>
      </c>
      <c r="F18" s="48">
        <f t="shared" si="2"/>
        <v>0</v>
      </c>
      <c r="G18" s="52" t="e">
        <f>F18/D18</f>
        <v>#DIV/0!</v>
      </c>
      <c r="H18" s="47">
        <f>H14+H15+H16+H17</f>
        <v>0</v>
      </c>
      <c r="I18" s="38">
        <f>septembre22!I18+'Octobre 22)'!E18</f>
        <v>0</v>
      </c>
      <c r="J18" s="48">
        <f t="shared" si="0"/>
        <v>0</v>
      </c>
      <c r="K18" s="50" t="e">
        <f t="shared" si="1"/>
        <v>#DIV/0!</v>
      </c>
      <c r="L18" s="159">
        <v>12250</v>
      </c>
    </row>
    <row r="19" spans="1:12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/>
      <c r="E19" s="17"/>
      <c r="F19" s="19">
        <f t="shared" si="2"/>
        <v>0</v>
      </c>
      <c r="G19" s="40" t="e">
        <f>(F19/D19)*100</f>
        <v>#DIV/0!</v>
      </c>
      <c r="H19" s="17"/>
      <c r="I19" s="19">
        <f>septembre22!I19+'Octobre 22)'!E19</f>
        <v>0</v>
      </c>
      <c r="J19" s="19">
        <f t="shared" si="0"/>
        <v>0</v>
      </c>
      <c r="K19" s="21" t="e">
        <f t="shared" si="1"/>
        <v>#DIV/0!</v>
      </c>
      <c r="L19" s="159">
        <v>5644</v>
      </c>
    </row>
    <row r="20" spans="1:12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2"/>
        <v>0</v>
      </c>
      <c r="G20" s="40"/>
      <c r="H20" s="17"/>
      <c r="I20" s="19">
        <f>septembre22!I20+'Octobre 22)'!E20</f>
        <v>0</v>
      </c>
      <c r="J20" s="19">
        <f t="shared" si="0"/>
        <v>0</v>
      </c>
      <c r="K20" s="21"/>
      <c r="L20" s="159">
        <v>0</v>
      </c>
    </row>
    <row r="21" spans="1:12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/>
      <c r="E21" s="17"/>
      <c r="F21" s="19">
        <f t="shared" si="2"/>
        <v>0</v>
      </c>
      <c r="G21" s="40" t="e">
        <f>(F21/D21)*100</f>
        <v>#DIV/0!</v>
      </c>
      <c r="H21" s="17"/>
      <c r="I21" s="19">
        <f>septembre22!I21+'Octobre 22)'!E21</f>
        <v>0</v>
      </c>
      <c r="J21" s="19">
        <f t="shared" si="0"/>
        <v>0</v>
      </c>
      <c r="K21" s="21" t="e">
        <f t="shared" si="1"/>
        <v>#DIV/0!</v>
      </c>
      <c r="L21" s="159">
        <v>5644</v>
      </c>
    </row>
    <row r="22" spans="1:12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2"/>
        <v>0</v>
      </c>
      <c r="G22" s="40"/>
      <c r="H22" s="17"/>
      <c r="I22" s="19">
        <f>septembre22!I22+'Octobre 22)'!E22</f>
        <v>0</v>
      </c>
      <c r="J22" s="19">
        <f t="shared" si="0"/>
        <v>0</v>
      </c>
      <c r="K22" s="21"/>
      <c r="L22" s="159">
        <v>0</v>
      </c>
    </row>
    <row r="23" spans="1:12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/>
      <c r="E23" s="17"/>
      <c r="F23" s="19">
        <f t="shared" si="2"/>
        <v>0</v>
      </c>
      <c r="G23" s="40" t="e">
        <f>(F23/D23)*100</f>
        <v>#DIV/0!</v>
      </c>
      <c r="H23" s="17"/>
      <c r="I23" s="19">
        <f>septembre22!I23+'Octobre 22)'!E23</f>
        <v>0</v>
      </c>
      <c r="J23" s="19">
        <f t="shared" si="0"/>
        <v>0</v>
      </c>
      <c r="K23" s="21" t="e">
        <f t="shared" si="1"/>
        <v>#DIV/0!</v>
      </c>
      <c r="L23" s="159">
        <v>1971</v>
      </c>
    </row>
    <row r="24" spans="1:12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/>
      <c r="E24" s="30"/>
      <c r="F24" s="32">
        <f t="shared" si="2"/>
        <v>0</v>
      </c>
      <c r="G24" s="40" t="e">
        <f>(F24/D24)*100</f>
        <v>#DIV/0!</v>
      </c>
      <c r="H24" s="30"/>
      <c r="I24" s="19">
        <f>septembre22!I24+'Octobre 22)'!E24</f>
        <v>0</v>
      </c>
      <c r="J24" s="32">
        <f t="shared" si="0"/>
        <v>0</v>
      </c>
      <c r="K24" s="33" t="e">
        <f t="shared" si="1"/>
        <v>#DIV/0!</v>
      </c>
      <c r="L24" s="159">
        <v>539</v>
      </c>
    </row>
    <row r="25" spans="1:12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0</v>
      </c>
      <c r="E25" s="35">
        <f>E19+E23+E24</f>
        <v>0</v>
      </c>
      <c r="F25" s="38">
        <f t="shared" si="2"/>
        <v>0</v>
      </c>
      <c r="G25" s="52" t="e">
        <f>(F25/D25)*100</f>
        <v>#DIV/0!</v>
      </c>
      <c r="H25" s="35">
        <f>H19+H23+H24</f>
        <v>0</v>
      </c>
      <c r="I25" s="38">
        <f>septembre22!I25+'Octobre 22)'!E25</f>
        <v>0</v>
      </c>
      <c r="J25" s="38">
        <f>I25-H25</f>
        <v>0</v>
      </c>
      <c r="K25" s="39" t="e">
        <f t="shared" si="1"/>
        <v>#DIV/0!</v>
      </c>
      <c r="L25" s="159">
        <v>8154</v>
      </c>
    </row>
    <row r="26" spans="1:12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0</v>
      </c>
      <c r="E26" s="37">
        <f>E18-E25</f>
        <v>0</v>
      </c>
      <c r="F26" s="38">
        <f t="shared" si="2"/>
        <v>0</v>
      </c>
      <c r="G26" s="53" t="e">
        <f>(F26/D26)*100</f>
        <v>#DIV/0!</v>
      </c>
      <c r="H26" s="37">
        <f>H18-H25</f>
        <v>0</v>
      </c>
      <c r="I26" s="38">
        <f>septembre22!I26+'Octobre 22)'!E26</f>
        <v>0</v>
      </c>
      <c r="J26" s="38">
        <f>I26-H26</f>
        <v>0</v>
      </c>
      <c r="K26" s="39" t="e">
        <f t="shared" si="1"/>
        <v>#DIV/0!</v>
      </c>
      <c r="L26" s="159">
        <v>4096</v>
      </c>
    </row>
    <row r="27" spans="1:12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/>
      <c r="E27" s="55"/>
      <c r="F27" s="57">
        <f>E27-D27</f>
        <v>0</v>
      </c>
      <c r="G27" s="58" t="e">
        <f>(F27/D27)*100</f>
        <v>#DIV/0!</v>
      </c>
      <c r="H27" s="55"/>
      <c r="I27" s="19">
        <f>septembre22!I27+'Octobre 22)'!E27</f>
        <v>0</v>
      </c>
      <c r="J27" s="57">
        <f t="shared" si="0"/>
        <v>0</v>
      </c>
      <c r="K27" s="59" t="e">
        <f t="shared" si="1"/>
        <v>#DIV/0!</v>
      </c>
      <c r="L27" s="159">
        <v>16904</v>
      </c>
    </row>
    <row r="28" spans="1:12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/>
      <c r="E28" s="23"/>
      <c r="F28" s="25">
        <f t="shared" si="2"/>
        <v>0</v>
      </c>
      <c r="G28" s="160"/>
      <c r="H28" s="23"/>
      <c r="I28" s="19">
        <f>septembre22!I28+'Octobre 22)'!E28</f>
        <v>0</v>
      </c>
      <c r="J28" s="25">
        <f t="shared" si="0"/>
        <v>0</v>
      </c>
      <c r="K28" s="26" t="e">
        <f t="shared" si="1"/>
        <v>#DIV/0!</v>
      </c>
      <c r="L28" s="159">
        <v>-386</v>
      </c>
    </row>
    <row r="29" spans="1:12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/>
      <c r="E29" s="17"/>
      <c r="F29" s="19">
        <f>E29-D29</f>
        <v>0</v>
      </c>
      <c r="G29" s="160" t="e">
        <f>(F29/D29)*100</f>
        <v>#DIV/0!</v>
      </c>
      <c r="H29" s="17"/>
      <c r="I29" s="19">
        <f>septembre22!I29+'Octobre 22)'!E29</f>
        <v>0</v>
      </c>
      <c r="J29" s="19">
        <f t="shared" si="0"/>
        <v>0</v>
      </c>
      <c r="K29" s="21" t="e">
        <f t="shared" si="1"/>
        <v>#DIV/0!</v>
      </c>
      <c r="L29" s="159">
        <v>0</v>
      </c>
    </row>
    <row r="30" spans="1:12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D26-D27-D29-D28</f>
        <v>0</v>
      </c>
      <c r="E30" s="37">
        <f>E26-E27-E29-E28</f>
        <v>0</v>
      </c>
      <c r="F30" s="38">
        <f>E30-D30</f>
        <v>0</v>
      </c>
      <c r="G30" s="66" t="e">
        <f>F30/D30</f>
        <v>#DIV/0!</v>
      </c>
      <c r="H30" s="37">
        <f>H26-H27-H29-H28</f>
        <v>0</v>
      </c>
      <c r="I30" s="38">
        <f>septembre22!I30+'Octobre 22)'!E30</f>
        <v>0</v>
      </c>
      <c r="J30" s="38">
        <f t="shared" si="0"/>
        <v>0</v>
      </c>
      <c r="K30" s="39" t="e">
        <f t="shared" si="1"/>
        <v>#DIV/0!</v>
      </c>
      <c r="L30" s="159">
        <v>-12422</v>
      </c>
    </row>
    <row r="31" spans="1:12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2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/>
    </row>
    <row r="33" spans="1:11" s="9" customFormat="1" ht="18" customHeight="1" x14ac:dyDescent="0.3">
      <c r="A33" s="288"/>
      <c r="B33" s="289"/>
      <c r="C33" s="296" t="s">
        <v>47</v>
      </c>
      <c r="D33" s="67" t="s">
        <v>153</v>
      </c>
      <c r="E33" s="67" t="s">
        <v>157</v>
      </c>
      <c r="F33" s="288" t="s">
        <v>50</v>
      </c>
      <c r="G33" s="298" t="s">
        <v>62</v>
      </c>
      <c r="I33" s="159"/>
      <c r="J33" s="9" t="s">
        <v>156</v>
      </c>
    </row>
    <row r="34" spans="1:11" s="9" customFormat="1" ht="15.75" customHeight="1" thickBot="1" x14ac:dyDescent="0.35">
      <c r="A34" s="294"/>
      <c r="B34" s="295"/>
      <c r="C34" s="297"/>
      <c r="D34" s="69">
        <v>2022</v>
      </c>
      <c r="E34" s="69">
        <v>2022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09"/>
      <c r="E35" s="209"/>
      <c r="F35" s="150">
        <f>E35-D35</f>
        <v>0</v>
      </c>
      <c r="G35" s="151" t="e">
        <f>F35/D35</f>
        <v>#DIV/0!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/>
      <c r="E36" s="17"/>
      <c r="F36" s="70">
        <f>E36-D36</f>
        <v>0</v>
      </c>
      <c r="G36" s="151" t="e">
        <f>F36/D36</f>
        <v>#DIV/0!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/>
      <c r="E37" s="17"/>
      <c r="F37" s="70">
        <f>E37-D37</f>
        <v>0</v>
      </c>
      <c r="G37" s="153" t="e">
        <f>F37/D37</f>
        <v>#DIV/0!</v>
      </c>
      <c r="I37" s="159"/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</sheetData>
  <mergeCells count="15">
    <mergeCell ref="C4:H4"/>
    <mergeCell ref="C5:I5"/>
    <mergeCell ref="J6:K6"/>
    <mergeCell ref="A7:B8"/>
    <mergeCell ref="D7:E7"/>
    <mergeCell ref="F7:G7"/>
    <mergeCell ref="H7:I7"/>
    <mergeCell ref="J7:K7"/>
    <mergeCell ref="I35:K35"/>
    <mergeCell ref="A32:B34"/>
    <mergeCell ref="D32:E32"/>
    <mergeCell ref="F32:G32"/>
    <mergeCell ref="C33:C34"/>
    <mergeCell ref="F33:F34"/>
    <mergeCell ref="G33:G34"/>
  </mergeCells>
  <pageMargins left="0.25" right="0.25" top="0.75" bottom="0.75" header="0.3" footer="0.3"/>
  <pageSetup paperSize="9" scale="72" orientation="landscape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40"/>
  <sheetViews>
    <sheetView tabSelected="1" topLeftCell="B1" zoomScale="70" zoomScaleNormal="70" workbookViewId="0">
      <selection activeCell="K17" sqref="K17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5" style="158" customWidth="1"/>
    <col min="10" max="10" width="16.285156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C5" s="302" t="s">
        <v>158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276" t="s">
        <v>47</v>
      </c>
      <c r="D8" s="12">
        <v>44136</v>
      </c>
      <c r="E8" s="12">
        <v>44501</v>
      </c>
      <c r="F8" s="13" t="s">
        <v>50</v>
      </c>
      <c r="G8" s="14" t="s">
        <v>62</v>
      </c>
      <c r="H8" s="12">
        <v>44136</v>
      </c>
      <c r="I8" s="12">
        <v>44501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>E9-D9</f>
        <v>0</v>
      </c>
      <c r="G9" s="28"/>
      <c r="H9" s="17"/>
      <c r="I9" s="19">
        <f>'Octobre 22)'!I9+'Novembre 22)'!E9</f>
        <v>0</v>
      </c>
      <c r="J9" s="19">
        <f>I9-H9</f>
        <v>0</v>
      </c>
      <c r="K9" s="21" t="e">
        <f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17"/>
      <c r="E10" s="27"/>
      <c r="F10" s="278">
        <f>E10-D10</f>
        <v>0</v>
      </c>
      <c r="G10" s="28" t="e">
        <f>(F10/D10)*100</f>
        <v>#DIV/0!</v>
      </c>
      <c r="H10" s="27"/>
      <c r="I10" s="19">
        <f>'Octobre 22)'!I10+'Novembre 22)'!E10</f>
        <v>0</v>
      </c>
      <c r="J10" s="19">
        <f t="shared" ref="J10:J30" si="0">I10-H10</f>
        <v>0</v>
      </c>
      <c r="K10" s="26" t="e">
        <f t="shared" ref="K10:K30" si="1">J10/H10</f>
        <v>#DIV/0!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7"/>
      <c r="E11" s="279"/>
      <c r="F11" s="278">
        <f>E11-D11</f>
        <v>0</v>
      </c>
      <c r="G11" s="28" t="e">
        <f>(F11/D11)*100</f>
        <v>#DIV/0!</v>
      </c>
      <c r="H11" s="27"/>
      <c r="I11" s="19">
        <f>'Octobre 22)'!I11+'Novembre 22)'!E11</f>
        <v>0</v>
      </c>
      <c r="J11" s="19">
        <f t="shared" si="0"/>
        <v>0</v>
      </c>
      <c r="K11" s="21" t="e">
        <f>J11/H11</f>
        <v>#DIV/0!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>E12-D12</f>
        <v>0</v>
      </c>
      <c r="G12" s="20" t="e">
        <f>(F12/D12)*100</f>
        <v>#DIV/0!</v>
      </c>
      <c r="H12" s="23"/>
      <c r="I12" s="19">
        <f>'Octobre 22)'!I12+'Novembre 22)'!E12</f>
        <v>0</v>
      </c>
      <c r="J12" s="19">
        <f t="shared" si="0"/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/>
      <c r="E13" s="30"/>
      <c r="F13" s="32">
        <f>E13-D13</f>
        <v>0</v>
      </c>
      <c r="G13" s="28" t="e">
        <f>(F13/D13)*100</f>
        <v>#DIV/0!</v>
      </c>
      <c r="H13" s="30"/>
      <c r="I13" s="19">
        <f>'Octobre 22)'!I13+'Novembre 22)'!E13</f>
        <v>0</v>
      </c>
      <c r="J13" s="19">
        <f t="shared" si="0"/>
        <v>0</v>
      </c>
      <c r="K13" s="33" t="e">
        <f t="shared" si="1"/>
        <v>#DIV/0!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0</v>
      </c>
      <c r="E14" s="37">
        <f>E9+E10+E11+E12+E13</f>
        <v>0</v>
      </c>
      <c r="F14" s="38">
        <f t="shared" ref="F14:F28" si="2">E14-D14</f>
        <v>0</v>
      </c>
      <c r="G14" s="53" t="e">
        <f>F14/D14</f>
        <v>#DIV/0!</v>
      </c>
      <c r="H14" s="37">
        <f>H9+H10+H11+H12+H13</f>
        <v>0</v>
      </c>
      <c r="I14" s="38">
        <f>'Octobre 22)'!I14+'Novembre 22)'!E14</f>
        <v>0</v>
      </c>
      <c r="J14" s="48">
        <f t="shared" si="0"/>
        <v>0</v>
      </c>
      <c r="K14" s="39" t="e">
        <f>J14/H14</f>
        <v>#DIV/0!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/>
      <c r="E15" s="27"/>
      <c r="F15" s="19">
        <f>E15-D15</f>
        <v>0</v>
      </c>
      <c r="G15" s="40" t="e">
        <f>(F15/D15)*100</f>
        <v>#DIV/0!</v>
      </c>
      <c r="H15" s="27"/>
      <c r="I15" s="19">
        <f>'Octobre 22)'!I15+'Novembre 22)'!E15</f>
        <v>0</v>
      </c>
      <c r="J15" s="19">
        <f t="shared" si="0"/>
        <v>0</v>
      </c>
      <c r="K15" s="21" t="e">
        <f t="shared" si="1"/>
        <v>#DIV/0!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/>
      <c r="E16" s="17"/>
      <c r="F16" s="19">
        <f t="shared" si="2"/>
        <v>0</v>
      </c>
      <c r="G16" s="40" t="e">
        <f>(F16/D16)*100</f>
        <v>#DIV/0!</v>
      </c>
      <c r="H16" s="17"/>
      <c r="I16" s="19">
        <f>'Octobre 22)'!I16+'Novembre 22)'!E16</f>
        <v>0</v>
      </c>
      <c r="J16" s="19">
        <f t="shared" si="0"/>
        <v>0</v>
      </c>
      <c r="K16" s="21" t="e">
        <f t="shared" si="1"/>
        <v>#DIV/0!</v>
      </c>
      <c r="L16" s="9">
        <v>559</v>
      </c>
    </row>
    <row r="17" spans="1:13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2"/>
        <v>0</v>
      </c>
      <c r="G17" s="40"/>
      <c r="H17" s="23"/>
      <c r="I17" s="19">
        <f>'Octobre 22)'!I17+'Novembre 22)'!E17</f>
        <v>0</v>
      </c>
      <c r="J17" s="42">
        <f t="shared" si="0"/>
        <v>0</v>
      </c>
      <c r="K17" s="43"/>
      <c r="L17" s="9">
        <v>0</v>
      </c>
    </row>
    <row r="18" spans="1:13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0</v>
      </c>
      <c r="E18" s="47">
        <f>E14+E15+E16+E17</f>
        <v>0</v>
      </c>
      <c r="F18" s="48">
        <f t="shared" si="2"/>
        <v>0</v>
      </c>
      <c r="G18" s="52" t="e">
        <f>F18/D18</f>
        <v>#DIV/0!</v>
      </c>
      <c r="H18" s="47">
        <f>H14+H15+H16+H17</f>
        <v>0</v>
      </c>
      <c r="I18" s="38">
        <f>'Octobre 22)'!I18+'Novembre 22)'!E18</f>
        <v>0</v>
      </c>
      <c r="J18" s="48">
        <f t="shared" si="0"/>
        <v>0</v>
      </c>
      <c r="K18" s="50" t="e">
        <f t="shared" si="1"/>
        <v>#DIV/0!</v>
      </c>
      <c r="L18" s="159">
        <v>12250</v>
      </c>
    </row>
    <row r="19" spans="1:13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/>
      <c r="E19" s="17"/>
      <c r="F19" s="19">
        <f t="shared" si="2"/>
        <v>0</v>
      </c>
      <c r="G19" s="40" t="e">
        <f>(F19/D19)*100</f>
        <v>#DIV/0!</v>
      </c>
      <c r="H19" s="17"/>
      <c r="I19" s="19">
        <f>'Octobre 22)'!I19+'Novembre 22)'!E19</f>
        <v>0</v>
      </c>
      <c r="J19" s="19">
        <f t="shared" si="0"/>
        <v>0</v>
      </c>
      <c r="K19" s="21" t="e">
        <f t="shared" si="1"/>
        <v>#DIV/0!</v>
      </c>
      <c r="L19" s="159">
        <v>5644</v>
      </c>
    </row>
    <row r="20" spans="1:13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2"/>
        <v>0</v>
      </c>
      <c r="G20" s="40"/>
      <c r="H20" s="17"/>
      <c r="I20" s="19">
        <f>'Octobre 22)'!I20+'Novembre 22)'!E20</f>
        <v>0</v>
      </c>
      <c r="J20" s="19">
        <f t="shared" si="0"/>
        <v>0</v>
      </c>
      <c r="K20" s="21"/>
      <c r="L20" s="159">
        <v>0</v>
      </c>
    </row>
    <row r="21" spans="1:13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/>
      <c r="E21" s="17"/>
      <c r="F21" s="19">
        <f t="shared" si="2"/>
        <v>0</v>
      </c>
      <c r="G21" s="40" t="e">
        <f>(F21/D21)*100</f>
        <v>#DIV/0!</v>
      </c>
      <c r="H21" s="17"/>
      <c r="I21" s="19">
        <f>'Octobre 22)'!I21+'Novembre 22)'!E21</f>
        <v>0</v>
      </c>
      <c r="J21" s="19">
        <f t="shared" si="0"/>
        <v>0</v>
      </c>
      <c r="K21" s="21" t="e">
        <f t="shared" si="1"/>
        <v>#DIV/0!</v>
      </c>
      <c r="L21" s="159">
        <v>5644</v>
      </c>
    </row>
    <row r="22" spans="1:13" s="9" customFormat="1" ht="19.5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2"/>
        <v>0</v>
      </c>
      <c r="G22" s="40"/>
      <c r="H22" s="17"/>
      <c r="I22" s="19">
        <f>'Octobre 22)'!I22+'Novembre 22)'!E22</f>
        <v>0</v>
      </c>
      <c r="J22" s="19">
        <f t="shared" si="0"/>
        <v>0</v>
      </c>
      <c r="K22" s="21"/>
      <c r="L22" s="159">
        <v>0</v>
      </c>
    </row>
    <row r="23" spans="1:13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/>
      <c r="E23" s="17"/>
      <c r="F23" s="19">
        <f t="shared" si="2"/>
        <v>0</v>
      </c>
      <c r="G23" s="40" t="e">
        <f>(F23/D23)*100</f>
        <v>#DIV/0!</v>
      </c>
      <c r="H23" s="17"/>
      <c r="I23" s="19">
        <f>'Octobre 22)'!I23+'Novembre 22)'!E23</f>
        <v>0</v>
      </c>
      <c r="J23" s="19">
        <f t="shared" si="0"/>
        <v>0</v>
      </c>
      <c r="K23" s="21" t="e">
        <f t="shared" si="1"/>
        <v>#DIV/0!</v>
      </c>
      <c r="L23" s="159">
        <v>1971</v>
      </c>
      <c r="M23" s="9">
        <v>76036</v>
      </c>
    </row>
    <row r="24" spans="1:13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/>
      <c r="E24" s="30"/>
      <c r="F24" s="32">
        <f t="shared" si="2"/>
        <v>0</v>
      </c>
      <c r="G24" s="40" t="e">
        <f>(F24/D24)*100</f>
        <v>#DIV/0!</v>
      </c>
      <c r="H24" s="30"/>
      <c r="I24" s="19">
        <f>'Octobre 22)'!I24+'Novembre 22)'!E24</f>
        <v>0</v>
      </c>
      <c r="J24" s="32">
        <f t="shared" si="0"/>
        <v>0</v>
      </c>
      <c r="K24" s="33" t="e">
        <f t="shared" si="1"/>
        <v>#DIV/0!</v>
      </c>
      <c r="L24" s="159">
        <v>539</v>
      </c>
    </row>
    <row r="25" spans="1:13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0</v>
      </c>
      <c r="E25" s="35">
        <f>E19+E23+E24</f>
        <v>0</v>
      </c>
      <c r="F25" s="38">
        <f t="shared" si="2"/>
        <v>0</v>
      </c>
      <c r="G25" s="52" t="e">
        <f>(F25/D25)*100</f>
        <v>#DIV/0!</v>
      </c>
      <c r="H25" s="35">
        <f>H19+H23+H24</f>
        <v>0</v>
      </c>
      <c r="I25" s="38">
        <f>'Octobre 22)'!I25+'Novembre 22)'!E25</f>
        <v>0</v>
      </c>
      <c r="J25" s="38">
        <f>I25-H25</f>
        <v>0</v>
      </c>
      <c r="K25" s="39" t="e">
        <f t="shared" si="1"/>
        <v>#DIV/0!</v>
      </c>
      <c r="L25" s="159">
        <v>8154</v>
      </c>
    </row>
    <row r="26" spans="1:13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0</v>
      </c>
      <c r="E26" s="37">
        <f>E18-E25</f>
        <v>0</v>
      </c>
      <c r="F26" s="38">
        <f t="shared" si="2"/>
        <v>0</v>
      </c>
      <c r="G26" s="53" t="e">
        <f>(F26/D26)*100</f>
        <v>#DIV/0!</v>
      </c>
      <c r="H26" s="37">
        <f>H18-H25</f>
        <v>0</v>
      </c>
      <c r="I26" s="38">
        <f>'Octobre 22)'!I26+'Novembre 22)'!E26</f>
        <v>0</v>
      </c>
      <c r="J26" s="38">
        <f>I26-H26</f>
        <v>0</v>
      </c>
      <c r="K26" s="39" t="e">
        <f t="shared" si="1"/>
        <v>#DIV/0!</v>
      </c>
      <c r="L26" s="159">
        <v>4096</v>
      </c>
    </row>
    <row r="27" spans="1:13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/>
      <c r="E27" s="55"/>
      <c r="F27" s="57">
        <f>E27-D27</f>
        <v>0</v>
      </c>
      <c r="G27" s="58" t="e">
        <f>(F27/D27)*100</f>
        <v>#DIV/0!</v>
      </c>
      <c r="H27" s="55"/>
      <c r="I27" s="19">
        <f>'Octobre 22)'!I27+'Novembre 22)'!E27</f>
        <v>0</v>
      </c>
      <c r="J27" s="57">
        <f t="shared" si="0"/>
        <v>0</v>
      </c>
      <c r="K27" s="59" t="e">
        <f t="shared" si="1"/>
        <v>#DIV/0!</v>
      </c>
      <c r="L27" s="159">
        <v>16904</v>
      </c>
    </row>
    <row r="28" spans="1:13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/>
      <c r="E28" s="23"/>
      <c r="F28" s="25">
        <f t="shared" si="2"/>
        <v>0</v>
      </c>
      <c r="G28" s="160"/>
      <c r="H28" s="23"/>
      <c r="I28" s="19">
        <f>'Octobre 22)'!I28+'Novembre 22)'!E28</f>
        <v>0</v>
      </c>
      <c r="J28" s="25">
        <f t="shared" si="0"/>
        <v>0</v>
      </c>
      <c r="K28" s="26" t="e">
        <f t="shared" si="1"/>
        <v>#DIV/0!</v>
      </c>
      <c r="L28" s="159">
        <v>-386</v>
      </c>
    </row>
    <row r="29" spans="1:13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/>
      <c r="E29" s="17"/>
      <c r="F29" s="19">
        <f>E29-D29</f>
        <v>0</v>
      </c>
      <c r="G29" s="160" t="e">
        <f>(F29/D29)*100</f>
        <v>#DIV/0!</v>
      </c>
      <c r="H29" s="17"/>
      <c r="I29" s="19">
        <f>'Octobre 22)'!I29+'Novembre 22)'!E29</f>
        <v>0</v>
      </c>
      <c r="J29" s="19">
        <f t="shared" si="0"/>
        <v>0</v>
      </c>
      <c r="K29" s="21" t="e">
        <f t="shared" si="1"/>
        <v>#DIV/0!</v>
      </c>
      <c r="L29" s="159">
        <v>0</v>
      </c>
    </row>
    <row r="30" spans="1:13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D26-D27-D29-D28</f>
        <v>0</v>
      </c>
      <c r="E30" s="37">
        <f>E26-E27-E29-E28</f>
        <v>0</v>
      </c>
      <c r="F30" s="38">
        <f>E30-D30</f>
        <v>0</v>
      </c>
      <c r="G30" s="66" t="e">
        <f>F30/D30</f>
        <v>#DIV/0!</v>
      </c>
      <c r="H30" s="37">
        <f>H26-H27-H29-H28</f>
        <v>0</v>
      </c>
      <c r="I30" s="38">
        <f>'Octobre 22)'!I30+'Novembre 22)'!E30</f>
        <v>0</v>
      </c>
      <c r="J30" s="38">
        <f t="shared" si="0"/>
        <v>0</v>
      </c>
      <c r="K30" s="39" t="e">
        <f t="shared" si="1"/>
        <v>#DIV/0!</v>
      </c>
      <c r="L30" s="159">
        <v>-12422</v>
      </c>
    </row>
    <row r="31" spans="1:13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3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 t="s">
        <v>164</v>
      </c>
    </row>
    <row r="33" spans="1:11" s="9" customFormat="1" ht="18" customHeight="1" x14ac:dyDescent="0.3">
      <c r="A33" s="288"/>
      <c r="B33" s="289"/>
      <c r="C33" s="296" t="s">
        <v>47</v>
      </c>
      <c r="D33" s="67" t="s">
        <v>157</v>
      </c>
      <c r="E33" s="67" t="s">
        <v>159</v>
      </c>
      <c r="F33" s="288" t="s">
        <v>50</v>
      </c>
      <c r="G33" s="298" t="s">
        <v>62</v>
      </c>
      <c r="I33" s="159"/>
      <c r="J33" s="9" t="s">
        <v>160</v>
      </c>
    </row>
    <row r="34" spans="1:11" s="9" customFormat="1" ht="15.75" customHeight="1" thickBot="1" x14ac:dyDescent="0.35">
      <c r="A34" s="294"/>
      <c r="B34" s="295"/>
      <c r="C34" s="297"/>
      <c r="D34" s="69">
        <v>2021</v>
      </c>
      <c r="E34" s="69">
        <v>2021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09"/>
      <c r="E35" s="209"/>
      <c r="F35" s="150">
        <f>E35-D35</f>
        <v>0</v>
      </c>
      <c r="G35" s="151" t="e">
        <f>F35/D35</f>
        <v>#DIV/0!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/>
      <c r="E36" s="17"/>
      <c r="F36" s="70">
        <f>E36-D36</f>
        <v>0</v>
      </c>
      <c r="G36" s="151" t="e">
        <f>F36/D36</f>
        <v>#DIV/0!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/>
      <c r="E37" s="17"/>
      <c r="F37" s="70">
        <f>E37-D37</f>
        <v>0</v>
      </c>
      <c r="G37" s="153" t="e">
        <f>F37/D37</f>
        <v>#DIV/0!</v>
      </c>
      <c r="I37" s="159"/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</sheetData>
  <mergeCells count="15">
    <mergeCell ref="C4:H4"/>
    <mergeCell ref="C5:I5"/>
    <mergeCell ref="J6:K6"/>
    <mergeCell ref="A7:B8"/>
    <mergeCell ref="D7:E7"/>
    <mergeCell ref="F7:G7"/>
    <mergeCell ref="H7:I7"/>
    <mergeCell ref="J7:K7"/>
    <mergeCell ref="I35:K35"/>
    <mergeCell ref="A32:B34"/>
    <mergeCell ref="D32:E32"/>
    <mergeCell ref="F32:G32"/>
    <mergeCell ref="C33:C34"/>
    <mergeCell ref="F33:F34"/>
    <mergeCell ref="G33:G34"/>
  </mergeCells>
  <pageMargins left="0.25" right="0.25" top="0.75" bottom="0.75" header="0.3" footer="0.3"/>
  <pageSetup paperSize="9" scale="72" orientation="landscape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M40"/>
  <sheetViews>
    <sheetView topLeftCell="B1" zoomScale="70" zoomScaleNormal="70" workbookViewId="0">
      <selection activeCell="J20" sqref="J20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5" style="158" customWidth="1"/>
    <col min="10" max="10" width="16.285156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C5" s="302" t="s">
        <v>161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280" t="s">
        <v>47</v>
      </c>
      <c r="D8" s="12">
        <v>44166</v>
      </c>
      <c r="E8" s="12">
        <v>44531</v>
      </c>
      <c r="F8" s="13" t="s">
        <v>50</v>
      </c>
      <c r="G8" s="14" t="s">
        <v>62</v>
      </c>
      <c r="H8" s="12">
        <v>44166</v>
      </c>
      <c r="I8" s="12">
        <v>44531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 t="shared" ref="F9:F15" si="0">E9-D9</f>
        <v>0</v>
      </c>
      <c r="G9" s="28"/>
      <c r="H9" s="17"/>
      <c r="I9" s="19">
        <f>'Novembre 22)'!I9+'Decembre 22,'!E9</f>
        <v>0</v>
      </c>
      <c r="J9" s="19">
        <f>I9-H9</f>
        <v>0</v>
      </c>
      <c r="K9" s="21" t="e">
        <f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17"/>
      <c r="E10" s="27"/>
      <c r="F10" s="19">
        <f t="shared" si="0"/>
        <v>0</v>
      </c>
      <c r="G10" s="28" t="e">
        <f>(F10/D10)*100</f>
        <v>#DIV/0!</v>
      </c>
      <c r="H10" s="27"/>
      <c r="I10" s="19">
        <f>'Novembre 22)'!I10+'Decembre 22,'!E10</f>
        <v>0</v>
      </c>
      <c r="J10" s="19">
        <f>I10-H10</f>
        <v>0</v>
      </c>
      <c r="K10" s="26" t="e">
        <f t="shared" ref="K10:K30" si="1">J10/H10</f>
        <v>#DIV/0!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7"/>
      <c r="E11" s="279"/>
      <c r="F11" s="19">
        <f t="shared" si="0"/>
        <v>0</v>
      </c>
      <c r="G11" s="28" t="e">
        <f>(F11/D11)*100</f>
        <v>#DIV/0!</v>
      </c>
      <c r="H11" s="27"/>
      <c r="I11" s="19">
        <f>'Novembre 22)'!I11+'Decembre 22,'!E11</f>
        <v>0</v>
      </c>
      <c r="J11" s="19">
        <f>I11-H11</f>
        <v>0</v>
      </c>
      <c r="K11" s="21" t="e">
        <f>J11/H11</f>
        <v>#DIV/0!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19">
        <f t="shared" si="0"/>
        <v>0</v>
      </c>
      <c r="G12" s="20" t="e">
        <f>(F12/D12)*100</f>
        <v>#DIV/0!</v>
      </c>
      <c r="H12" s="23"/>
      <c r="I12" s="19">
        <f>'Novembre 22)'!I12+'Decembre 22,'!E12</f>
        <v>0</v>
      </c>
      <c r="J12" s="19">
        <f t="shared" ref="J12:J30" si="2">I12-H12</f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/>
      <c r="E13" s="30"/>
      <c r="F13" s="19">
        <f t="shared" si="0"/>
        <v>0</v>
      </c>
      <c r="G13" s="28" t="e">
        <f>(F13/D13)*100</f>
        <v>#DIV/0!</v>
      </c>
      <c r="H13" s="30"/>
      <c r="I13" s="19">
        <f>'Novembre 22)'!I13+'Decembre 22,'!E13</f>
        <v>0</v>
      </c>
      <c r="J13" s="19">
        <f>I13-H13</f>
        <v>0</v>
      </c>
      <c r="K13" s="33" t="e">
        <f t="shared" si="1"/>
        <v>#DIV/0!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0</v>
      </c>
      <c r="E14" s="37">
        <f>E9+E10+E11+E12+E13</f>
        <v>0</v>
      </c>
      <c r="F14" s="38">
        <f t="shared" si="0"/>
        <v>0</v>
      </c>
      <c r="G14" s="53" t="e">
        <f>F14/D14</f>
        <v>#DIV/0!</v>
      </c>
      <c r="H14" s="37">
        <f>H9+H10+H11+H12+H13</f>
        <v>0</v>
      </c>
      <c r="I14" s="38">
        <f>'Novembre 22)'!I14+'Decembre 22,'!E14</f>
        <v>0</v>
      </c>
      <c r="J14" s="48">
        <f t="shared" si="2"/>
        <v>0</v>
      </c>
      <c r="K14" s="39" t="e">
        <f>J14/H14</f>
        <v>#DIV/0!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/>
      <c r="E15" s="27"/>
      <c r="F15" s="19">
        <f t="shared" si="0"/>
        <v>0</v>
      </c>
      <c r="G15" s="40" t="e">
        <f>(F15/D15)*100</f>
        <v>#DIV/0!</v>
      </c>
      <c r="H15" s="27"/>
      <c r="I15" s="19">
        <f>'Novembre 22)'!I15+'Decembre 22,'!E15</f>
        <v>0</v>
      </c>
      <c r="J15" s="19">
        <f t="shared" si="2"/>
        <v>0</v>
      </c>
      <c r="K15" s="21" t="e">
        <f t="shared" si="1"/>
        <v>#DIV/0!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/>
      <c r="E16" s="17"/>
      <c r="F16" s="19">
        <f t="shared" ref="F16:F28" si="3">E16-D16</f>
        <v>0</v>
      </c>
      <c r="G16" s="40" t="e">
        <f>(F16/D16)*100</f>
        <v>#DIV/0!</v>
      </c>
      <c r="H16" s="17"/>
      <c r="I16" s="19">
        <f>'Novembre 22)'!I16+'Decembre 22,'!E16</f>
        <v>0</v>
      </c>
      <c r="J16" s="19">
        <f t="shared" si="2"/>
        <v>0</v>
      </c>
      <c r="K16" s="21" t="e">
        <f t="shared" si="1"/>
        <v>#DIV/0!</v>
      </c>
      <c r="L16" s="9">
        <v>559</v>
      </c>
    </row>
    <row r="17" spans="1:13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3"/>
        <v>0</v>
      </c>
      <c r="G17" s="40"/>
      <c r="H17" s="23"/>
      <c r="I17" s="19">
        <f>'Novembre 22)'!I17+'Decembre 22,'!E17</f>
        <v>0</v>
      </c>
      <c r="J17" s="42">
        <f t="shared" si="2"/>
        <v>0</v>
      </c>
      <c r="K17" s="43"/>
      <c r="L17" s="9">
        <v>0</v>
      </c>
    </row>
    <row r="18" spans="1:13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0</v>
      </c>
      <c r="E18" s="47">
        <f>E14+E15+E16+E17</f>
        <v>0</v>
      </c>
      <c r="F18" s="48">
        <f t="shared" si="3"/>
        <v>0</v>
      </c>
      <c r="G18" s="52" t="e">
        <f>F18/D18</f>
        <v>#DIV/0!</v>
      </c>
      <c r="H18" s="47">
        <f>H14+H15+H16+H17</f>
        <v>0</v>
      </c>
      <c r="I18" s="38">
        <f>'Novembre 22)'!I18+'Decembre 22,'!E18</f>
        <v>0</v>
      </c>
      <c r="J18" s="48">
        <f t="shared" si="2"/>
        <v>0</v>
      </c>
      <c r="K18" s="50" t="e">
        <f t="shared" si="1"/>
        <v>#DIV/0!</v>
      </c>
      <c r="L18" s="159">
        <v>12250</v>
      </c>
    </row>
    <row r="19" spans="1:13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/>
      <c r="E19" s="17"/>
      <c r="F19" s="19">
        <f t="shared" si="3"/>
        <v>0</v>
      </c>
      <c r="G19" s="40" t="e">
        <f>(F19/D19)*100</f>
        <v>#DIV/0!</v>
      </c>
      <c r="H19" s="17"/>
      <c r="I19" s="19">
        <f>'Novembre 22)'!I19+'Decembre 22,'!E19</f>
        <v>0</v>
      </c>
      <c r="J19" s="19">
        <f t="shared" si="2"/>
        <v>0</v>
      </c>
      <c r="K19" s="21" t="e">
        <f t="shared" si="1"/>
        <v>#DIV/0!</v>
      </c>
      <c r="L19" s="159">
        <v>5644</v>
      </c>
    </row>
    <row r="20" spans="1:13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3"/>
        <v>0</v>
      </c>
      <c r="G20" s="40"/>
      <c r="H20" s="17"/>
      <c r="I20" s="19">
        <f>'Novembre 22)'!I20+'Decembre 22,'!E20</f>
        <v>0</v>
      </c>
      <c r="J20" s="19">
        <f t="shared" si="2"/>
        <v>0</v>
      </c>
      <c r="K20" s="21"/>
      <c r="L20" s="159">
        <v>0</v>
      </c>
    </row>
    <row r="21" spans="1:13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/>
      <c r="E21" s="17"/>
      <c r="F21" s="19">
        <f t="shared" si="3"/>
        <v>0</v>
      </c>
      <c r="G21" s="40" t="e">
        <f>(F21/D21)*100</f>
        <v>#DIV/0!</v>
      </c>
      <c r="H21" s="17"/>
      <c r="I21" s="19">
        <f>'Novembre 22)'!I21+'Decembre 22,'!E21</f>
        <v>0</v>
      </c>
      <c r="J21" s="19">
        <f t="shared" si="2"/>
        <v>0</v>
      </c>
      <c r="K21" s="21" t="e">
        <f t="shared" si="1"/>
        <v>#DIV/0!</v>
      </c>
      <c r="L21" s="159">
        <v>5644</v>
      </c>
    </row>
    <row r="22" spans="1:13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3"/>
        <v>0</v>
      </c>
      <c r="G22" s="40"/>
      <c r="H22" s="17"/>
      <c r="I22" s="19">
        <f>'Novembre 22)'!I22+'Decembre 22,'!E22</f>
        <v>0</v>
      </c>
      <c r="J22" s="19">
        <f t="shared" si="2"/>
        <v>0</v>
      </c>
      <c r="K22" s="21"/>
      <c r="L22" s="159">
        <v>0</v>
      </c>
    </row>
    <row r="23" spans="1:13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/>
      <c r="E23" s="17"/>
      <c r="F23" s="19">
        <f t="shared" si="3"/>
        <v>0</v>
      </c>
      <c r="G23" s="40" t="e">
        <f>(F23/D23)*100</f>
        <v>#DIV/0!</v>
      </c>
      <c r="H23" s="17"/>
      <c r="I23" s="19">
        <f>'Novembre 22)'!I23+'Decembre 22,'!E23</f>
        <v>0</v>
      </c>
      <c r="J23" s="19">
        <f t="shared" si="2"/>
        <v>0</v>
      </c>
      <c r="K23" s="21" t="e">
        <f t="shared" si="1"/>
        <v>#DIV/0!</v>
      </c>
      <c r="L23" s="159">
        <v>1971</v>
      </c>
      <c r="M23" s="9">
        <v>14176</v>
      </c>
    </row>
    <row r="24" spans="1:13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/>
      <c r="E24" s="30"/>
      <c r="F24" s="32">
        <f t="shared" si="3"/>
        <v>0</v>
      </c>
      <c r="G24" s="40" t="e">
        <f>(F24/D24)*100</f>
        <v>#DIV/0!</v>
      </c>
      <c r="H24" s="30"/>
      <c r="I24" s="19">
        <f>'Novembre 22)'!I24+'Decembre 22,'!E24</f>
        <v>0</v>
      </c>
      <c r="J24" s="32">
        <f t="shared" si="2"/>
        <v>0</v>
      </c>
      <c r="K24" s="33" t="e">
        <f t="shared" si="1"/>
        <v>#DIV/0!</v>
      </c>
      <c r="L24" s="159">
        <v>539</v>
      </c>
    </row>
    <row r="25" spans="1:13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0</v>
      </c>
      <c r="E25" s="35">
        <f>E19+E23+E24</f>
        <v>0</v>
      </c>
      <c r="F25" s="38">
        <f t="shared" si="3"/>
        <v>0</v>
      </c>
      <c r="G25" s="52" t="e">
        <f>(F25/D25)*100</f>
        <v>#DIV/0!</v>
      </c>
      <c r="H25" s="35">
        <f>H19+H23+H24</f>
        <v>0</v>
      </c>
      <c r="I25" s="38">
        <f>'Novembre 22)'!I25+'Decembre 22,'!E25</f>
        <v>0</v>
      </c>
      <c r="J25" s="38">
        <f>I25-H25</f>
        <v>0</v>
      </c>
      <c r="K25" s="39" t="e">
        <f t="shared" si="1"/>
        <v>#DIV/0!</v>
      </c>
      <c r="L25" s="159">
        <v>8154</v>
      </c>
    </row>
    <row r="26" spans="1:13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0</v>
      </c>
      <c r="E26" s="37">
        <f>E18-E25</f>
        <v>0</v>
      </c>
      <c r="F26" s="38">
        <f t="shared" si="3"/>
        <v>0</v>
      </c>
      <c r="G26" s="53" t="e">
        <f>(F26/D26)*100</f>
        <v>#DIV/0!</v>
      </c>
      <c r="H26" s="37">
        <f>H18-H25</f>
        <v>0</v>
      </c>
      <c r="I26" s="38">
        <f>'Novembre 22)'!I26+'Decembre 22,'!E26</f>
        <v>0</v>
      </c>
      <c r="J26" s="38">
        <f>I26-H26</f>
        <v>0</v>
      </c>
      <c r="K26" s="39" t="e">
        <f t="shared" si="1"/>
        <v>#DIV/0!</v>
      </c>
      <c r="L26" s="159">
        <v>4096</v>
      </c>
    </row>
    <row r="27" spans="1:13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/>
      <c r="E27" s="55"/>
      <c r="F27" s="57">
        <f>E27-D27</f>
        <v>0</v>
      </c>
      <c r="G27" s="58" t="e">
        <f>(F27/D27)*100</f>
        <v>#DIV/0!</v>
      </c>
      <c r="H27" s="55"/>
      <c r="I27" s="19">
        <f>'Novembre 22)'!I27+'Decembre 22,'!E27</f>
        <v>0</v>
      </c>
      <c r="J27" s="57">
        <f t="shared" si="2"/>
        <v>0</v>
      </c>
      <c r="K27" s="59" t="e">
        <f t="shared" si="1"/>
        <v>#DIV/0!</v>
      </c>
      <c r="L27" s="159">
        <v>16904</v>
      </c>
    </row>
    <row r="28" spans="1:13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/>
      <c r="E28" s="23"/>
      <c r="F28" s="25">
        <f t="shared" si="3"/>
        <v>0</v>
      </c>
      <c r="G28" s="160"/>
      <c r="H28" s="23"/>
      <c r="I28" s="19">
        <f>'Novembre 22)'!I28+'Decembre 22,'!E28</f>
        <v>0</v>
      </c>
      <c r="J28" s="25">
        <f t="shared" si="2"/>
        <v>0</v>
      </c>
      <c r="K28" s="26" t="e">
        <f t="shared" si="1"/>
        <v>#DIV/0!</v>
      </c>
      <c r="L28" s="159">
        <v>-386</v>
      </c>
    </row>
    <row r="29" spans="1:13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/>
      <c r="E29" s="17"/>
      <c r="F29" s="19">
        <f>E29-D29</f>
        <v>0</v>
      </c>
      <c r="G29" s="160" t="e">
        <f>(F29/D29)*100</f>
        <v>#DIV/0!</v>
      </c>
      <c r="H29" s="17"/>
      <c r="I29" s="19">
        <f>'Novembre 22)'!I29+'Decembre 22,'!E29</f>
        <v>0</v>
      </c>
      <c r="J29" s="19">
        <f t="shared" si="2"/>
        <v>0</v>
      </c>
      <c r="K29" s="21" t="e">
        <f t="shared" si="1"/>
        <v>#DIV/0!</v>
      </c>
      <c r="L29" s="159">
        <v>0</v>
      </c>
    </row>
    <row r="30" spans="1:13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D26-D27-D29-D28</f>
        <v>0</v>
      </c>
      <c r="E30" s="37">
        <f>E26-E27-E29-E28</f>
        <v>0</v>
      </c>
      <c r="F30" s="38">
        <f>E30-D30</f>
        <v>0</v>
      </c>
      <c r="G30" s="66" t="e">
        <f>F30/D30</f>
        <v>#DIV/0!</v>
      </c>
      <c r="H30" s="37">
        <f>H26-H27-H29-H28</f>
        <v>0</v>
      </c>
      <c r="I30" s="38">
        <f>'Novembre 22)'!I30+'Decembre 22,'!E30</f>
        <v>0</v>
      </c>
      <c r="J30" s="38">
        <f t="shared" si="2"/>
        <v>0</v>
      </c>
      <c r="K30" s="39" t="e">
        <f t="shared" si="1"/>
        <v>#DIV/0!</v>
      </c>
      <c r="L30" s="159">
        <v>-12422</v>
      </c>
    </row>
    <row r="31" spans="1:13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3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/>
    </row>
    <row r="33" spans="1:11" s="9" customFormat="1" ht="18" customHeight="1" x14ac:dyDescent="0.3">
      <c r="A33" s="288"/>
      <c r="B33" s="289"/>
      <c r="C33" s="296" t="s">
        <v>47</v>
      </c>
      <c r="D33" s="67" t="s">
        <v>159</v>
      </c>
      <c r="E33" s="67" t="s">
        <v>162</v>
      </c>
      <c r="F33" s="288" t="s">
        <v>50</v>
      </c>
      <c r="G33" s="298" t="s">
        <v>62</v>
      </c>
      <c r="I33" s="159"/>
      <c r="J33" s="9" t="s">
        <v>163</v>
      </c>
    </row>
    <row r="34" spans="1:11" s="9" customFormat="1" ht="15.75" customHeight="1" thickBot="1" x14ac:dyDescent="0.35">
      <c r="A34" s="294"/>
      <c r="B34" s="295"/>
      <c r="C34" s="297"/>
      <c r="D34" s="69">
        <v>2021</v>
      </c>
      <c r="E34" s="69">
        <v>2021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09"/>
      <c r="E35" s="209"/>
      <c r="F35" s="150">
        <f>E35-D35</f>
        <v>0</v>
      </c>
      <c r="G35" s="151" t="e">
        <f>F35/D35</f>
        <v>#DIV/0!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/>
      <c r="E36" s="17"/>
      <c r="F36" s="70">
        <f>E36-D36</f>
        <v>0</v>
      </c>
      <c r="G36" s="151" t="e">
        <f>F36/D36</f>
        <v>#DIV/0!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/>
      <c r="E37" s="17"/>
      <c r="F37" s="70">
        <f>E37-D37</f>
        <v>0</v>
      </c>
      <c r="G37" s="153" t="e">
        <f>F37/D37</f>
        <v>#DIV/0!</v>
      </c>
      <c r="I37" s="159"/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</sheetData>
  <mergeCells count="15">
    <mergeCell ref="C4:H4"/>
    <mergeCell ref="C5:I5"/>
    <mergeCell ref="J6:K6"/>
    <mergeCell ref="A7:B8"/>
    <mergeCell ref="D7:E7"/>
    <mergeCell ref="F7:G7"/>
    <mergeCell ref="H7:I7"/>
    <mergeCell ref="J7:K7"/>
    <mergeCell ref="I35:K35"/>
    <mergeCell ref="A32:B34"/>
    <mergeCell ref="D32:E32"/>
    <mergeCell ref="F32:G32"/>
    <mergeCell ref="C33:C34"/>
    <mergeCell ref="F33:F34"/>
    <mergeCell ref="G33:G34"/>
  </mergeCells>
  <pageMargins left="0.25" right="0.25" top="0.75" bottom="0.75" header="0.3" footer="0.3"/>
  <pageSetup paperSize="9" scale="72" orientation="landscape" verticalDpi="4294967293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L40"/>
  <sheetViews>
    <sheetView topLeftCell="A19" zoomScale="70" zoomScaleNormal="70" workbookViewId="0">
      <selection activeCell="B43" sqref="B43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5" style="158" customWidth="1"/>
    <col min="10" max="10" width="16.285156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C5" s="302" t="s">
        <v>161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281" t="s">
        <v>47</v>
      </c>
      <c r="D8" s="12">
        <v>44166</v>
      </c>
      <c r="E8" s="12">
        <v>44531</v>
      </c>
      <c r="F8" s="13" t="s">
        <v>50</v>
      </c>
      <c r="G8" s="14" t="s">
        <v>62</v>
      </c>
      <c r="H8" s="12">
        <v>44166</v>
      </c>
      <c r="I8" s="12">
        <v>44531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>
        <v>0</v>
      </c>
      <c r="E9" s="17"/>
      <c r="F9" s="19">
        <f t="shared" ref="F9:F15" si="0">E9-D9</f>
        <v>0</v>
      </c>
      <c r="G9" s="28"/>
      <c r="H9" s="17">
        <v>0</v>
      </c>
      <c r="I9" s="19">
        <f>'Novembre 22)'!I9+'Debre provis 21, (2)'!E9</f>
        <v>0</v>
      </c>
      <c r="J9" s="19">
        <f>I9-H9</f>
        <v>0</v>
      </c>
      <c r="K9" s="21" t="e">
        <f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17">
        <v>972</v>
      </c>
      <c r="E10" s="27">
        <f>357+34</f>
        <v>391</v>
      </c>
      <c r="F10" s="19">
        <f t="shared" si="0"/>
        <v>-581</v>
      </c>
      <c r="G10" s="28">
        <f>(F10/D10)*100</f>
        <v>-59.773662551440331</v>
      </c>
      <c r="H10" s="27">
        <v>8262</v>
      </c>
      <c r="I10" s="19">
        <f>'Novembre 22)'!I10+'Debre provis 21, (2)'!E10</f>
        <v>391</v>
      </c>
      <c r="J10" s="19">
        <f>I10-H10</f>
        <v>-7871</v>
      </c>
      <c r="K10" s="26">
        <f t="shared" ref="K10:K30" si="1">J10/H10</f>
        <v>-0.95267489711934161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7">
        <v>38259</v>
      </c>
      <c r="E11" s="279">
        <v>168042</v>
      </c>
      <c r="F11" s="19">
        <f t="shared" si="0"/>
        <v>129783</v>
      </c>
      <c r="G11" s="28">
        <f>(F11/D11)*100</f>
        <v>339.22214380929978</v>
      </c>
      <c r="H11" s="27">
        <v>193272</v>
      </c>
      <c r="I11" s="19">
        <f>'Novembre 22)'!I11+'Debre provis 21, (2)'!E11</f>
        <v>168042</v>
      </c>
      <c r="J11" s="19">
        <f>I11-H11</f>
        <v>-25230</v>
      </c>
      <c r="K11" s="21">
        <f>J11/H11</f>
        <v>-0.130541413137961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19">
        <f t="shared" si="0"/>
        <v>0</v>
      </c>
      <c r="G12" s="20" t="e">
        <f>(F12/D12)*100</f>
        <v>#DIV/0!</v>
      </c>
      <c r="H12" s="23"/>
      <c r="I12" s="19">
        <f>'Novembre 22)'!I12+'Debre provis 21, (2)'!E12</f>
        <v>0</v>
      </c>
      <c r="J12" s="19">
        <f t="shared" ref="J12:J30" si="2">I12-H12</f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>
        <v>135</v>
      </c>
      <c r="E13" s="30">
        <f>815+53</f>
        <v>868</v>
      </c>
      <c r="F13" s="19">
        <f t="shared" si="0"/>
        <v>733</v>
      </c>
      <c r="G13" s="28">
        <f>(F13/D13)*100</f>
        <v>542.96296296296293</v>
      </c>
      <c r="H13" s="30">
        <v>8522</v>
      </c>
      <c r="I13" s="19">
        <f>'Novembre 22)'!I13+'Debre provis 21, (2)'!E13</f>
        <v>868</v>
      </c>
      <c r="J13" s="19">
        <f>I13-H13</f>
        <v>-7654</v>
      </c>
      <c r="K13" s="33">
        <f t="shared" si="1"/>
        <v>-0.89814597512321048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39366</v>
      </c>
      <c r="E14" s="37">
        <f>E9+E10+E11+E12+E13</f>
        <v>169301</v>
      </c>
      <c r="F14" s="38">
        <f t="shared" si="0"/>
        <v>129935</v>
      </c>
      <c r="G14" s="53">
        <f>F14/D14</f>
        <v>3.3006909515825837</v>
      </c>
      <c r="H14" s="37">
        <f>H9+H10+H11+H12+H13</f>
        <v>210056</v>
      </c>
      <c r="I14" s="38">
        <f>'Novembre 22)'!I14+'Debre provis 21, (2)'!E14</f>
        <v>169301</v>
      </c>
      <c r="J14" s="48">
        <f t="shared" si="2"/>
        <v>-40755</v>
      </c>
      <c r="K14" s="39">
        <f>J14/H14</f>
        <v>-0.19401968998743191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>
        <v>-27356</v>
      </c>
      <c r="E15" s="27">
        <f>14+423+24243+53-56-14+60+166+28266-25-E11</f>
        <v>-114912</v>
      </c>
      <c r="F15" s="19">
        <f t="shared" si="0"/>
        <v>-87556</v>
      </c>
      <c r="G15" s="40">
        <f>(F15/D15)*100</f>
        <v>320.06141248720576</v>
      </c>
      <c r="H15" s="27">
        <v>-67609</v>
      </c>
      <c r="I15" s="19">
        <f>'Novembre 22)'!I15+'Debre provis 21, (2)'!E15</f>
        <v>-114912</v>
      </c>
      <c r="J15" s="19">
        <f t="shared" si="2"/>
        <v>-47303</v>
      </c>
      <c r="K15" s="21">
        <f t="shared" si="1"/>
        <v>0.69965537132630273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>
        <v>948</v>
      </c>
      <c r="E16" s="17"/>
      <c r="F16" s="19">
        <f t="shared" ref="F16:F28" si="3">E16-D16</f>
        <v>-948</v>
      </c>
      <c r="G16" s="40">
        <f>(F16/D16)*100</f>
        <v>-100</v>
      </c>
      <c r="H16" s="17">
        <v>3281</v>
      </c>
      <c r="I16" s="19">
        <f>'Novembre 22)'!I16+'Debre provis 21, (2)'!E16</f>
        <v>0</v>
      </c>
      <c r="J16" s="19">
        <f t="shared" si="2"/>
        <v>-3281</v>
      </c>
      <c r="K16" s="21">
        <f t="shared" si="1"/>
        <v>-1</v>
      </c>
      <c r="L16" s="9">
        <v>559</v>
      </c>
    </row>
    <row r="17" spans="1:12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3"/>
        <v>0</v>
      </c>
      <c r="G17" s="40"/>
      <c r="H17" s="23"/>
      <c r="I17" s="19">
        <f>'Novembre 22)'!I17+'Debre provis 21, (2)'!E17</f>
        <v>0</v>
      </c>
      <c r="J17" s="42">
        <f t="shared" si="2"/>
        <v>0</v>
      </c>
      <c r="K17" s="43"/>
      <c r="L17" s="9">
        <v>0</v>
      </c>
    </row>
    <row r="18" spans="1:12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12958</v>
      </c>
      <c r="E18" s="47">
        <f>E14+E15+E16+E17</f>
        <v>54389</v>
      </c>
      <c r="F18" s="48">
        <f t="shared" si="3"/>
        <v>41431</v>
      </c>
      <c r="G18" s="52">
        <f>F18/D18</f>
        <v>3.1973298348510575</v>
      </c>
      <c r="H18" s="47">
        <f>H14+H15+H16+H17</f>
        <v>145728</v>
      </c>
      <c r="I18" s="38">
        <f>'Novembre 22)'!I18+'Debre provis 21, (2)'!E18</f>
        <v>54389</v>
      </c>
      <c r="J18" s="48">
        <f t="shared" si="2"/>
        <v>-91339</v>
      </c>
      <c r="K18" s="50">
        <f t="shared" si="1"/>
        <v>-0.62677728370663155</v>
      </c>
      <c r="L18" s="159">
        <v>12250</v>
      </c>
    </row>
    <row r="19" spans="1:12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>
        <v>6127</v>
      </c>
      <c r="E19" s="17">
        <f>E20+E21</f>
        <v>4346</v>
      </c>
      <c r="F19" s="19">
        <f t="shared" si="3"/>
        <v>-1781</v>
      </c>
      <c r="G19" s="40">
        <f>(F19/D19)*100</f>
        <v>-29.068059409172513</v>
      </c>
      <c r="H19" s="17">
        <v>48414</v>
      </c>
      <c r="I19" s="19">
        <f>'Novembre 22)'!I19+'Debre provis 21, (2)'!E19</f>
        <v>4346</v>
      </c>
      <c r="J19" s="19">
        <f t="shared" si="2"/>
        <v>-44068</v>
      </c>
      <c r="K19" s="21">
        <f t="shared" si="1"/>
        <v>-0.91023257735365803</v>
      </c>
      <c r="L19" s="159">
        <v>5644</v>
      </c>
    </row>
    <row r="20" spans="1:12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3"/>
        <v>0</v>
      </c>
      <c r="G20" s="40"/>
      <c r="H20" s="17"/>
      <c r="I20" s="19">
        <f>'Novembre 22)'!I20+'Debre provis 21, (2)'!E20</f>
        <v>0</v>
      </c>
      <c r="J20" s="19">
        <f t="shared" si="2"/>
        <v>0</v>
      </c>
      <c r="K20" s="21"/>
      <c r="L20" s="159">
        <v>0</v>
      </c>
    </row>
    <row r="21" spans="1:12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>
        <v>6127</v>
      </c>
      <c r="E21" s="17">
        <f>4186+160</f>
        <v>4346</v>
      </c>
      <c r="F21" s="19">
        <f t="shared" si="3"/>
        <v>-1781</v>
      </c>
      <c r="G21" s="40">
        <f>(F21/D21)*100</f>
        <v>-29.068059409172513</v>
      </c>
      <c r="H21" s="17">
        <v>48414</v>
      </c>
      <c r="I21" s="19">
        <f>'Novembre 22)'!I21+'Debre provis 21, (2)'!E21</f>
        <v>4346</v>
      </c>
      <c r="J21" s="19">
        <f t="shared" si="2"/>
        <v>-44068</v>
      </c>
      <c r="K21" s="21">
        <f t="shared" si="1"/>
        <v>-0.91023257735365803</v>
      </c>
      <c r="L21" s="159">
        <v>5644</v>
      </c>
    </row>
    <row r="22" spans="1:12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3"/>
        <v>0</v>
      </c>
      <c r="G22" s="40"/>
      <c r="H22" s="17"/>
      <c r="I22" s="19">
        <f>'Novembre 22)'!I22+'Debre provis 21, (2)'!E22</f>
        <v>0</v>
      </c>
      <c r="J22" s="19">
        <f t="shared" si="2"/>
        <v>0</v>
      </c>
      <c r="K22" s="21"/>
      <c r="L22" s="159">
        <v>0</v>
      </c>
    </row>
    <row r="23" spans="1:12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>
        <v>3435</v>
      </c>
      <c r="E23" s="17">
        <v>16500</v>
      </c>
      <c r="F23" s="19">
        <f t="shared" si="3"/>
        <v>13065</v>
      </c>
      <c r="G23" s="40">
        <f>(F23/D23)*100</f>
        <v>380.34934497816596</v>
      </c>
      <c r="H23" s="17">
        <v>29773</v>
      </c>
      <c r="I23" s="19">
        <f>'Novembre 22)'!I23+'Debre provis 21, (2)'!E23</f>
        <v>16500</v>
      </c>
      <c r="J23" s="19">
        <f t="shared" si="2"/>
        <v>-13273</v>
      </c>
      <c r="K23" s="21">
        <f t="shared" si="1"/>
        <v>-0.44580660329829042</v>
      </c>
      <c r="L23" s="159">
        <v>1971</v>
      </c>
    </row>
    <row r="24" spans="1:12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>
        <v>718</v>
      </c>
      <c r="E24" s="30">
        <v>224</v>
      </c>
      <c r="F24" s="32">
        <f t="shared" si="3"/>
        <v>-494</v>
      </c>
      <c r="G24" s="40">
        <f>(F24/D24)*100</f>
        <v>-68.80222841225627</v>
      </c>
      <c r="H24" s="30">
        <v>4033</v>
      </c>
      <c r="I24" s="19">
        <f>'Novembre 22)'!I24+'Debre provis 21, (2)'!E24</f>
        <v>224</v>
      </c>
      <c r="J24" s="32">
        <f t="shared" si="2"/>
        <v>-3809</v>
      </c>
      <c r="K24" s="33">
        <f t="shared" si="1"/>
        <v>-0.94445821968757748</v>
      </c>
      <c r="L24" s="159">
        <v>539</v>
      </c>
    </row>
    <row r="25" spans="1:12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10280</v>
      </c>
      <c r="E25" s="35">
        <f>E19+E23+E24</f>
        <v>21070</v>
      </c>
      <c r="F25" s="38">
        <f t="shared" si="3"/>
        <v>10790</v>
      </c>
      <c r="G25" s="52">
        <f>(F25/D25)*100</f>
        <v>104.96108949416343</v>
      </c>
      <c r="H25" s="35">
        <f>H19+H23+H24</f>
        <v>82220</v>
      </c>
      <c r="I25" s="38">
        <f>'Novembre 22)'!I25+'Debre provis 21, (2)'!E25</f>
        <v>21070</v>
      </c>
      <c r="J25" s="38">
        <f>I25-H25</f>
        <v>-61150</v>
      </c>
      <c r="K25" s="39">
        <f t="shared" si="1"/>
        <v>-0.74373631719776212</v>
      </c>
      <c r="L25" s="159">
        <v>8154</v>
      </c>
    </row>
    <row r="26" spans="1:12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2678</v>
      </c>
      <c r="E26" s="37">
        <f>E18-E25</f>
        <v>33319</v>
      </c>
      <c r="F26" s="38">
        <f t="shared" si="3"/>
        <v>30641</v>
      </c>
      <c r="G26" s="53">
        <f>(F26/D26)*100</f>
        <v>1144.1747572815534</v>
      </c>
      <c r="H26" s="37">
        <f>H18-H25</f>
        <v>63508</v>
      </c>
      <c r="I26" s="38">
        <f>'Novembre 22)'!I26+'Debre provis 21, (2)'!E26</f>
        <v>33319</v>
      </c>
      <c r="J26" s="38">
        <f>I26-H26</f>
        <v>-30189</v>
      </c>
      <c r="K26" s="39">
        <f t="shared" si="1"/>
        <v>-0.4753574352837438</v>
      </c>
      <c r="L26" s="159">
        <v>4096</v>
      </c>
    </row>
    <row r="27" spans="1:12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>
        <v>8277</v>
      </c>
      <c r="E27" s="55">
        <v>8742</v>
      </c>
      <c r="F27" s="57">
        <f>E27-D27</f>
        <v>465</v>
      </c>
      <c r="G27" s="58">
        <f>(F27/D27)*100</f>
        <v>5.6179775280898872</v>
      </c>
      <c r="H27" s="55">
        <v>98257</v>
      </c>
      <c r="I27" s="19">
        <f>'Novembre 22)'!I27+'Debre provis 21, (2)'!E27</f>
        <v>8742</v>
      </c>
      <c r="J27" s="57">
        <f t="shared" si="2"/>
        <v>-89515</v>
      </c>
      <c r="K27" s="59">
        <f t="shared" si="1"/>
        <v>-0.91102923964704807</v>
      </c>
      <c r="L27" s="159">
        <v>16904</v>
      </c>
    </row>
    <row r="28" spans="1:12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>
        <v>1132</v>
      </c>
      <c r="E28" s="23">
        <f>E27-'Novembre 22)'!E27</f>
        <v>8742</v>
      </c>
      <c r="F28" s="25">
        <f t="shared" si="3"/>
        <v>7610</v>
      </c>
      <c r="G28" s="160"/>
      <c r="H28" s="23">
        <v>65</v>
      </c>
      <c r="I28" s="19">
        <f>'Novembre 22)'!I28+'Debre provis 21, (2)'!E28</f>
        <v>8742</v>
      </c>
      <c r="J28" s="25">
        <f t="shared" si="2"/>
        <v>8677</v>
      </c>
      <c r="K28" s="26">
        <f t="shared" si="1"/>
        <v>133.49230769230769</v>
      </c>
      <c r="L28" s="159">
        <v>-386</v>
      </c>
    </row>
    <row r="29" spans="1:12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>
        <v>487</v>
      </c>
      <c r="E29" s="17">
        <v>3360</v>
      </c>
      <c r="F29" s="19">
        <f>E29-D29</f>
        <v>2873</v>
      </c>
      <c r="G29" s="160">
        <f>(F29/D29)*100</f>
        <v>589.93839835728954</v>
      </c>
      <c r="H29" s="17">
        <v>822</v>
      </c>
      <c r="I29" s="19">
        <f>'Novembre 22)'!I29+'Debre provis 21, (2)'!E29</f>
        <v>3360</v>
      </c>
      <c r="J29" s="19">
        <f t="shared" si="2"/>
        <v>2538</v>
      </c>
      <c r="K29" s="21">
        <f t="shared" si="1"/>
        <v>3.0875912408759123</v>
      </c>
      <c r="L29" s="159">
        <v>0</v>
      </c>
    </row>
    <row r="30" spans="1:12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D26-D27-D29-D28</f>
        <v>-7218</v>
      </c>
      <c r="E30" s="37">
        <f>E26-E27-E29-E28</f>
        <v>12475</v>
      </c>
      <c r="F30" s="38">
        <f>E30-D30</f>
        <v>19693</v>
      </c>
      <c r="G30" s="66">
        <f>F30/D30</f>
        <v>-2.7283180936547522</v>
      </c>
      <c r="H30" s="37">
        <f>H26-H27-H29-H28</f>
        <v>-35636</v>
      </c>
      <c r="I30" s="38">
        <f>'Novembre 22)'!I30+'Debre provis 21, (2)'!E30</f>
        <v>12475</v>
      </c>
      <c r="J30" s="38">
        <f t="shared" si="2"/>
        <v>48111</v>
      </c>
      <c r="K30" s="39">
        <f t="shared" si="1"/>
        <v>-1.3500673476259961</v>
      </c>
      <c r="L30" s="159">
        <v>-12422</v>
      </c>
    </row>
    <row r="31" spans="1:12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2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/>
    </row>
    <row r="33" spans="1:11" s="9" customFormat="1" ht="18" customHeight="1" x14ac:dyDescent="0.3">
      <c r="A33" s="288"/>
      <c r="B33" s="289"/>
      <c r="C33" s="296" t="s">
        <v>47</v>
      </c>
      <c r="D33" s="67" t="s">
        <v>159</v>
      </c>
      <c r="E33" s="67" t="s">
        <v>162</v>
      </c>
      <c r="F33" s="288" t="s">
        <v>50</v>
      </c>
      <c r="G33" s="298" t="s">
        <v>62</v>
      </c>
      <c r="I33" s="159"/>
      <c r="J33" s="9" t="s">
        <v>163</v>
      </c>
    </row>
    <row r="34" spans="1:11" s="9" customFormat="1" ht="15.75" customHeight="1" thickBot="1" x14ac:dyDescent="0.35">
      <c r="A34" s="294"/>
      <c r="B34" s="295"/>
      <c r="C34" s="297"/>
      <c r="D34" s="69">
        <v>2021</v>
      </c>
      <c r="E34" s="69">
        <v>2021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09">
        <f>3045+2242</f>
        <v>5287</v>
      </c>
      <c r="E35" s="209">
        <f>E11+4015</f>
        <v>172057</v>
      </c>
      <c r="F35" s="150">
        <f>E35-D35</f>
        <v>166770</v>
      </c>
      <c r="G35" s="151">
        <f>F35/D35</f>
        <v>31.543408360128616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>
        <v>193</v>
      </c>
      <c r="E36" s="17">
        <v>191</v>
      </c>
      <c r="F36" s="70">
        <f>E36-D36</f>
        <v>-2</v>
      </c>
      <c r="G36" s="151">
        <f>F36/D36</f>
        <v>-1.0362694300518135E-2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>
        <v>102</v>
      </c>
      <c r="E37" s="17">
        <v>103</v>
      </c>
      <c r="F37" s="70">
        <f>E37-D37</f>
        <v>1</v>
      </c>
      <c r="G37" s="153">
        <f>F37/D37</f>
        <v>9.8039215686274508E-3</v>
      </c>
      <c r="I37" s="159"/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</sheetData>
  <mergeCells count="15">
    <mergeCell ref="C4:H4"/>
    <mergeCell ref="C5:I5"/>
    <mergeCell ref="J6:K6"/>
    <mergeCell ref="A7:B8"/>
    <mergeCell ref="D7:E7"/>
    <mergeCell ref="F7:G7"/>
    <mergeCell ref="H7:I7"/>
    <mergeCell ref="J7:K7"/>
    <mergeCell ref="I35:K35"/>
    <mergeCell ref="A32:B34"/>
    <mergeCell ref="D32:E32"/>
    <mergeCell ref="F32:G32"/>
    <mergeCell ref="C33:C34"/>
    <mergeCell ref="F33:F34"/>
    <mergeCell ref="G33:G34"/>
  </mergeCells>
  <pageMargins left="0.25" right="0.25" top="0.75" bottom="0.75" header="0.3" footer="0.3"/>
  <pageSetup paperSize="9" scale="72" orientation="landscape" verticalDpi="4294967293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F7" zoomScale="80" zoomScaleNormal="80" workbookViewId="0">
      <selection activeCell="O13" sqref="O13"/>
    </sheetView>
  </sheetViews>
  <sheetFormatPr baseColWidth="10" defaultRowHeight="15" x14ac:dyDescent="0.25"/>
  <cols>
    <col min="1" max="1" width="7.7109375" customWidth="1"/>
    <col min="2" max="2" width="14" customWidth="1"/>
    <col min="3" max="3" width="15.140625" customWidth="1"/>
    <col min="4" max="4" width="14.85546875" customWidth="1"/>
    <col min="5" max="5" width="12.85546875" customWidth="1"/>
    <col min="6" max="6" width="13.140625" customWidth="1"/>
    <col min="7" max="7" width="13.85546875" customWidth="1"/>
    <col min="8" max="8" width="16.85546875" style="3" customWidth="1"/>
    <col min="9" max="9" width="14.28515625" customWidth="1"/>
    <col min="10" max="10" width="15.5703125" customWidth="1"/>
    <col min="11" max="11" width="14.140625" customWidth="1"/>
    <col min="12" max="12" width="12.42578125" customWidth="1"/>
    <col min="13" max="13" width="13.140625" customWidth="1"/>
    <col min="14" max="14" width="14.5703125" customWidth="1"/>
    <col min="15" max="15" width="18" style="3" customWidth="1"/>
    <col min="16" max="16" width="15.42578125" customWidth="1"/>
  </cols>
  <sheetData>
    <row r="1" spans="1:16" s="148" customFormat="1" ht="22.5" customHeight="1" thickBot="1" x14ac:dyDescent="0.3">
      <c r="A1" s="255"/>
      <c r="B1" s="316" t="s">
        <v>82</v>
      </c>
      <c r="C1" s="317"/>
      <c r="D1" s="317"/>
      <c r="E1" s="317"/>
      <c r="F1" s="317"/>
      <c r="G1" s="317"/>
      <c r="H1" s="318"/>
      <c r="I1" s="319" t="s">
        <v>83</v>
      </c>
      <c r="J1" s="320"/>
      <c r="K1" s="320"/>
      <c r="L1" s="320"/>
      <c r="M1" s="320"/>
      <c r="N1" s="320"/>
      <c r="O1" s="320" t="s">
        <v>145</v>
      </c>
      <c r="P1" s="254" t="s">
        <v>76</v>
      </c>
    </row>
    <row r="2" spans="1:16" s="260" customFormat="1" ht="39.950000000000003" customHeight="1" x14ac:dyDescent="0.25">
      <c r="A2" s="258"/>
      <c r="B2" s="257" t="s">
        <v>141</v>
      </c>
      <c r="C2" s="257" t="s">
        <v>142</v>
      </c>
      <c r="D2" s="257" t="s">
        <v>143</v>
      </c>
      <c r="E2" s="257" t="s">
        <v>147</v>
      </c>
      <c r="F2" s="257" t="s">
        <v>144</v>
      </c>
      <c r="G2" s="257" t="s">
        <v>146</v>
      </c>
      <c r="H2" s="257" t="s">
        <v>145</v>
      </c>
      <c r="I2" s="257" t="s">
        <v>141</v>
      </c>
      <c r="J2" s="257" t="s">
        <v>142</v>
      </c>
      <c r="K2" s="257" t="s">
        <v>143</v>
      </c>
      <c r="L2" s="257" t="s">
        <v>147</v>
      </c>
      <c r="M2" s="257" t="s">
        <v>144</v>
      </c>
      <c r="N2" s="257" t="s">
        <v>146</v>
      </c>
      <c r="O2" s="321"/>
      <c r="P2" s="259"/>
    </row>
    <row r="3" spans="1:16" s="210" customFormat="1" ht="39.950000000000003" customHeight="1" x14ac:dyDescent="0.25">
      <c r="A3" s="256" t="s">
        <v>67</v>
      </c>
      <c r="B3" s="256">
        <v>698591.25</v>
      </c>
      <c r="C3" s="256">
        <v>622585</v>
      </c>
      <c r="D3" s="256">
        <v>497432.81</v>
      </c>
      <c r="E3" s="256"/>
      <c r="F3" s="256">
        <v>30000</v>
      </c>
      <c r="G3" s="256">
        <v>0</v>
      </c>
      <c r="H3" s="271">
        <f t="shared" ref="H3:H10" si="0">SUM(B3:G3)</f>
        <v>1848609.06</v>
      </c>
      <c r="I3" s="256">
        <v>692427.6</v>
      </c>
      <c r="J3" s="256">
        <v>671205.82</v>
      </c>
      <c r="K3" s="256">
        <v>880005.91</v>
      </c>
      <c r="L3" s="256"/>
      <c r="M3" s="256">
        <v>47712.73</v>
      </c>
      <c r="O3" s="271">
        <f>SUM(I3:M3)</f>
        <v>2291352.06</v>
      </c>
      <c r="P3" s="256">
        <f>O3-H3</f>
        <v>442743</v>
      </c>
    </row>
    <row r="4" spans="1:16" s="148" customFormat="1" ht="39.950000000000003" customHeight="1" x14ac:dyDescent="0.25">
      <c r="A4" s="147" t="s">
        <v>68</v>
      </c>
      <c r="B4" s="256">
        <v>1214731.1599999999</v>
      </c>
      <c r="C4" s="256">
        <v>1056618.6000000001</v>
      </c>
      <c r="D4" s="256">
        <v>1096481.0900000001</v>
      </c>
      <c r="E4" s="256">
        <v>253910</v>
      </c>
      <c r="F4" s="256">
        <v>96869.29</v>
      </c>
      <c r="G4" s="256">
        <v>6820.23</v>
      </c>
      <c r="H4" s="271">
        <f t="shared" si="0"/>
        <v>3725430.3699999996</v>
      </c>
      <c r="I4" s="256">
        <v>1710584.79</v>
      </c>
      <c r="J4" s="256">
        <v>1109609.69</v>
      </c>
      <c r="K4" s="256">
        <v>1186097.23</v>
      </c>
      <c r="L4" s="256">
        <v>254290</v>
      </c>
      <c r="M4" s="256">
        <v>112306.22</v>
      </c>
      <c r="N4" s="256">
        <v>6020.07</v>
      </c>
      <c r="O4" s="271">
        <f t="shared" ref="O4:O10" si="1">SUM(I4:N4)</f>
        <v>4378908</v>
      </c>
      <c r="P4" s="256">
        <f t="shared" ref="P4:P11" si="2">O4-H4</f>
        <v>653477.63000000035</v>
      </c>
    </row>
    <row r="5" spans="1:16" s="148" customFormat="1" ht="39.950000000000003" customHeight="1" x14ac:dyDescent="0.25">
      <c r="A5" s="147" t="s">
        <v>69</v>
      </c>
      <c r="B5" s="256">
        <v>181747.26</v>
      </c>
      <c r="C5" s="256">
        <v>1358335.26</v>
      </c>
      <c r="D5" s="256">
        <v>1402809.69</v>
      </c>
      <c r="E5" s="256">
        <v>40300</v>
      </c>
      <c r="F5" s="256">
        <v>41187.629999999997</v>
      </c>
      <c r="G5" s="256">
        <v>15964.17</v>
      </c>
      <c r="H5" s="271">
        <f t="shared" si="0"/>
        <v>3040344.01</v>
      </c>
      <c r="I5" s="256">
        <v>885365.97</v>
      </c>
      <c r="J5" s="256">
        <v>1437777.74</v>
      </c>
      <c r="K5" s="256">
        <v>1399937.33</v>
      </c>
      <c r="L5" s="256">
        <v>37130</v>
      </c>
      <c r="M5" s="256">
        <v>41497.03</v>
      </c>
      <c r="N5" s="256">
        <v>15441.08</v>
      </c>
      <c r="O5" s="271">
        <f t="shared" si="1"/>
        <v>3817149.15</v>
      </c>
      <c r="P5" s="256">
        <f t="shared" si="2"/>
        <v>776805.14000000013</v>
      </c>
    </row>
    <row r="6" spans="1:16" s="210" customFormat="1" ht="39.950000000000003" customHeight="1" x14ac:dyDescent="0.25">
      <c r="A6" s="256" t="s">
        <v>70</v>
      </c>
      <c r="B6" s="256">
        <v>1207179.69</v>
      </c>
      <c r="C6" s="256">
        <v>787728.82</v>
      </c>
      <c r="D6" s="256">
        <v>451565.57</v>
      </c>
      <c r="E6" s="256">
        <v>149374.96</v>
      </c>
      <c r="F6" s="256">
        <v>69268.41</v>
      </c>
      <c r="G6" s="256">
        <v>3594.93</v>
      </c>
      <c r="H6" s="271">
        <f t="shared" si="0"/>
        <v>2668712.38</v>
      </c>
      <c r="I6" s="256">
        <v>1088560.26</v>
      </c>
      <c r="J6" s="256">
        <v>817408.92</v>
      </c>
      <c r="K6" s="256">
        <v>1029707.79</v>
      </c>
      <c r="L6" s="256">
        <v>149374.96</v>
      </c>
      <c r="M6" s="256">
        <v>115455.19</v>
      </c>
      <c r="N6" s="256"/>
      <c r="O6" s="271">
        <f t="shared" si="1"/>
        <v>3200507.12</v>
      </c>
      <c r="P6" s="256">
        <f t="shared" si="2"/>
        <v>531794.74000000022</v>
      </c>
    </row>
    <row r="7" spans="1:16" s="210" customFormat="1" ht="39.950000000000003" customHeight="1" x14ac:dyDescent="0.25">
      <c r="A7" s="256" t="s">
        <v>71</v>
      </c>
      <c r="B7" s="256">
        <v>1057216.0900000001</v>
      </c>
      <c r="C7" s="256">
        <v>450118.68</v>
      </c>
      <c r="D7" s="256">
        <v>1197075.3799999999</v>
      </c>
      <c r="E7" s="256">
        <v>19700</v>
      </c>
      <c r="F7" s="256">
        <v>91170.8</v>
      </c>
      <c r="G7" s="256">
        <v>10603.95</v>
      </c>
      <c r="H7" s="271">
        <f t="shared" si="0"/>
        <v>2825884.9</v>
      </c>
      <c r="I7" s="256">
        <v>1069209.9099999999</v>
      </c>
      <c r="J7" s="256">
        <v>557034.11</v>
      </c>
      <c r="K7" s="256">
        <v>1394876.44</v>
      </c>
      <c r="L7" s="256">
        <v>19700</v>
      </c>
      <c r="M7" s="256">
        <v>80409.509999999995</v>
      </c>
      <c r="N7" s="256">
        <v>10980.74</v>
      </c>
      <c r="O7" s="271">
        <f t="shared" si="1"/>
        <v>3132210.71</v>
      </c>
      <c r="P7" s="256">
        <f>O7-H7</f>
        <v>306325.81000000006</v>
      </c>
    </row>
    <row r="8" spans="1:16" s="210" customFormat="1" ht="39.950000000000003" customHeight="1" x14ac:dyDescent="0.25">
      <c r="A8" s="256" t="s">
        <v>72</v>
      </c>
      <c r="B8" s="256">
        <v>775716.04</v>
      </c>
      <c r="C8" s="256">
        <v>924684.24</v>
      </c>
      <c r="D8" s="256">
        <v>816934.25</v>
      </c>
      <c r="E8" s="256">
        <v>47493.46</v>
      </c>
      <c r="F8" s="256">
        <v>36000</v>
      </c>
      <c r="G8" s="256">
        <v>52546.55</v>
      </c>
      <c r="H8" s="271">
        <f t="shared" si="0"/>
        <v>2653374.54</v>
      </c>
      <c r="I8" s="256">
        <v>2960073.68</v>
      </c>
      <c r="J8" s="274">
        <v>1083544.28</v>
      </c>
      <c r="K8" s="256">
        <v>873662.57</v>
      </c>
      <c r="L8" s="256">
        <v>50593.45</v>
      </c>
      <c r="M8" s="256">
        <v>40740.01</v>
      </c>
      <c r="N8" s="256">
        <v>47732.43</v>
      </c>
      <c r="O8" s="271">
        <f t="shared" si="1"/>
        <v>5056346.42</v>
      </c>
      <c r="P8" s="256">
        <f t="shared" si="2"/>
        <v>2402971.88</v>
      </c>
    </row>
    <row r="9" spans="1:16" s="148" customFormat="1" ht="39.950000000000003" customHeight="1" x14ac:dyDescent="0.25">
      <c r="A9" s="147" t="s">
        <v>73</v>
      </c>
      <c r="B9" s="256">
        <v>1091259.51</v>
      </c>
      <c r="C9" s="256">
        <v>1788266.35</v>
      </c>
      <c r="D9" s="256">
        <v>299515.3</v>
      </c>
      <c r="E9" s="256">
        <v>13354.5</v>
      </c>
      <c r="F9" s="256">
        <v>4000</v>
      </c>
      <c r="G9" s="256">
        <v>57070.89</v>
      </c>
      <c r="H9" s="271">
        <f t="shared" si="0"/>
        <v>3253466.5500000003</v>
      </c>
      <c r="I9" s="256">
        <v>661617.56000000006</v>
      </c>
      <c r="J9" s="147">
        <v>1727030.29</v>
      </c>
      <c r="K9" s="275"/>
      <c r="L9" s="147">
        <v>13354.5</v>
      </c>
      <c r="M9" s="147">
        <v>34324.67</v>
      </c>
      <c r="N9" s="147">
        <v>54552.23</v>
      </c>
      <c r="O9" s="271">
        <f t="shared" si="1"/>
        <v>2490879.25</v>
      </c>
      <c r="P9" s="256">
        <f t="shared" si="2"/>
        <v>-762587.30000000028</v>
      </c>
    </row>
    <row r="10" spans="1:16" s="148" customFormat="1" ht="39.950000000000003" customHeight="1" x14ac:dyDescent="0.25">
      <c r="A10" s="147" t="s">
        <v>74</v>
      </c>
      <c r="B10" s="147">
        <v>2313066.6</v>
      </c>
      <c r="C10" s="147">
        <v>1374703.11</v>
      </c>
      <c r="D10" s="147">
        <v>2484557.2999999998</v>
      </c>
      <c r="E10" s="147"/>
      <c r="F10" s="147">
        <v>33480.04</v>
      </c>
      <c r="G10" s="147">
        <v>0</v>
      </c>
      <c r="H10" s="271">
        <f t="shared" si="0"/>
        <v>6205807.0499999998</v>
      </c>
      <c r="I10" s="256">
        <v>949781.22</v>
      </c>
      <c r="J10" s="256"/>
      <c r="K10" s="269"/>
      <c r="L10" s="256"/>
      <c r="M10" s="256">
        <v>59322.69</v>
      </c>
      <c r="N10" s="256">
        <v>22688.98</v>
      </c>
      <c r="O10" s="271">
        <f t="shared" si="1"/>
        <v>1031792.8899999999</v>
      </c>
      <c r="P10" s="256">
        <f t="shared" si="2"/>
        <v>-5174014.16</v>
      </c>
    </row>
    <row r="11" spans="1:16" s="148" customFormat="1" ht="39.950000000000003" customHeight="1" x14ac:dyDescent="0.25">
      <c r="A11" s="147" t="s">
        <v>79</v>
      </c>
      <c r="B11" s="147"/>
      <c r="C11" s="147"/>
      <c r="D11" s="147"/>
      <c r="E11" s="147"/>
      <c r="F11" s="147"/>
      <c r="G11" s="147"/>
      <c r="H11" s="271">
        <v>5355748.21</v>
      </c>
      <c r="I11" s="256">
        <v>1281894.3799999999</v>
      </c>
      <c r="J11" s="147"/>
      <c r="K11" s="147"/>
      <c r="L11" s="147"/>
      <c r="M11" s="147"/>
      <c r="N11" s="147"/>
      <c r="O11" s="258"/>
      <c r="P11" s="256">
        <f t="shared" si="2"/>
        <v>-5355748.21</v>
      </c>
    </row>
    <row r="12" spans="1:16" s="148" customFormat="1" ht="39.950000000000003" customHeight="1" x14ac:dyDescent="0.25">
      <c r="A12" s="147" t="s">
        <v>75</v>
      </c>
      <c r="B12" s="147"/>
      <c r="C12" s="147"/>
      <c r="D12" s="147"/>
      <c r="E12" s="147"/>
      <c r="F12" s="147"/>
      <c r="G12" s="147"/>
      <c r="H12" s="271">
        <v>5736041.4900000002</v>
      </c>
      <c r="I12" s="147"/>
      <c r="J12" s="147"/>
      <c r="K12" s="147"/>
      <c r="L12" s="147"/>
      <c r="M12" s="147"/>
      <c r="N12" s="147"/>
      <c r="O12" s="258"/>
      <c r="P12" s="147">
        <f>M12-B12</f>
        <v>0</v>
      </c>
    </row>
    <row r="13" spans="1:16" s="148" customFormat="1" ht="39.950000000000003" customHeight="1" x14ac:dyDescent="0.25">
      <c r="A13" s="147" t="s">
        <v>80</v>
      </c>
      <c r="B13" s="147"/>
      <c r="C13" s="147"/>
      <c r="D13" s="147"/>
      <c r="E13" s="147"/>
      <c r="F13" s="147"/>
      <c r="G13" s="147"/>
      <c r="H13" s="271">
        <v>3902000</v>
      </c>
      <c r="I13" s="147"/>
      <c r="J13" s="147"/>
      <c r="K13" s="147"/>
      <c r="L13" s="147"/>
      <c r="M13" s="147"/>
      <c r="N13" s="147"/>
      <c r="O13" s="258"/>
      <c r="P13" s="147">
        <f>M13-B13</f>
        <v>0</v>
      </c>
    </row>
    <row r="14" spans="1:16" s="148" customFormat="1" ht="39.950000000000003" customHeight="1" x14ac:dyDescent="0.25">
      <c r="A14" s="147" t="s">
        <v>81</v>
      </c>
      <c r="B14" s="147"/>
      <c r="C14" s="147"/>
      <c r="D14" s="147"/>
      <c r="E14" s="147"/>
      <c r="F14" s="147"/>
      <c r="G14" s="147"/>
      <c r="H14" s="258"/>
      <c r="I14" s="147"/>
      <c r="J14" s="147"/>
      <c r="K14" s="147"/>
      <c r="L14" s="147"/>
      <c r="M14" s="147"/>
      <c r="N14" s="147"/>
      <c r="O14" s="258"/>
      <c r="P14" s="147">
        <f>M14-B14</f>
        <v>0</v>
      </c>
    </row>
    <row r="15" spans="1:16" ht="23.25" customHeight="1" x14ac:dyDescent="0.25">
      <c r="A15" s="149" t="s">
        <v>77</v>
      </c>
      <c r="B15" s="146"/>
      <c r="C15" s="146"/>
      <c r="D15" s="146"/>
      <c r="E15" s="146"/>
      <c r="F15" s="146"/>
      <c r="G15" s="146"/>
      <c r="H15" s="272">
        <f>SUM(H3:H14)</f>
        <v>41215418.560000002</v>
      </c>
      <c r="I15" s="146"/>
      <c r="J15" s="146"/>
      <c r="K15" s="146"/>
      <c r="L15" s="146"/>
      <c r="M15" s="146"/>
      <c r="N15" s="146"/>
      <c r="O15" s="272">
        <f>SUM(O3:O14)</f>
        <v>25399145.600000001</v>
      </c>
      <c r="P15" s="261">
        <f>SUM(P3:P14)</f>
        <v>-6178231.4699999997</v>
      </c>
    </row>
    <row r="17" spans="12:16" x14ac:dyDescent="0.25">
      <c r="P17" s="265">
        <v>800000</v>
      </c>
    </row>
    <row r="18" spans="12:16" x14ac:dyDescent="0.25">
      <c r="P18" s="262">
        <f>P15-P17</f>
        <v>-6978231.4699999997</v>
      </c>
    </row>
    <row r="20" spans="12:16" x14ac:dyDescent="0.25">
      <c r="O20" s="273">
        <f>O15-H15</f>
        <v>-15816272.960000001</v>
      </c>
    </row>
    <row r="21" spans="12:16" x14ac:dyDescent="0.25">
      <c r="L21" s="262">
        <f>H15+O20</f>
        <v>25399145.600000001</v>
      </c>
    </row>
  </sheetData>
  <mergeCells count="3">
    <mergeCell ref="B1:H1"/>
    <mergeCell ref="I1:N1"/>
    <mergeCell ref="O1:O2"/>
  </mergeCells>
  <pageMargins left="0.7" right="0.7" top="0.75" bottom="0.75" header="0.3" footer="0.3"/>
  <pageSetup paperSize="9" scale="58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"/>
  <sheetViews>
    <sheetView zoomScale="70" zoomScaleNormal="70" workbookViewId="0">
      <selection activeCell="E23" sqref="E23"/>
    </sheetView>
  </sheetViews>
  <sheetFormatPr baseColWidth="10" defaultRowHeight="15" x14ac:dyDescent="0.25"/>
  <cols>
    <col min="1" max="1" width="6.5703125" customWidth="1"/>
    <col min="2" max="2" width="47.42578125" customWidth="1"/>
    <col min="3" max="3" width="17.42578125" customWidth="1"/>
    <col min="4" max="4" width="23" customWidth="1"/>
    <col min="5" max="5" width="25" customWidth="1"/>
  </cols>
  <sheetData>
    <row r="1" spans="2:22" s="180" customFormat="1" ht="30" x14ac:dyDescent="0.4">
      <c r="B1" s="190" t="s">
        <v>100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79"/>
      <c r="V1" s="179"/>
    </row>
    <row r="2" spans="2:22" s="180" customFormat="1" x14ac:dyDescent="0.25"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U2" s="179"/>
      <c r="V2" s="179"/>
    </row>
    <row r="3" spans="2:22" s="180" customFormat="1" ht="6.75" customHeight="1" x14ac:dyDescent="0.25">
      <c r="U3" s="179"/>
      <c r="V3" s="179"/>
    </row>
    <row r="4" spans="2:22" s="180" customFormat="1" ht="27.75" customHeight="1" x14ac:dyDescent="0.3">
      <c r="B4" s="191" t="s">
        <v>101</v>
      </c>
      <c r="C4" s="191"/>
      <c r="D4" s="191"/>
      <c r="E4" s="191"/>
      <c r="F4" s="191"/>
      <c r="G4" s="191"/>
      <c r="H4" s="191"/>
      <c r="I4" s="193"/>
      <c r="J4" s="191"/>
      <c r="K4" s="191"/>
      <c r="L4" s="191"/>
      <c r="M4" s="191"/>
      <c r="N4" s="191"/>
      <c r="O4" s="191"/>
      <c r="P4" s="191"/>
      <c r="Q4" s="191"/>
      <c r="R4" s="191"/>
      <c r="S4" s="188"/>
      <c r="U4" s="179"/>
      <c r="V4" s="179"/>
    </row>
    <row r="5" spans="2:22" s="180" customFormat="1" ht="12" customHeight="1" x14ac:dyDescent="0.25">
      <c r="B5" s="176"/>
      <c r="C5" s="176"/>
      <c r="D5" s="177"/>
      <c r="E5" s="175"/>
      <c r="F5" s="175"/>
      <c r="G5" s="178"/>
      <c r="I5" s="192"/>
      <c r="U5" s="179"/>
      <c r="V5" s="179"/>
    </row>
    <row r="6" spans="2:22" s="180" customFormat="1" ht="12" customHeight="1" x14ac:dyDescent="0.25">
      <c r="B6" s="176"/>
      <c r="C6" s="176"/>
      <c r="D6" s="177"/>
      <c r="E6" s="175"/>
      <c r="F6" s="175"/>
      <c r="G6" s="178"/>
      <c r="I6" s="192"/>
      <c r="U6" s="179"/>
      <c r="V6" s="179"/>
    </row>
    <row r="7" spans="2:22" s="180" customFormat="1" ht="20.25" customHeight="1" x14ac:dyDescent="0.25">
      <c r="B7" s="176"/>
      <c r="C7" s="176"/>
      <c r="D7" s="327" t="s">
        <v>112</v>
      </c>
      <c r="E7" s="327"/>
      <c r="F7" s="175"/>
      <c r="G7" s="178"/>
      <c r="I7" s="192"/>
      <c r="U7" s="179"/>
      <c r="V7" s="179"/>
    </row>
    <row r="8" spans="2:22" s="180" customFormat="1" ht="12" customHeight="1" x14ac:dyDescent="0.25">
      <c r="B8" s="176"/>
      <c r="C8" s="176"/>
      <c r="D8" s="177"/>
      <c r="E8" s="175"/>
      <c r="F8" s="175"/>
      <c r="G8" s="178"/>
      <c r="I8" s="192"/>
      <c r="U8" s="179"/>
      <c r="V8" s="179"/>
    </row>
    <row r="9" spans="2:22" s="180" customFormat="1" ht="12" customHeight="1" x14ac:dyDescent="0.25">
      <c r="B9" s="176"/>
      <c r="C9" s="176"/>
      <c r="D9" s="177"/>
      <c r="E9" s="175"/>
      <c r="F9" s="175"/>
      <c r="G9" s="178"/>
      <c r="I9" s="192"/>
      <c r="U9" s="179"/>
      <c r="V9" s="179"/>
    </row>
    <row r="10" spans="2:22" s="180" customFormat="1" ht="19.5" customHeight="1" x14ac:dyDescent="0.25">
      <c r="B10" s="326" t="s">
        <v>109</v>
      </c>
      <c r="C10" s="326"/>
      <c r="D10" s="326"/>
      <c r="E10" s="326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79"/>
      <c r="V10" s="179"/>
    </row>
    <row r="11" spans="2:22" ht="15.75" thickBot="1" x14ac:dyDescent="0.3">
      <c r="D11" s="325" t="s">
        <v>105</v>
      </c>
      <c r="E11" s="325"/>
    </row>
    <row r="12" spans="2:22" ht="30" customHeight="1" thickBot="1" x14ac:dyDescent="0.3">
      <c r="B12" s="182" t="s">
        <v>103</v>
      </c>
      <c r="C12" s="182" t="s">
        <v>104</v>
      </c>
      <c r="D12" s="182" t="s">
        <v>102</v>
      </c>
      <c r="E12" s="196" t="s">
        <v>108</v>
      </c>
    </row>
    <row r="13" spans="2:22" ht="24" customHeight="1" thickBot="1" x14ac:dyDescent="0.35">
      <c r="B13" s="183" t="s">
        <v>110</v>
      </c>
      <c r="C13" s="201" t="s">
        <v>106</v>
      </c>
      <c r="D13" s="202">
        <v>787</v>
      </c>
      <c r="E13" s="64"/>
    </row>
    <row r="14" spans="2:22" s="195" customFormat="1" ht="52.5" customHeight="1" thickBot="1" x14ac:dyDescent="0.35">
      <c r="B14" s="207" t="s">
        <v>111</v>
      </c>
      <c r="C14" s="199"/>
      <c r="D14" s="200"/>
      <c r="E14" s="197"/>
    </row>
    <row r="15" spans="2:22" ht="39.950000000000003" customHeight="1" thickBot="1" x14ac:dyDescent="0.3">
      <c r="B15" s="198" t="s">
        <v>107</v>
      </c>
      <c r="C15" s="322">
        <v>787</v>
      </c>
      <c r="D15" s="323"/>
      <c r="E15" s="324"/>
    </row>
    <row r="18" spans="2:2" s="203" customFormat="1" ht="30" customHeight="1" x14ac:dyDescent="0.3"/>
    <row r="19" spans="2:2" s="203" customFormat="1" ht="30" customHeight="1" thickBot="1" x14ac:dyDescent="0.35"/>
    <row r="20" spans="2:2" s="203" customFormat="1" ht="26.25" customHeight="1" x14ac:dyDescent="0.3">
      <c r="B20" s="204"/>
    </row>
    <row r="21" spans="2:2" s="203" customFormat="1" ht="20.25" x14ac:dyDescent="0.3"/>
    <row r="22" spans="2:2" s="205" customFormat="1" ht="21" x14ac:dyDescent="0.35"/>
  </sheetData>
  <mergeCells count="4">
    <mergeCell ref="C15:E15"/>
    <mergeCell ref="D11:E11"/>
    <mergeCell ref="B10:E10"/>
    <mergeCell ref="D7:E7"/>
  </mergeCells>
  <pageMargins left="0.7" right="0.7" top="0.75" bottom="0.75" header="0.3" footer="0.3"/>
  <pageSetup paperSize="9" scale="70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3" workbookViewId="0">
      <selection activeCell="B25" sqref="B25"/>
    </sheetView>
  </sheetViews>
  <sheetFormatPr baseColWidth="10" defaultRowHeight="15" x14ac:dyDescent="0.25"/>
  <cols>
    <col min="1" max="1" width="3.85546875" customWidth="1"/>
    <col min="2" max="2" width="60" customWidth="1"/>
    <col min="3" max="3" width="15.7109375" customWidth="1"/>
    <col min="4" max="4" width="20.42578125" style="210" customWidth="1"/>
    <col min="5" max="5" width="18" customWidth="1"/>
    <col min="6" max="6" width="14.28515625" customWidth="1"/>
    <col min="7" max="7" width="14.85546875" customWidth="1"/>
    <col min="8" max="8" width="16.5703125" customWidth="1"/>
    <col min="9" max="9" width="20.42578125" customWidth="1"/>
  </cols>
  <sheetData>
    <row r="1" spans="1:8" s="6" customFormat="1" ht="18.75" x14ac:dyDescent="0.3">
      <c r="B1" s="6" t="s">
        <v>126</v>
      </c>
      <c r="D1" s="213"/>
    </row>
    <row r="2" spans="1:8" ht="5.25" customHeight="1" thickBot="1" x14ac:dyDescent="0.3"/>
    <row r="3" spans="1:8" s="148" customFormat="1" x14ac:dyDescent="0.25">
      <c r="A3" s="328" t="s">
        <v>127</v>
      </c>
      <c r="B3" s="330" t="s">
        <v>119</v>
      </c>
      <c r="C3" s="334" t="s">
        <v>121</v>
      </c>
      <c r="D3" s="332" t="s">
        <v>120</v>
      </c>
      <c r="E3" s="334" t="s">
        <v>106</v>
      </c>
      <c r="F3" s="330" t="s">
        <v>136</v>
      </c>
      <c r="G3" s="336" t="s">
        <v>137</v>
      </c>
      <c r="H3" s="330" t="s">
        <v>135</v>
      </c>
    </row>
    <row r="4" spans="1:8" s="148" customFormat="1" ht="15.75" thickBot="1" x14ac:dyDescent="0.3">
      <c r="A4" s="329"/>
      <c r="B4" s="331"/>
      <c r="C4" s="335"/>
      <c r="D4" s="333"/>
      <c r="E4" s="335"/>
      <c r="F4" s="331"/>
      <c r="G4" s="337"/>
      <c r="H4" s="331"/>
    </row>
    <row r="5" spans="1:8" ht="30" customHeight="1" x14ac:dyDescent="0.25">
      <c r="A5" s="215" t="s">
        <v>0</v>
      </c>
      <c r="B5" s="219" t="s">
        <v>129</v>
      </c>
      <c r="C5" s="218">
        <v>112500</v>
      </c>
      <c r="D5" s="267">
        <v>112500</v>
      </c>
      <c r="E5" s="217">
        <v>112500</v>
      </c>
      <c r="F5" s="228">
        <v>112500</v>
      </c>
      <c r="G5" s="218"/>
      <c r="H5" s="234">
        <f>C5-D5</f>
        <v>0</v>
      </c>
    </row>
    <row r="6" spans="1:8" ht="29.25" customHeight="1" x14ac:dyDescent="0.25">
      <c r="A6" s="216" t="s">
        <v>1</v>
      </c>
      <c r="B6" s="186" t="s">
        <v>130</v>
      </c>
      <c r="C6" s="222">
        <v>598500</v>
      </c>
      <c r="D6" s="268">
        <v>598500</v>
      </c>
      <c r="E6" s="212">
        <v>598500</v>
      </c>
      <c r="F6" s="229">
        <v>598500</v>
      </c>
      <c r="G6" s="222"/>
      <c r="H6" s="231">
        <f>C6-D6</f>
        <v>0</v>
      </c>
    </row>
    <row r="7" spans="1:8" ht="29.25" customHeight="1" x14ac:dyDescent="0.25">
      <c r="A7" s="216" t="s">
        <v>2</v>
      </c>
      <c r="B7" s="186" t="s">
        <v>151</v>
      </c>
      <c r="C7" s="223"/>
      <c r="D7" s="268">
        <f>2921696+826164.5+129336+4063598</f>
        <v>7940794.5</v>
      </c>
      <c r="E7" s="212"/>
      <c r="F7" s="229"/>
      <c r="G7" s="222"/>
      <c r="H7" s="231"/>
    </row>
    <row r="8" spans="1:8" ht="34.5" customHeight="1" x14ac:dyDescent="0.25">
      <c r="A8" s="216" t="s">
        <v>3</v>
      </c>
      <c r="B8" s="184" t="s">
        <v>131</v>
      </c>
      <c r="C8" s="224">
        <v>1507700</v>
      </c>
      <c r="D8" s="230"/>
      <c r="E8" s="214">
        <v>1424000</v>
      </c>
      <c r="F8" s="229">
        <v>1424000</v>
      </c>
      <c r="G8" s="214"/>
      <c r="H8" s="235" t="s">
        <v>132</v>
      </c>
    </row>
    <row r="9" spans="1:8" ht="38.25" customHeight="1" x14ac:dyDescent="0.25">
      <c r="A9" s="216" t="s">
        <v>4</v>
      </c>
      <c r="B9" s="184" t="s">
        <v>125</v>
      </c>
      <c r="C9" s="222">
        <v>5051431.5</v>
      </c>
      <c r="D9" s="268">
        <v>2325000</v>
      </c>
      <c r="E9" s="212">
        <f>2586762+2464669.5</f>
        <v>5051431.5</v>
      </c>
      <c r="F9" s="229">
        <f>2586762+2464669.5</f>
        <v>5051431.5</v>
      </c>
      <c r="G9" s="222"/>
      <c r="H9" s="231" t="s">
        <v>134</v>
      </c>
    </row>
    <row r="10" spans="1:8" ht="27.75" customHeight="1" x14ac:dyDescent="0.25">
      <c r="A10" s="216" t="s">
        <v>5</v>
      </c>
      <c r="B10" s="189" t="s">
        <v>93</v>
      </c>
      <c r="C10" s="222">
        <v>262500</v>
      </c>
      <c r="D10" s="268">
        <v>262500</v>
      </c>
      <c r="E10" s="212">
        <v>262500</v>
      </c>
      <c r="F10" s="229">
        <v>262500</v>
      </c>
      <c r="G10" s="222"/>
      <c r="H10" s="231">
        <f>C10-D10</f>
        <v>0</v>
      </c>
    </row>
    <row r="11" spans="1:8" ht="27.75" customHeight="1" x14ac:dyDescent="0.25">
      <c r="A11" s="216" t="s">
        <v>6</v>
      </c>
      <c r="B11" s="189" t="s">
        <v>128</v>
      </c>
      <c r="C11" s="222">
        <v>510000</v>
      </c>
      <c r="D11" s="268">
        <v>510000</v>
      </c>
      <c r="E11" s="212">
        <v>510000</v>
      </c>
      <c r="F11" s="229">
        <v>510000</v>
      </c>
      <c r="G11" s="222"/>
      <c r="H11" s="231">
        <f>C11-D11</f>
        <v>0</v>
      </c>
    </row>
    <row r="12" spans="1:8" ht="34.5" customHeight="1" x14ac:dyDescent="0.25">
      <c r="A12" s="216" t="s">
        <v>7</v>
      </c>
      <c r="B12" s="189" t="s">
        <v>94</v>
      </c>
      <c r="C12" s="224">
        <f>309250+366260</f>
        <v>675510</v>
      </c>
      <c r="D12" s="268">
        <f>309250+366260</f>
        <v>675510</v>
      </c>
      <c r="E12" s="212">
        <f>309250+366260</f>
        <v>675510</v>
      </c>
      <c r="F12" s="212">
        <f>309250+366260</f>
        <v>675510</v>
      </c>
      <c r="G12" s="222"/>
      <c r="H12" s="231">
        <f>C12-D12</f>
        <v>0</v>
      </c>
    </row>
    <row r="13" spans="1:8" ht="36" customHeight="1" x14ac:dyDescent="0.25">
      <c r="A13" s="216" t="s">
        <v>8</v>
      </c>
      <c r="B13" s="185" t="s">
        <v>115</v>
      </c>
      <c r="C13" s="222">
        <v>1770590</v>
      </c>
      <c r="D13" s="268">
        <v>1770590</v>
      </c>
      <c r="E13" s="212">
        <v>1770590</v>
      </c>
      <c r="F13" s="229">
        <v>1770590</v>
      </c>
      <c r="G13" s="222"/>
      <c r="H13" s="231"/>
    </row>
    <row r="14" spans="1:8" ht="33.75" customHeight="1" x14ac:dyDescent="0.25">
      <c r="A14" s="216" t="s">
        <v>9</v>
      </c>
      <c r="B14" s="189" t="s">
        <v>133</v>
      </c>
      <c r="C14" s="222">
        <v>985000</v>
      </c>
      <c r="D14" s="268">
        <f>829876</f>
        <v>829876</v>
      </c>
      <c r="E14" s="212">
        <f>829876</f>
        <v>829876</v>
      </c>
      <c r="F14" s="229">
        <f>829876</f>
        <v>829876</v>
      </c>
      <c r="G14" s="222"/>
      <c r="H14" s="231">
        <f>C14-D14</f>
        <v>155124</v>
      </c>
    </row>
    <row r="15" spans="1:8" ht="21.75" customHeight="1" x14ac:dyDescent="0.25">
      <c r="A15" s="216" t="s">
        <v>10</v>
      </c>
      <c r="B15" s="248" t="s">
        <v>138</v>
      </c>
      <c r="C15" s="250">
        <v>240500</v>
      </c>
      <c r="D15" s="251">
        <v>240500</v>
      </c>
      <c r="E15" s="252">
        <v>240500</v>
      </c>
      <c r="F15" s="251">
        <v>240500</v>
      </c>
      <c r="G15" s="222"/>
      <c r="H15" s="231"/>
    </row>
    <row r="16" spans="1:8" ht="31.5" x14ac:dyDescent="0.25">
      <c r="A16" s="216" t="s">
        <v>11</v>
      </c>
      <c r="B16" s="189" t="s">
        <v>95</v>
      </c>
      <c r="C16" s="222">
        <v>2010000</v>
      </c>
      <c r="D16" s="268">
        <v>2010000</v>
      </c>
      <c r="E16" s="212">
        <v>2010000</v>
      </c>
      <c r="F16" s="229">
        <v>2010000</v>
      </c>
      <c r="G16" s="222"/>
      <c r="H16" s="231">
        <f>C16-D16</f>
        <v>0</v>
      </c>
    </row>
    <row r="17" spans="1:8" ht="25.5" customHeight="1" x14ac:dyDescent="0.25">
      <c r="A17" s="216" t="s">
        <v>12</v>
      </c>
      <c r="B17" s="189" t="s">
        <v>118</v>
      </c>
      <c r="C17" s="222">
        <v>18190072.469999999</v>
      </c>
      <c r="D17" s="268">
        <f>5092614.16+367402+283000</f>
        <v>5743016.1600000001</v>
      </c>
      <c r="E17" s="233">
        <v>3121534.81</v>
      </c>
      <c r="F17" s="233"/>
      <c r="G17" s="233">
        <v>3121534.81</v>
      </c>
      <c r="H17" s="231"/>
    </row>
    <row r="18" spans="1:8" ht="25.5" customHeight="1" x14ac:dyDescent="0.25">
      <c r="A18" s="216" t="s">
        <v>13</v>
      </c>
      <c r="B18" s="189" t="s">
        <v>96</v>
      </c>
      <c r="C18" s="229">
        <f>3304992.4+2809817</f>
        <v>6114809.4000000004</v>
      </c>
      <c r="D18" s="268">
        <f>3304992.4+2809817</f>
        <v>6114809.4000000004</v>
      </c>
      <c r="E18" s="212">
        <v>1168499</v>
      </c>
      <c r="F18" s="229">
        <v>1168499</v>
      </c>
      <c r="G18" s="222"/>
      <c r="H18" s="231"/>
    </row>
    <row r="19" spans="1:8" ht="24" customHeight="1" x14ac:dyDescent="0.25">
      <c r="A19" s="216" t="s">
        <v>14</v>
      </c>
      <c r="B19" s="189" t="s">
        <v>97</v>
      </c>
      <c r="C19" s="222">
        <v>180000</v>
      </c>
      <c r="D19" s="268">
        <v>180000</v>
      </c>
      <c r="E19" s="212">
        <v>180000</v>
      </c>
      <c r="F19" s="229">
        <v>180000</v>
      </c>
      <c r="G19" s="222"/>
      <c r="H19" s="231">
        <f>C19-D19</f>
        <v>0</v>
      </c>
    </row>
    <row r="20" spans="1:8" ht="27.75" customHeight="1" x14ac:dyDescent="0.25">
      <c r="A20" s="216" t="s">
        <v>15</v>
      </c>
      <c r="B20" s="189" t="s">
        <v>98</v>
      </c>
      <c r="C20" s="222">
        <v>214550</v>
      </c>
      <c r="D20" s="268">
        <v>214550</v>
      </c>
      <c r="E20" s="212">
        <v>214550</v>
      </c>
      <c r="F20" s="229">
        <v>214550</v>
      </c>
      <c r="G20" s="222"/>
      <c r="H20" s="231">
        <f>C20-D20</f>
        <v>0</v>
      </c>
    </row>
    <row r="21" spans="1:8" ht="41.25" customHeight="1" x14ac:dyDescent="0.25">
      <c r="A21" s="216" t="s">
        <v>16</v>
      </c>
      <c r="B21" s="220" t="s">
        <v>116</v>
      </c>
      <c r="C21" s="225"/>
      <c r="D21" s="229">
        <v>93451</v>
      </c>
      <c r="E21" s="211"/>
      <c r="F21" s="245"/>
      <c r="G21" s="227"/>
      <c r="H21" s="231">
        <f>C21-D21</f>
        <v>-93451</v>
      </c>
    </row>
    <row r="22" spans="1:8" ht="53.25" customHeight="1" x14ac:dyDescent="0.25">
      <c r="A22" s="216" t="s">
        <v>17</v>
      </c>
      <c r="B22" s="220" t="s">
        <v>117</v>
      </c>
      <c r="C22" s="222">
        <v>3130900</v>
      </c>
      <c r="D22" s="268">
        <f>525500+1626217.2+1050400</f>
        <v>3202117.2</v>
      </c>
      <c r="F22" s="246"/>
      <c r="H22" s="231"/>
    </row>
    <row r="23" spans="1:8" ht="28.5" customHeight="1" x14ac:dyDescent="0.25">
      <c r="A23" s="216" t="s">
        <v>18</v>
      </c>
      <c r="B23" s="221" t="s">
        <v>122</v>
      </c>
      <c r="C23" s="226">
        <v>551200</v>
      </c>
      <c r="D23" s="229">
        <f>267472+186000</f>
        <v>453472</v>
      </c>
      <c r="E23" s="211"/>
      <c r="F23" s="245"/>
      <c r="G23" s="227"/>
      <c r="H23" s="231"/>
    </row>
    <row r="24" spans="1:8" ht="28.5" customHeight="1" x14ac:dyDescent="0.25">
      <c r="A24" s="216" t="s">
        <v>19</v>
      </c>
      <c r="B24" s="221" t="s">
        <v>123</v>
      </c>
      <c r="C24" s="226">
        <v>551200</v>
      </c>
      <c r="D24" s="229">
        <f>157588.5+206000</f>
        <v>363588.5</v>
      </c>
      <c r="F24" s="246"/>
      <c r="H24" s="231"/>
    </row>
    <row r="25" spans="1:8" ht="22.5" customHeight="1" thickBot="1" x14ac:dyDescent="0.3">
      <c r="A25" s="216" t="s">
        <v>20</v>
      </c>
      <c r="B25" s="236" t="s">
        <v>124</v>
      </c>
      <c r="C25" s="237">
        <v>2969100</v>
      </c>
      <c r="D25" s="238">
        <v>516000</v>
      </c>
      <c r="E25" s="239"/>
      <c r="F25" s="249"/>
      <c r="G25" s="243"/>
      <c r="H25" s="231"/>
    </row>
    <row r="26" spans="1:8" ht="37.5" customHeight="1" thickBot="1" x14ac:dyDescent="0.3">
      <c r="B26" s="240" t="s">
        <v>92</v>
      </c>
      <c r="C26" s="241">
        <f>SUM(C5:C25)</f>
        <v>45626063.369999997</v>
      </c>
      <c r="D26" s="242">
        <f>SUM(D5:D25)</f>
        <v>34156774.760000005</v>
      </c>
      <c r="E26" s="244">
        <f>SUM(E5:E25)</f>
        <v>18169991.310000002</v>
      </c>
      <c r="F26" s="242"/>
      <c r="G26" s="247"/>
      <c r="H26" s="232"/>
    </row>
    <row r="30" spans="1:8" x14ac:dyDescent="0.25">
      <c r="D30" s="210">
        <f>C18-D18</f>
        <v>0</v>
      </c>
    </row>
  </sheetData>
  <mergeCells count="8">
    <mergeCell ref="A3:A4"/>
    <mergeCell ref="B3:B4"/>
    <mergeCell ref="H3:H4"/>
    <mergeCell ref="D3:D4"/>
    <mergeCell ref="C3:C4"/>
    <mergeCell ref="E3:E4"/>
    <mergeCell ref="F3:F4"/>
    <mergeCell ref="G3:G4"/>
  </mergeCells>
  <pageMargins left="0.25" right="0.25" top="0.75" bottom="0.75" header="0.3" footer="0.3"/>
  <pageSetup paperSize="9" scale="7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topLeftCell="A3" workbookViewId="0">
      <selection activeCell="A5" sqref="A5"/>
    </sheetView>
  </sheetViews>
  <sheetFormatPr baseColWidth="10" defaultRowHeight="15" x14ac:dyDescent="0.25"/>
  <cols>
    <col min="1" max="1" width="78.140625" customWidth="1"/>
  </cols>
  <sheetData>
    <row r="3" spans="1:1" ht="120" x14ac:dyDescent="0.25">
      <c r="A3" s="282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4" zoomScale="70" zoomScaleNormal="70" workbookViewId="0">
      <selection activeCell="R25" sqref="R25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6.5703125" customWidth="1"/>
    <col min="8" max="8" width="13.5703125" customWidth="1"/>
    <col min="9" max="9" width="13.140625" customWidth="1"/>
    <col min="10" max="10" width="14.42578125" customWidth="1"/>
    <col min="11" max="11" width="18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58</v>
      </c>
      <c r="B2" s="5"/>
    </row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26.25" x14ac:dyDescent="0.4">
      <c r="C5" s="302" t="s">
        <v>64</v>
      </c>
      <c r="D5" s="302"/>
      <c r="E5" s="302"/>
      <c r="F5" s="302"/>
      <c r="G5" s="302"/>
      <c r="H5" s="302"/>
      <c r="I5" s="302"/>
    </row>
    <row r="6" spans="1:12" ht="1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142" t="s">
        <v>47</v>
      </c>
      <c r="D8" s="11">
        <v>42795</v>
      </c>
      <c r="E8" s="12">
        <v>43160</v>
      </c>
      <c r="F8" s="13" t="s">
        <v>50</v>
      </c>
      <c r="G8" s="14" t="s">
        <v>62</v>
      </c>
      <c r="H8" s="11">
        <v>42795</v>
      </c>
      <c r="I8" s="12">
        <v>43160</v>
      </c>
      <c r="J8" s="13" t="s">
        <v>50</v>
      </c>
      <c r="K8" s="15" t="s">
        <v>63</v>
      </c>
    </row>
    <row r="9" spans="1:12" s="79" customFormat="1" ht="20.100000000000001" customHeight="1" thickBot="1" x14ac:dyDescent="0.35">
      <c r="A9" s="73" t="s">
        <v>0</v>
      </c>
      <c r="B9" s="74" t="s">
        <v>21</v>
      </c>
      <c r="C9" s="75">
        <v>700</v>
      </c>
      <c r="D9" s="74">
        <v>353</v>
      </c>
      <c r="E9" s="74">
        <v>891</v>
      </c>
      <c r="F9" s="76">
        <f>E9-D9</f>
        <v>538</v>
      </c>
      <c r="G9" s="85">
        <f>(F9/D9)*100</f>
        <v>152.40793201133144</v>
      </c>
      <c r="H9" s="74">
        <v>763</v>
      </c>
      <c r="I9" s="74" t="e">
        <f>#REF!+'TABLEAU DE BORD MARS RECTIFI(3)'!E9</f>
        <v>#REF!</v>
      </c>
      <c r="J9" s="76" t="e">
        <f>I9-H9</f>
        <v>#REF!</v>
      </c>
      <c r="K9" s="78" t="e">
        <f>J9/H9</f>
        <v>#REF!</v>
      </c>
    </row>
    <row r="10" spans="1:12" s="79" customFormat="1" ht="20.100000000000001" customHeight="1" thickBot="1" x14ac:dyDescent="0.35">
      <c r="A10" s="80" t="s">
        <v>1</v>
      </c>
      <c r="B10" s="81" t="s">
        <v>22</v>
      </c>
      <c r="C10" s="82" t="s">
        <v>23</v>
      </c>
      <c r="D10" s="81">
        <v>349</v>
      </c>
      <c r="E10" s="81">
        <v>314</v>
      </c>
      <c r="F10" s="83">
        <f>E10-D10</f>
        <v>-35</v>
      </c>
      <c r="G10" s="85">
        <f>(F10/D10)*100</f>
        <v>-10.028653295128938</v>
      </c>
      <c r="H10" s="81">
        <v>364</v>
      </c>
      <c r="I10" s="74" t="e">
        <f>#REF!+'TABLEAU DE BORD MARS RECTIFI(3)'!E10</f>
        <v>#REF!</v>
      </c>
      <c r="J10" s="83" t="e">
        <f t="shared" ref="J10:J30" si="0">I10-H10</f>
        <v>#REF!</v>
      </c>
      <c r="K10" s="108" t="e">
        <f t="shared" ref="K10:K30" si="1">J10/H10</f>
        <v>#REF!</v>
      </c>
    </row>
    <row r="11" spans="1:12" s="79" customFormat="1" ht="20.100000000000001" customHeight="1" thickBot="1" x14ac:dyDescent="0.35">
      <c r="A11" s="73" t="s">
        <v>2</v>
      </c>
      <c r="B11" s="74" t="s">
        <v>24</v>
      </c>
      <c r="C11" s="75">
        <v>704</v>
      </c>
      <c r="D11" s="74"/>
      <c r="E11" s="84">
        <v>5326</v>
      </c>
      <c r="F11" s="76">
        <f>E11-D11</f>
        <v>5326</v>
      </c>
      <c r="G11" s="85" t="e">
        <f>(F11/D11)*100</f>
        <v>#DIV/0!</v>
      </c>
      <c r="H11" s="74">
        <v>2163</v>
      </c>
      <c r="I11" s="84" t="e">
        <f>#REF!+'TABLEAU DE BORD MARS RECTIFI(3)'!E11</f>
        <v>#REF!</v>
      </c>
      <c r="J11" s="76" t="e">
        <f t="shared" si="0"/>
        <v>#REF!</v>
      </c>
      <c r="K11" s="78" t="e">
        <f>J11/H11</f>
        <v>#REF!</v>
      </c>
    </row>
    <row r="12" spans="1:12" s="79" customFormat="1" ht="20.100000000000001" customHeight="1" thickBot="1" x14ac:dyDescent="0.35">
      <c r="A12" s="80" t="s">
        <v>3</v>
      </c>
      <c r="B12" s="81" t="s">
        <v>25</v>
      </c>
      <c r="C12" s="82" t="s">
        <v>28</v>
      </c>
      <c r="D12" s="81"/>
      <c r="E12" s="81">
        <v>0</v>
      </c>
      <c r="F12" s="83">
        <f>E12-D12</f>
        <v>0</v>
      </c>
      <c r="G12" s="77" t="e">
        <f>(F12/D12)*100</f>
        <v>#DIV/0!</v>
      </c>
      <c r="H12" s="81"/>
      <c r="I12" s="74" t="e">
        <f>#REF!+'TABLEAU DE BORD MARS RECTIFI(3)'!E12</f>
        <v>#REF!</v>
      </c>
      <c r="J12" s="83" t="e">
        <f t="shared" si="0"/>
        <v>#REF!</v>
      </c>
      <c r="K12" s="108" t="e">
        <f t="shared" si="1"/>
        <v>#REF!</v>
      </c>
    </row>
    <row r="13" spans="1:12" s="79" customFormat="1" ht="24.75" customHeight="1" thickBot="1" x14ac:dyDescent="0.35">
      <c r="A13" s="86" t="s">
        <v>4</v>
      </c>
      <c r="B13" s="87" t="s">
        <v>26</v>
      </c>
      <c r="C13" s="88"/>
      <c r="D13" s="87">
        <v>586</v>
      </c>
      <c r="E13" s="87">
        <v>488</v>
      </c>
      <c r="F13" s="89">
        <f>E13-D13</f>
        <v>-98</v>
      </c>
      <c r="G13" s="85">
        <f>(F13/D13)*100</f>
        <v>-16.723549488054605</v>
      </c>
      <c r="H13" s="87">
        <v>1368</v>
      </c>
      <c r="I13" s="74" t="e">
        <f>#REF!+'TABLEAU DE BORD MARS RECTIFI(3)'!E13</f>
        <v>#REF!</v>
      </c>
      <c r="J13" s="89" t="e">
        <f t="shared" si="0"/>
        <v>#REF!</v>
      </c>
      <c r="K13" s="90" t="e">
        <f t="shared" si="1"/>
        <v>#REF!</v>
      </c>
    </row>
    <row r="14" spans="1:12" s="79" customFormat="1" ht="19.5" customHeight="1" thickBot="1" x14ac:dyDescent="0.35">
      <c r="A14" s="91" t="s">
        <v>5</v>
      </c>
      <c r="B14" s="122" t="s">
        <v>27</v>
      </c>
      <c r="C14" s="123">
        <v>70</v>
      </c>
      <c r="D14" s="122">
        <v>1288</v>
      </c>
      <c r="E14" s="124">
        <f>E9+E10+E11+E12+E13</f>
        <v>7019</v>
      </c>
      <c r="F14" s="125">
        <f t="shared" ref="F14:F28" si="2">E14-D14</f>
        <v>5731</v>
      </c>
      <c r="G14" s="126">
        <f>F14/D14</f>
        <v>4.4495341614906829</v>
      </c>
      <c r="H14" s="122">
        <v>4658</v>
      </c>
      <c r="I14" s="122" t="e">
        <f>#REF!+'TABLEAU DE BORD MARS RECTIFI(3)'!E14</f>
        <v>#REF!</v>
      </c>
      <c r="J14" s="125" t="e">
        <f t="shared" si="0"/>
        <v>#REF!</v>
      </c>
      <c r="K14" s="127" t="e">
        <f t="shared" si="1"/>
        <v>#REF!</v>
      </c>
    </row>
    <row r="15" spans="1:12" s="79" customFormat="1" ht="20.100000000000001" customHeight="1" thickBot="1" x14ac:dyDescent="0.35">
      <c r="A15" s="73" t="s">
        <v>6</v>
      </c>
      <c r="B15" s="74" t="s">
        <v>29</v>
      </c>
      <c r="C15" s="75">
        <v>72</v>
      </c>
      <c r="D15" s="74">
        <v>4944</v>
      </c>
      <c r="E15" s="74">
        <v>-653</v>
      </c>
      <c r="F15" s="76">
        <f t="shared" si="2"/>
        <v>-5597</v>
      </c>
      <c r="G15" s="85">
        <f>(F15/D15)*100</f>
        <v>-113.20792880258898</v>
      </c>
      <c r="H15" s="74">
        <v>15140</v>
      </c>
      <c r="I15" s="74" t="e">
        <f>#REF!+'TABLEAU DE BORD MARS RECTIFI(3)'!E15</f>
        <v>#REF!</v>
      </c>
      <c r="J15" s="76" t="e">
        <f t="shared" si="0"/>
        <v>#REF!</v>
      </c>
      <c r="K15" s="78" t="e">
        <f t="shared" si="1"/>
        <v>#REF!</v>
      </c>
    </row>
    <row r="16" spans="1:12" s="79" customFormat="1" ht="20.100000000000001" customHeight="1" thickBot="1" x14ac:dyDescent="0.35">
      <c r="A16" s="73" t="s">
        <v>7</v>
      </c>
      <c r="B16" s="74" t="s">
        <v>60</v>
      </c>
      <c r="C16" s="75">
        <v>73</v>
      </c>
      <c r="D16" s="74"/>
      <c r="E16" s="74"/>
      <c r="F16" s="76">
        <f t="shared" si="2"/>
        <v>0</v>
      </c>
      <c r="G16" s="77" t="e">
        <f>(F16/D16)*100</f>
        <v>#DIV/0!</v>
      </c>
      <c r="H16" s="74"/>
      <c r="I16" s="74" t="e">
        <f>#REF!+'TABLEAU DE BORD MARS RECTIFI(3)'!E16</f>
        <v>#REF!</v>
      </c>
      <c r="J16" s="76" t="e">
        <f t="shared" si="0"/>
        <v>#REF!</v>
      </c>
      <c r="K16" s="92" t="e">
        <f t="shared" si="1"/>
        <v>#REF!</v>
      </c>
    </row>
    <row r="17" spans="1:11" s="79" customFormat="1" ht="18" customHeight="1" thickBot="1" x14ac:dyDescent="0.35">
      <c r="A17" s="80" t="s">
        <v>8</v>
      </c>
      <c r="B17" s="81" t="s">
        <v>30</v>
      </c>
      <c r="C17" s="93">
        <v>74</v>
      </c>
      <c r="D17" s="81">
        <v>116</v>
      </c>
      <c r="E17" s="81">
        <v>96</v>
      </c>
      <c r="F17" s="83">
        <f t="shared" si="2"/>
        <v>-20</v>
      </c>
      <c r="G17" s="85">
        <f>(F17/D17)*100</f>
        <v>-17.241379310344829</v>
      </c>
      <c r="H17" s="94">
        <v>116</v>
      </c>
      <c r="I17" s="74" t="e">
        <f>#REF!+'TABLEAU DE BORD MARS RECTIFI(3)'!E17</f>
        <v>#REF!</v>
      </c>
      <c r="J17" s="95" t="e">
        <f t="shared" si="0"/>
        <v>#REF!</v>
      </c>
      <c r="K17" s="117" t="e">
        <f t="shared" si="1"/>
        <v>#REF!</v>
      </c>
    </row>
    <row r="18" spans="1:11" s="79" customFormat="1" ht="19.5" customHeight="1" thickBot="1" x14ac:dyDescent="0.35">
      <c r="A18" s="128" t="s">
        <v>9</v>
      </c>
      <c r="B18" s="129" t="s">
        <v>31</v>
      </c>
      <c r="C18" s="130"/>
      <c r="D18" s="129">
        <v>6348</v>
      </c>
      <c r="E18" s="131">
        <f>E14+E15+E16+E17</f>
        <v>6462</v>
      </c>
      <c r="F18" s="132">
        <f t="shared" si="2"/>
        <v>114</v>
      </c>
      <c r="G18" s="133">
        <f>F18/D18</f>
        <v>1.7958412098298678E-2</v>
      </c>
      <c r="H18" s="131">
        <v>19914</v>
      </c>
      <c r="I18" s="122" t="e">
        <f>#REF!+'TABLEAU DE BORD MARS RECTIFI(3)'!E18</f>
        <v>#REF!</v>
      </c>
      <c r="J18" s="132" t="e">
        <f t="shared" si="0"/>
        <v>#REF!</v>
      </c>
      <c r="K18" s="134" t="e">
        <f t="shared" si="1"/>
        <v>#REF!</v>
      </c>
    </row>
    <row r="19" spans="1:11" s="79" customFormat="1" ht="20.100000000000001" customHeight="1" thickBot="1" x14ac:dyDescent="0.35">
      <c r="A19" s="73" t="s">
        <v>10</v>
      </c>
      <c r="B19" s="74" t="s">
        <v>32</v>
      </c>
      <c r="C19" s="75">
        <v>60</v>
      </c>
      <c r="D19" s="74">
        <v>3015</v>
      </c>
      <c r="E19" s="74">
        <f>E20+E21</f>
        <v>4409</v>
      </c>
      <c r="F19" s="76">
        <f t="shared" si="2"/>
        <v>1394</v>
      </c>
      <c r="G19" s="85">
        <f t="shared" ref="G19:G29" si="3">(F19/D19)*100</f>
        <v>46.235489220563849</v>
      </c>
      <c r="H19" s="74">
        <v>5592</v>
      </c>
      <c r="I19" s="74" t="e">
        <f>#REF!+'TABLEAU DE BORD MARS RECTIFI(3)'!E19</f>
        <v>#REF!</v>
      </c>
      <c r="J19" s="76" t="e">
        <f t="shared" si="0"/>
        <v>#REF!</v>
      </c>
      <c r="K19" s="78" t="e">
        <f t="shared" si="1"/>
        <v>#REF!</v>
      </c>
    </row>
    <row r="20" spans="1:11" s="79" customFormat="1" ht="20.100000000000001" customHeight="1" thickBot="1" x14ac:dyDescent="0.35">
      <c r="A20" s="73" t="s">
        <v>11</v>
      </c>
      <c r="B20" s="74" t="s">
        <v>33</v>
      </c>
      <c r="C20" s="75">
        <v>600</v>
      </c>
      <c r="D20" s="74">
        <v>353</v>
      </c>
      <c r="E20" s="74">
        <v>891</v>
      </c>
      <c r="F20" s="76">
        <f t="shared" si="2"/>
        <v>538</v>
      </c>
      <c r="G20" s="85">
        <f t="shared" si="3"/>
        <v>152.40793201133144</v>
      </c>
      <c r="H20" s="74">
        <v>353</v>
      </c>
      <c r="I20" s="74" t="e">
        <f>#REF!+'TABLEAU DE BORD MARS RECTIFI(3)'!E20</f>
        <v>#REF!</v>
      </c>
      <c r="J20" s="76" t="e">
        <f t="shared" si="0"/>
        <v>#REF!</v>
      </c>
      <c r="K20" s="78" t="e">
        <f t="shared" si="1"/>
        <v>#REF!</v>
      </c>
    </row>
    <row r="21" spans="1:11" s="79" customFormat="1" ht="20.100000000000001" customHeight="1" thickBot="1" x14ac:dyDescent="0.35">
      <c r="A21" s="73" t="s">
        <v>12</v>
      </c>
      <c r="B21" s="74" t="s">
        <v>34</v>
      </c>
      <c r="C21" s="75">
        <v>601</v>
      </c>
      <c r="D21" s="74">
        <v>2662</v>
      </c>
      <c r="E21" s="74">
        <v>3518</v>
      </c>
      <c r="F21" s="76">
        <f t="shared" si="2"/>
        <v>856</v>
      </c>
      <c r="G21" s="85">
        <f t="shared" si="3"/>
        <v>32.156273478587529</v>
      </c>
      <c r="H21" s="74">
        <v>5239</v>
      </c>
      <c r="I21" s="74" t="e">
        <f>#REF!+'TABLEAU DE BORD MARS RECTIFI(3)'!E21</f>
        <v>#REF!</v>
      </c>
      <c r="J21" s="76" t="e">
        <f t="shared" si="0"/>
        <v>#REF!</v>
      </c>
      <c r="K21" s="78" t="e">
        <f t="shared" si="1"/>
        <v>#REF!</v>
      </c>
    </row>
    <row r="22" spans="1:11" s="79" customFormat="1" ht="20.100000000000001" customHeight="1" thickBot="1" x14ac:dyDescent="0.35">
      <c r="A22" s="73" t="s">
        <v>13</v>
      </c>
      <c r="B22" s="74" t="s">
        <v>35</v>
      </c>
      <c r="C22" s="75">
        <v>604</v>
      </c>
      <c r="D22" s="74"/>
      <c r="E22" s="74"/>
      <c r="F22" s="76">
        <f t="shared" si="2"/>
        <v>0</v>
      </c>
      <c r="G22" s="77" t="e">
        <f t="shared" si="3"/>
        <v>#DIV/0!</v>
      </c>
      <c r="H22" s="74"/>
      <c r="I22" s="74" t="e">
        <f>#REF!+'TABLEAU DE BORD MARS RECTIFI(3)'!E22</f>
        <v>#REF!</v>
      </c>
      <c r="J22" s="76" t="e">
        <f t="shared" si="0"/>
        <v>#REF!</v>
      </c>
      <c r="K22" s="78" t="e">
        <f t="shared" si="1"/>
        <v>#REF!</v>
      </c>
    </row>
    <row r="23" spans="1:11" s="79" customFormat="1" ht="20.25" customHeight="1" thickBot="1" x14ac:dyDescent="0.35">
      <c r="A23" s="73" t="s">
        <v>14</v>
      </c>
      <c r="B23" s="74" t="s">
        <v>36</v>
      </c>
      <c r="C23" s="75">
        <v>61</v>
      </c>
      <c r="D23" s="74">
        <v>43</v>
      </c>
      <c r="E23" s="74">
        <v>399</v>
      </c>
      <c r="F23" s="76">
        <f t="shared" si="2"/>
        <v>356</v>
      </c>
      <c r="G23" s="85">
        <f t="shared" si="3"/>
        <v>827.90697674418607</v>
      </c>
      <c r="H23" s="74">
        <v>81</v>
      </c>
      <c r="I23" s="74" t="e">
        <f>#REF!+'TABLEAU DE BORD MARS RECTIFI(3)'!E23</f>
        <v>#REF!</v>
      </c>
      <c r="J23" s="76" t="e">
        <f t="shared" si="0"/>
        <v>#REF!</v>
      </c>
      <c r="K23" s="78" t="e">
        <f t="shared" si="1"/>
        <v>#REF!</v>
      </c>
    </row>
    <row r="24" spans="1:11" s="79" customFormat="1" ht="21.75" customHeight="1" thickBot="1" x14ac:dyDescent="0.35">
      <c r="A24" s="86" t="s">
        <v>15</v>
      </c>
      <c r="B24" s="87" t="s">
        <v>37</v>
      </c>
      <c r="C24" s="96">
        <v>62</v>
      </c>
      <c r="D24" s="87">
        <v>123</v>
      </c>
      <c r="E24" s="87">
        <v>638</v>
      </c>
      <c r="F24" s="89">
        <f t="shared" si="2"/>
        <v>515</v>
      </c>
      <c r="G24" s="85">
        <f t="shared" si="3"/>
        <v>418.69918699186985</v>
      </c>
      <c r="H24" s="87">
        <v>368</v>
      </c>
      <c r="I24" s="74" t="e">
        <f>#REF!+'TABLEAU DE BORD MARS RECTIFI(3)'!E24</f>
        <v>#REF!</v>
      </c>
      <c r="J24" s="89" t="e">
        <f t="shared" si="0"/>
        <v>#REF!</v>
      </c>
      <c r="K24" s="90" t="e">
        <f t="shared" si="1"/>
        <v>#REF!</v>
      </c>
    </row>
    <row r="25" spans="1:11" s="97" customFormat="1" ht="22.5" customHeight="1" thickBot="1" x14ac:dyDescent="0.35">
      <c r="A25" s="135" t="s">
        <v>16</v>
      </c>
      <c r="B25" s="122" t="s">
        <v>38</v>
      </c>
      <c r="C25" s="123"/>
      <c r="D25" s="124">
        <v>3181</v>
      </c>
      <c r="E25" s="136">
        <f>E19+E23+E24</f>
        <v>5446</v>
      </c>
      <c r="F25" s="125">
        <f t="shared" si="2"/>
        <v>2265</v>
      </c>
      <c r="G25" s="137">
        <f t="shared" si="3"/>
        <v>71.204023891857901</v>
      </c>
      <c r="H25" s="122">
        <v>6041</v>
      </c>
      <c r="I25" s="122" t="e">
        <f>#REF!+'TABLEAU DE BORD MARS RECTIFI(3)'!E25</f>
        <v>#REF!</v>
      </c>
      <c r="J25" s="125" t="e">
        <f t="shared" si="0"/>
        <v>#REF!</v>
      </c>
      <c r="K25" s="127" t="e">
        <f t="shared" si="1"/>
        <v>#REF!</v>
      </c>
    </row>
    <row r="26" spans="1:11" s="97" customFormat="1" ht="20.100000000000001" customHeight="1" thickBot="1" x14ac:dyDescent="0.35">
      <c r="A26" s="135" t="s">
        <v>17</v>
      </c>
      <c r="B26" s="122" t="s">
        <v>39</v>
      </c>
      <c r="C26" s="123"/>
      <c r="D26" s="124">
        <v>3167</v>
      </c>
      <c r="E26" s="124">
        <f>E18-E25</f>
        <v>1016</v>
      </c>
      <c r="F26" s="125">
        <f t="shared" si="2"/>
        <v>-2151</v>
      </c>
      <c r="G26" s="126">
        <f t="shared" si="3"/>
        <v>-67.919166403536465</v>
      </c>
      <c r="H26" s="122">
        <v>13873</v>
      </c>
      <c r="I26" s="122" t="e">
        <f>#REF!+'TABLEAU DE BORD MARS RECTIFI(3)'!E26</f>
        <v>#REF!</v>
      </c>
      <c r="J26" s="125" t="e">
        <f>I26-H26</f>
        <v>#REF!</v>
      </c>
      <c r="K26" s="127" t="e">
        <f t="shared" si="1"/>
        <v>#REF!</v>
      </c>
    </row>
    <row r="27" spans="1:11" s="79" customFormat="1" ht="20.100000000000001" customHeight="1" thickBot="1" x14ac:dyDescent="0.35">
      <c r="A27" s="98" t="s">
        <v>18</v>
      </c>
      <c r="B27" s="99" t="s">
        <v>40</v>
      </c>
      <c r="C27" s="100">
        <v>63</v>
      </c>
      <c r="D27" s="121">
        <v>6297</v>
      </c>
      <c r="E27" s="121">
        <v>7773</v>
      </c>
      <c r="F27" s="101">
        <f>E27-D27</f>
        <v>1476</v>
      </c>
      <c r="G27" s="102">
        <f t="shared" si="3"/>
        <v>23.439733206288711</v>
      </c>
      <c r="H27" s="99">
        <v>20610</v>
      </c>
      <c r="I27" s="74" t="e">
        <f>#REF!+'TABLEAU DE BORD MARS RECTIFI(3)'!E27</f>
        <v>#REF!</v>
      </c>
      <c r="J27" s="101" t="e">
        <f t="shared" si="0"/>
        <v>#REF!</v>
      </c>
      <c r="K27" s="103" t="e">
        <f t="shared" si="1"/>
        <v>#REF!</v>
      </c>
    </row>
    <row r="28" spans="1:11" s="105" customFormat="1" ht="20.100000000000001" customHeight="1" thickBot="1" x14ac:dyDescent="0.35">
      <c r="A28" s="104" t="s">
        <v>42</v>
      </c>
      <c r="B28" s="105" t="s">
        <v>41</v>
      </c>
      <c r="C28" s="93">
        <v>63</v>
      </c>
      <c r="D28" s="106">
        <v>-872</v>
      </c>
      <c r="E28" s="81"/>
      <c r="F28" s="83">
        <f t="shared" si="2"/>
        <v>872</v>
      </c>
      <c r="G28" s="107">
        <f t="shared" si="3"/>
        <v>-100</v>
      </c>
      <c r="H28" s="81">
        <v>-1293</v>
      </c>
      <c r="I28" s="74" t="e">
        <f>#REF!+'TABLEAU DE BORD MARS RECTIFI(3)'!E28</f>
        <v>#REF!</v>
      </c>
      <c r="J28" s="83" t="e">
        <f t="shared" si="0"/>
        <v>#REF!</v>
      </c>
      <c r="K28" s="108" t="e">
        <f t="shared" si="1"/>
        <v>#REF!</v>
      </c>
    </row>
    <row r="29" spans="1:11" s="79" customFormat="1" ht="20.100000000000001" customHeight="1" thickBot="1" x14ac:dyDescent="0.35">
      <c r="A29" s="73" t="s">
        <v>19</v>
      </c>
      <c r="B29" s="74" t="s">
        <v>43</v>
      </c>
      <c r="C29" s="75">
        <v>64</v>
      </c>
      <c r="D29" s="74">
        <v>418</v>
      </c>
      <c r="E29" s="74">
        <v>282</v>
      </c>
      <c r="F29" s="76">
        <f>E29-D29</f>
        <v>-136</v>
      </c>
      <c r="G29" s="102">
        <f t="shared" si="3"/>
        <v>-32.535885167464116</v>
      </c>
      <c r="H29" s="74">
        <v>913</v>
      </c>
      <c r="I29" s="74" t="e">
        <f>#REF!+'TABLEAU DE BORD MARS RECTIFI(3)'!E29</f>
        <v>#REF!</v>
      </c>
      <c r="J29" s="76" t="e">
        <f t="shared" si="0"/>
        <v>#REF!</v>
      </c>
      <c r="K29" s="78" t="e">
        <f t="shared" si="1"/>
        <v>#REF!</v>
      </c>
    </row>
    <row r="30" spans="1:11" s="97" customFormat="1" ht="20.100000000000001" customHeight="1" thickBot="1" x14ac:dyDescent="0.35">
      <c r="A30" s="138" t="s">
        <v>20</v>
      </c>
      <c r="B30" s="139" t="s">
        <v>44</v>
      </c>
      <c r="C30" s="140"/>
      <c r="D30" s="124">
        <v>-2676</v>
      </c>
      <c r="E30" s="124">
        <f>E26-E27-E29</f>
        <v>-7039</v>
      </c>
      <c r="F30" s="125">
        <f>E30-D30</f>
        <v>-4363</v>
      </c>
      <c r="G30" s="141">
        <f>F30/D30</f>
        <v>1.6304185351270553</v>
      </c>
      <c r="H30" s="122">
        <v>-6357</v>
      </c>
      <c r="I30" s="122" t="e">
        <f>#REF!+'TABLEAU DE BORD MARS RECTIFI(3)'!E30</f>
        <v>#REF!</v>
      </c>
      <c r="J30" s="125" t="e">
        <f t="shared" si="0"/>
        <v>#REF!</v>
      </c>
      <c r="K30" s="127" t="e">
        <f t="shared" si="1"/>
        <v>#REF!</v>
      </c>
    </row>
    <row r="31" spans="1:11" s="79" customFormat="1" ht="15.75" customHeight="1" thickBot="1" x14ac:dyDescent="0.35">
      <c r="A31" s="303" t="s">
        <v>45</v>
      </c>
      <c r="B31" s="304"/>
      <c r="C31" s="143" t="s">
        <v>46</v>
      </c>
      <c r="D31" s="307" t="s">
        <v>51</v>
      </c>
      <c r="E31" s="308"/>
      <c r="F31" s="309" t="s">
        <v>49</v>
      </c>
      <c r="G31" s="310"/>
    </row>
    <row r="32" spans="1:11" s="79" customFormat="1" ht="14.25" customHeight="1" x14ac:dyDescent="0.3">
      <c r="A32" s="303"/>
      <c r="B32" s="304"/>
      <c r="C32" s="311" t="s">
        <v>47</v>
      </c>
      <c r="D32" s="109" t="s">
        <v>65</v>
      </c>
      <c r="E32" s="110" t="s">
        <v>66</v>
      </c>
      <c r="F32" s="303" t="s">
        <v>50</v>
      </c>
      <c r="G32" s="313" t="s">
        <v>62</v>
      </c>
    </row>
    <row r="33" spans="1:7" s="79" customFormat="1" ht="19.5" customHeight="1" thickBot="1" x14ac:dyDescent="0.35">
      <c r="A33" s="305"/>
      <c r="B33" s="306"/>
      <c r="C33" s="312"/>
      <c r="D33" s="111">
        <v>2018</v>
      </c>
      <c r="E33" s="112">
        <v>2018</v>
      </c>
      <c r="F33" s="305"/>
      <c r="G33" s="314"/>
    </row>
    <row r="34" spans="1:7" s="79" customFormat="1" ht="20.100000000000001" customHeight="1" thickBot="1" x14ac:dyDescent="0.35">
      <c r="A34" s="80" t="s">
        <v>52</v>
      </c>
      <c r="B34" s="81" t="s">
        <v>53</v>
      </c>
      <c r="C34" s="75">
        <v>411</v>
      </c>
      <c r="D34" s="81"/>
      <c r="E34" s="81">
        <v>97</v>
      </c>
      <c r="F34" s="113">
        <f>E34-D34</f>
        <v>97</v>
      </c>
      <c r="G34" s="114" t="e">
        <f>F34/D34</f>
        <v>#DIV/0!</v>
      </c>
    </row>
    <row r="35" spans="1:7" s="79" customFormat="1" ht="20.100000000000001" customHeight="1" thickBot="1" x14ac:dyDescent="0.35">
      <c r="A35" s="115" t="s">
        <v>54</v>
      </c>
      <c r="B35" s="116" t="s">
        <v>55</v>
      </c>
      <c r="C35" s="75"/>
      <c r="D35" s="116">
        <v>143</v>
      </c>
      <c r="E35" s="74">
        <v>156</v>
      </c>
      <c r="F35" s="113">
        <f>E35-D35</f>
        <v>13</v>
      </c>
      <c r="G35" s="113">
        <f>F35/D35</f>
        <v>9.0909090909090912E-2</v>
      </c>
    </row>
    <row r="36" spans="1:7" ht="20.100000000000001" customHeight="1" thickBot="1" x14ac:dyDescent="0.4">
      <c r="A36" s="1"/>
      <c r="B36" s="118" t="s">
        <v>56</v>
      </c>
      <c r="C36" s="2"/>
      <c r="D36" s="118">
        <v>99</v>
      </c>
      <c r="E36" s="118">
        <v>99</v>
      </c>
      <c r="F36" s="119">
        <f>E36-D36</f>
        <v>0</v>
      </c>
      <c r="G36" s="120">
        <f>F36/D36</f>
        <v>0</v>
      </c>
    </row>
  </sheetData>
  <mergeCells count="14">
    <mergeCell ref="A31:B33"/>
    <mergeCell ref="D31:E31"/>
    <mergeCell ref="F31:G31"/>
    <mergeCell ref="C32:C33"/>
    <mergeCell ref="F32:F33"/>
    <mergeCell ref="G32:G33"/>
    <mergeCell ref="C4:H4"/>
    <mergeCell ref="C5:I5"/>
    <mergeCell ref="J6:K6"/>
    <mergeCell ref="A7:B8"/>
    <mergeCell ref="D7:E7"/>
    <mergeCell ref="F7:G7"/>
    <mergeCell ref="H7:I7"/>
    <mergeCell ref="J7:K7"/>
  </mergeCells>
  <pageMargins left="0.53" right="0.52" top="0.75" bottom="0.75" header="0.3" footer="0.3"/>
  <pageSetup paperSize="9" scale="7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41"/>
  <sheetViews>
    <sheetView topLeftCell="B4" zoomScale="70" zoomScaleNormal="70" workbookViewId="0">
      <selection activeCell="E26" sqref="E26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6.5703125" customWidth="1"/>
    <col min="8" max="8" width="15" customWidth="1"/>
    <col min="9" max="9" width="13.140625" customWidth="1"/>
    <col min="10" max="10" width="14.42578125" customWidth="1"/>
    <col min="11" max="11" width="18" customWidth="1"/>
  </cols>
  <sheetData>
    <row r="1" spans="1:12" ht="21" x14ac:dyDescent="0.35">
      <c r="A1" s="5" t="s">
        <v>57</v>
      </c>
      <c r="B1" s="5"/>
    </row>
    <row r="2" spans="1:12" ht="15.75" customHeight="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26.25" x14ac:dyDescent="0.4">
      <c r="C5" s="302" t="s">
        <v>168</v>
      </c>
      <c r="D5" s="302"/>
      <c r="E5" s="302"/>
      <c r="F5" s="302"/>
      <c r="G5" s="302"/>
      <c r="H5" s="302"/>
      <c r="I5" s="302"/>
    </row>
    <row r="6" spans="1:12" ht="18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154" t="s">
        <v>47</v>
      </c>
      <c r="D8" s="12">
        <v>44228</v>
      </c>
      <c r="E8" s="12">
        <v>44593</v>
      </c>
      <c r="F8" s="13" t="s">
        <v>50</v>
      </c>
      <c r="G8" s="14" t="s">
        <v>62</v>
      </c>
      <c r="H8" s="12">
        <v>44228</v>
      </c>
      <c r="I8" s="12">
        <v>44593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 t="shared" ref="F9:F14" si="0">E9-D9</f>
        <v>0</v>
      </c>
      <c r="G9" s="28" t="e">
        <f>(F9/D9)*100</f>
        <v>#DIV/0!</v>
      </c>
      <c r="H9" s="17"/>
      <c r="I9" s="17">
        <f>'TB JANVIER 22'!I9+'TB Fevrier22'!E9</f>
        <v>0</v>
      </c>
      <c r="J9" s="19">
        <f>I9-H9</f>
        <v>0</v>
      </c>
      <c r="K9" s="21" t="e">
        <f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23">
        <v>904</v>
      </c>
      <c r="E10" s="23">
        <f>2925+22+318+435+116+130</f>
        <v>3946</v>
      </c>
      <c r="F10" s="25">
        <f t="shared" si="0"/>
        <v>3042</v>
      </c>
      <c r="G10" s="20">
        <f>(F10/D10)*100</f>
        <v>336.50442477876106</v>
      </c>
      <c r="H10" s="19">
        <v>1189</v>
      </c>
      <c r="I10" s="17">
        <f>'TB JANVIER 22'!I10+'TB Fevrier22'!E10</f>
        <v>9064</v>
      </c>
      <c r="J10" s="19">
        <f t="shared" ref="J10:J33" si="1">I10-H10</f>
        <v>7875</v>
      </c>
      <c r="K10" s="26">
        <f t="shared" ref="K10:K33" si="2">J10/H10</f>
        <v>6.6232127838519768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">
        <v>3988</v>
      </c>
      <c r="E11" s="27">
        <v>4922</v>
      </c>
      <c r="F11" s="19">
        <f t="shared" si="0"/>
        <v>934</v>
      </c>
      <c r="G11" s="28">
        <f>(F11/D11)*100</f>
        <v>23.420260782347039</v>
      </c>
      <c r="H11" s="19">
        <v>6123</v>
      </c>
      <c r="I11" s="17">
        <f>'TB JANVIER 22'!I11+'TB Fevrier22'!E11</f>
        <v>10040</v>
      </c>
      <c r="J11" s="19">
        <f t="shared" si="1"/>
        <v>3917</v>
      </c>
      <c r="K11" s="21">
        <f>J11/H11</f>
        <v>0.63971909194839127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 t="shared" si="0"/>
        <v>0</v>
      </c>
      <c r="G12" s="20" t="e">
        <f>(F12/D12)*100</f>
        <v>#DIV/0!</v>
      </c>
      <c r="H12" s="70"/>
      <c r="I12" s="17">
        <f>'TB JANVIER 22'!I12+'TB Fevrier22'!E12</f>
        <v>0</v>
      </c>
      <c r="J12" s="19">
        <f t="shared" si="1"/>
        <v>0</v>
      </c>
      <c r="K12" s="26" t="e">
        <f t="shared" si="2"/>
        <v>#DIV/0!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>
        <v>224</v>
      </c>
      <c r="E13" s="30">
        <f>78+32</f>
        <v>110</v>
      </c>
      <c r="F13" s="32">
        <f t="shared" si="0"/>
        <v>-114</v>
      </c>
      <c r="G13" s="28">
        <f>(F13/D13)*100</f>
        <v>-50.892857142857139</v>
      </c>
      <c r="H13" s="17">
        <v>235</v>
      </c>
      <c r="I13" s="17">
        <f>'TB JANVIER 22'!I13+'TB Fevrier22'!E13</f>
        <v>150</v>
      </c>
      <c r="J13" s="19">
        <f t="shared" si="1"/>
        <v>-85</v>
      </c>
      <c r="K13" s="33">
        <f t="shared" si="2"/>
        <v>-0.36170212765957449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5116</v>
      </c>
      <c r="E14" s="37">
        <f>E9+E10+E11+E12+E13</f>
        <v>8978</v>
      </c>
      <c r="F14" s="38">
        <f t="shared" si="0"/>
        <v>3862</v>
      </c>
      <c r="G14" s="53">
        <f>F14/D14</f>
        <v>0.75488663017982804</v>
      </c>
      <c r="H14" s="35">
        <f>SUM(H9:H13)</f>
        <v>7547</v>
      </c>
      <c r="I14" s="155">
        <f>'TB JANVIER 22'!I14+'TB Fevrier22'!E14</f>
        <v>29561</v>
      </c>
      <c r="J14" s="38"/>
      <c r="K14" s="39">
        <f t="shared" si="2"/>
        <v>0</v>
      </c>
    </row>
    <row r="15" spans="1:12" s="9" customFormat="1" ht="19.5" customHeight="1" thickBot="1" x14ac:dyDescent="0.35">
      <c r="A15" s="16" t="s">
        <v>6</v>
      </c>
      <c r="B15" s="17" t="s">
        <v>29</v>
      </c>
      <c r="C15" s="18">
        <v>72</v>
      </c>
      <c r="D15" s="27">
        <v>1966</v>
      </c>
      <c r="E15" s="27">
        <v>8466</v>
      </c>
      <c r="F15" s="19">
        <f t="shared" ref="F15:F31" si="3">E15-D15</f>
        <v>6500</v>
      </c>
      <c r="G15" s="40">
        <f>(F15/D15)*100</f>
        <v>330.62054933875891</v>
      </c>
      <c r="H15" s="17">
        <v>4144</v>
      </c>
      <c r="I15" s="17">
        <f>'TB JANVIER 22'!I15+'TB Fevrier22'!E15</f>
        <v>7069</v>
      </c>
      <c r="J15" s="19">
        <f t="shared" si="1"/>
        <v>2925</v>
      </c>
      <c r="K15" s="21">
        <f t="shared" si="2"/>
        <v>0.70583976833976836</v>
      </c>
    </row>
    <row r="16" spans="1:12" s="9" customFormat="1" ht="24.75" hidden="1" customHeight="1" thickBot="1" x14ac:dyDescent="0.35">
      <c r="A16" s="16"/>
      <c r="B16" s="17" t="s">
        <v>86</v>
      </c>
      <c r="C16" s="18"/>
      <c r="D16" s="27"/>
      <c r="E16" s="27"/>
      <c r="F16" s="19"/>
      <c r="G16" s="40"/>
      <c r="H16" s="17"/>
      <c r="I16" s="17">
        <f>'TB JANVIER 22'!I16+'TB Fevrier22'!E16</f>
        <v>0</v>
      </c>
      <c r="J16" s="19"/>
      <c r="K16" s="21"/>
    </row>
    <row r="17" spans="1:12" s="9" customFormat="1" ht="21.75" hidden="1" customHeight="1" thickBot="1" x14ac:dyDescent="0.35">
      <c r="A17" s="16"/>
      <c r="B17" s="17" t="s">
        <v>87</v>
      </c>
      <c r="C17" s="18"/>
      <c r="D17" s="27"/>
      <c r="E17" s="27"/>
      <c r="F17" s="19"/>
      <c r="G17" s="40"/>
      <c r="H17" s="17"/>
      <c r="I17" s="17">
        <f>'TB JANVIER 22'!I17+'TB Fevrier22'!E17</f>
        <v>0</v>
      </c>
      <c r="J17" s="19"/>
      <c r="K17" s="21"/>
    </row>
    <row r="18" spans="1:12" s="9" customFormat="1" ht="22.5" hidden="1" customHeight="1" thickBot="1" x14ac:dyDescent="0.35">
      <c r="A18" s="16"/>
      <c r="B18" s="17" t="s">
        <v>88</v>
      </c>
      <c r="C18" s="18"/>
      <c r="D18" s="27"/>
      <c r="E18" s="27"/>
      <c r="F18" s="19"/>
      <c r="G18" s="40"/>
      <c r="H18" s="17"/>
      <c r="I18" s="17">
        <f>'TB JANVIER 22'!I18+'TB Fevrier22'!E18</f>
        <v>19186</v>
      </c>
      <c r="J18" s="19"/>
      <c r="K18" s="21"/>
    </row>
    <row r="19" spans="1:12" s="9" customFormat="1" ht="20.100000000000001" customHeight="1" thickBot="1" x14ac:dyDescent="0.35">
      <c r="A19" s="16" t="s">
        <v>7</v>
      </c>
      <c r="B19" s="17" t="s">
        <v>60</v>
      </c>
      <c r="C19" s="18">
        <v>73</v>
      </c>
      <c r="D19" s="17">
        <v>559</v>
      </c>
      <c r="E19" s="17"/>
      <c r="F19" s="19">
        <f t="shared" si="3"/>
        <v>-559</v>
      </c>
      <c r="G19" s="40">
        <f>(F19/D19)*100</f>
        <v>-100</v>
      </c>
      <c r="H19" s="19">
        <v>559</v>
      </c>
      <c r="I19" s="17">
        <f>'TB JANVIER 22'!I16+'TB Fevrier22'!E19</f>
        <v>0</v>
      </c>
      <c r="J19" s="19">
        <f t="shared" si="1"/>
        <v>-559</v>
      </c>
      <c r="K19" s="21">
        <f t="shared" si="2"/>
        <v>-1</v>
      </c>
    </row>
    <row r="20" spans="1:12" s="9" customFormat="1" ht="20.100000000000001" customHeight="1" thickBot="1" x14ac:dyDescent="0.35">
      <c r="A20" s="22" t="s">
        <v>8</v>
      </c>
      <c r="B20" s="23" t="s">
        <v>30</v>
      </c>
      <c r="C20" s="41">
        <v>74</v>
      </c>
      <c r="D20" s="23"/>
      <c r="E20" s="23"/>
      <c r="F20" s="25">
        <f t="shared" si="3"/>
        <v>0</v>
      </c>
      <c r="G20" s="40" t="e">
        <f>(F20/D20)*100</f>
        <v>#DIV/0!</v>
      </c>
      <c r="H20" s="70"/>
      <c r="I20" s="17">
        <f>'TB JANVIER 22'!I17+'TB Fevrier22'!E20</f>
        <v>0</v>
      </c>
      <c r="J20" s="42">
        <f t="shared" si="1"/>
        <v>0</v>
      </c>
      <c r="K20" s="43" t="e">
        <f t="shared" si="2"/>
        <v>#DIV/0!</v>
      </c>
    </row>
    <row r="21" spans="1:12" s="9" customFormat="1" ht="20.100000000000001" customHeight="1" thickBot="1" x14ac:dyDescent="0.35">
      <c r="A21" s="44" t="s">
        <v>9</v>
      </c>
      <c r="B21" s="45" t="s">
        <v>31</v>
      </c>
      <c r="C21" s="46"/>
      <c r="D21" s="47">
        <f>D14+D15+D19+D20</f>
        <v>7641</v>
      </c>
      <c r="E21" s="47">
        <f>E14+E15+E19+E20</f>
        <v>17444</v>
      </c>
      <c r="F21" s="48">
        <f t="shared" si="3"/>
        <v>9803</v>
      </c>
      <c r="G21" s="49">
        <f>F21/D21</f>
        <v>1.2829472582122758</v>
      </c>
      <c r="H21" s="47">
        <f>H14+H15+H19+H20</f>
        <v>12250</v>
      </c>
      <c r="I21" s="156">
        <f>'TB JANVIER 22'!I18+'TB Fevrier22'!E21</f>
        <v>36630</v>
      </c>
      <c r="J21" s="48">
        <f t="shared" si="1"/>
        <v>24380</v>
      </c>
      <c r="K21" s="50">
        <f t="shared" si="2"/>
        <v>1.9902040816326532</v>
      </c>
    </row>
    <row r="22" spans="1:12" s="9" customFormat="1" ht="20.100000000000001" customHeight="1" thickBot="1" x14ac:dyDescent="0.35">
      <c r="A22" s="16" t="s">
        <v>10</v>
      </c>
      <c r="B22" s="17" t="s">
        <v>32</v>
      </c>
      <c r="C22" s="18">
        <v>60</v>
      </c>
      <c r="D22" s="17">
        <v>3795</v>
      </c>
      <c r="E22" s="17">
        <f>E23+E24</f>
        <v>8170</v>
      </c>
      <c r="F22" s="19">
        <f t="shared" si="3"/>
        <v>4375</v>
      </c>
      <c r="G22" s="40">
        <f t="shared" ref="G22:G32" si="4">(F22/D22)*100</f>
        <v>115.2832674571805</v>
      </c>
      <c r="H22" s="17">
        <v>5644</v>
      </c>
      <c r="I22" s="17">
        <f>'TB JANVIER 22'!I19+'TB Fevrier22'!E22</f>
        <v>11853</v>
      </c>
      <c r="J22" s="19">
        <f t="shared" si="1"/>
        <v>6209</v>
      </c>
      <c r="K22" s="21">
        <f t="shared" si="2"/>
        <v>1.1001063075832742</v>
      </c>
    </row>
    <row r="23" spans="1:12" s="9" customFormat="1" ht="20.100000000000001" customHeight="1" thickBot="1" x14ac:dyDescent="0.35">
      <c r="A23" s="16" t="s">
        <v>11</v>
      </c>
      <c r="B23" s="17" t="s">
        <v>33</v>
      </c>
      <c r="C23" s="18">
        <v>600</v>
      </c>
      <c r="D23" s="17"/>
      <c r="E23" s="17"/>
      <c r="F23" s="19">
        <f t="shared" si="3"/>
        <v>0</v>
      </c>
      <c r="G23" s="40" t="e">
        <f t="shared" si="4"/>
        <v>#DIV/0!</v>
      </c>
      <c r="H23" s="17"/>
      <c r="I23" s="17">
        <f>'TB JANVIER 22'!I20+'TB Fevrier22'!E23</f>
        <v>0</v>
      </c>
      <c r="J23" s="19">
        <f t="shared" si="1"/>
        <v>0</v>
      </c>
      <c r="K23" s="21" t="e">
        <f t="shared" si="2"/>
        <v>#DIV/0!</v>
      </c>
    </row>
    <row r="24" spans="1:12" s="9" customFormat="1" ht="20.100000000000001" customHeight="1" thickBot="1" x14ac:dyDescent="0.35">
      <c r="A24" s="16" t="s">
        <v>12</v>
      </c>
      <c r="B24" s="17" t="s">
        <v>34</v>
      </c>
      <c r="C24" s="18">
        <v>601</v>
      </c>
      <c r="D24" s="17">
        <v>3795</v>
      </c>
      <c r="E24" s="17">
        <f>190+7980</f>
        <v>8170</v>
      </c>
      <c r="F24" s="19">
        <f t="shared" si="3"/>
        <v>4375</v>
      </c>
      <c r="G24" s="40">
        <f t="shared" si="4"/>
        <v>115.2832674571805</v>
      </c>
      <c r="H24" s="17">
        <v>5644</v>
      </c>
      <c r="I24" s="17">
        <f>'TB JANVIER 22'!I21+'TB Fevrier22'!E24</f>
        <v>11853</v>
      </c>
      <c r="J24" s="19">
        <f t="shared" si="1"/>
        <v>6209</v>
      </c>
      <c r="K24" s="21">
        <f t="shared" si="2"/>
        <v>1.1001063075832742</v>
      </c>
    </row>
    <row r="25" spans="1:12" s="9" customFormat="1" ht="20.100000000000001" customHeight="1" thickBot="1" x14ac:dyDescent="0.35">
      <c r="A25" s="16" t="s">
        <v>13</v>
      </c>
      <c r="B25" s="17" t="s">
        <v>35</v>
      </c>
      <c r="C25" s="18">
        <v>604</v>
      </c>
      <c r="D25" s="17"/>
      <c r="E25" s="17"/>
      <c r="F25" s="19">
        <f t="shared" si="3"/>
        <v>0</v>
      </c>
      <c r="G25" s="40" t="e">
        <f t="shared" si="4"/>
        <v>#DIV/0!</v>
      </c>
      <c r="H25" s="70"/>
      <c r="I25" s="17">
        <f>'TB JANVIER 22'!I22+'TB Fevrier22'!E25</f>
        <v>0</v>
      </c>
      <c r="J25" s="19">
        <f t="shared" si="1"/>
        <v>0</v>
      </c>
      <c r="K25" s="21" t="e">
        <f t="shared" si="2"/>
        <v>#DIV/0!</v>
      </c>
    </row>
    <row r="26" spans="1:12" s="9" customFormat="1" ht="20.100000000000001" customHeight="1" thickBot="1" x14ac:dyDescent="0.35">
      <c r="A26" s="16" t="s">
        <v>14</v>
      </c>
      <c r="B26" s="17" t="s">
        <v>36</v>
      </c>
      <c r="C26" s="18">
        <v>61</v>
      </c>
      <c r="D26" s="17">
        <v>1666</v>
      </c>
      <c r="E26" s="17">
        <f>219+975+689</f>
        <v>1883</v>
      </c>
      <c r="F26" s="19">
        <f t="shared" si="3"/>
        <v>217</v>
      </c>
      <c r="G26" s="40">
        <f t="shared" si="4"/>
        <v>13.025210084033615</v>
      </c>
      <c r="H26" s="17">
        <v>1971</v>
      </c>
      <c r="I26" s="17">
        <f>'TB JANVIER 22'!I23+'TB Fevrier22'!E26</f>
        <v>2046</v>
      </c>
      <c r="J26" s="19">
        <f t="shared" si="1"/>
        <v>75</v>
      </c>
      <c r="K26" s="21">
        <f t="shared" si="2"/>
        <v>3.8051750380517502E-2</v>
      </c>
      <c r="L26" s="9">
        <v>975</v>
      </c>
    </row>
    <row r="27" spans="1:12" s="9" customFormat="1" ht="20.100000000000001" customHeight="1" thickBot="1" x14ac:dyDescent="0.35">
      <c r="A27" s="29" t="s">
        <v>15</v>
      </c>
      <c r="B27" s="30" t="s">
        <v>37</v>
      </c>
      <c r="C27" s="51">
        <v>62</v>
      </c>
      <c r="D27" s="30">
        <v>385</v>
      </c>
      <c r="E27" s="30">
        <v>283</v>
      </c>
      <c r="F27" s="32">
        <f t="shared" si="3"/>
        <v>-102</v>
      </c>
      <c r="G27" s="40">
        <f t="shared" si="4"/>
        <v>-26.493506493506491</v>
      </c>
      <c r="H27" s="17">
        <v>539</v>
      </c>
      <c r="I27" s="17">
        <f>'TB JANVIER 22'!I24+'TB Fevrier22'!E27</f>
        <v>297</v>
      </c>
      <c r="J27" s="32">
        <f t="shared" si="1"/>
        <v>-242</v>
      </c>
      <c r="K27" s="33">
        <f t="shared" si="2"/>
        <v>-0.44897959183673469</v>
      </c>
    </row>
    <row r="28" spans="1:12" s="6" customFormat="1" ht="20.100000000000001" customHeight="1" thickBot="1" x14ac:dyDescent="0.35">
      <c r="A28" s="34" t="s">
        <v>16</v>
      </c>
      <c r="B28" s="35" t="s">
        <v>38</v>
      </c>
      <c r="C28" s="36"/>
      <c r="D28" s="35">
        <f>D22+D26+D27</f>
        <v>5846</v>
      </c>
      <c r="E28" s="35">
        <f>E22+E26+E27</f>
        <v>10336</v>
      </c>
      <c r="F28" s="38">
        <f t="shared" si="3"/>
        <v>4490</v>
      </c>
      <c r="G28" s="52">
        <f t="shared" si="4"/>
        <v>76.804652754019841</v>
      </c>
      <c r="H28" s="35">
        <f>H22+H26+H27</f>
        <v>8154</v>
      </c>
      <c r="I28" s="155">
        <f>'TB JANVIER 22'!I25+'TB Fevrier22'!E28</f>
        <v>14196</v>
      </c>
      <c r="J28" s="38">
        <f t="shared" si="1"/>
        <v>6042</v>
      </c>
      <c r="K28" s="39">
        <f t="shared" si="2"/>
        <v>0.74098601913171447</v>
      </c>
    </row>
    <row r="29" spans="1:12" s="6" customFormat="1" ht="20.100000000000001" customHeight="1" thickBot="1" x14ac:dyDescent="0.35">
      <c r="A29" s="34" t="s">
        <v>17</v>
      </c>
      <c r="B29" s="35" t="s">
        <v>39</v>
      </c>
      <c r="C29" s="36"/>
      <c r="D29" s="37">
        <f>D21-D28</f>
        <v>1795</v>
      </c>
      <c r="E29" s="37">
        <f>E21-E28</f>
        <v>7108</v>
      </c>
      <c r="F29" s="38">
        <f t="shared" si="3"/>
        <v>5313</v>
      </c>
      <c r="G29" s="53">
        <f t="shared" si="4"/>
        <v>295.98885793871864</v>
      </c>
      <c r="H29" s="37">
        <f>H21-H28</f>
        <v>4096</v>
      </c>
      <c r="I29" s="155">
        <f>'TB JANVIER 22'!I26+'TB Fevrier22'!E29</f>
        <v>22434</v>
      </c>
      <c r="J29" s="38">
        <f t="shared" si="1"/>
        <v>18338</v>
      </c>
      <c r="K29" s="39">
        <f t="shared" si="2"/>
        <v>4.47705078125</v>
      </c>
    </row>
    <row r="30" spans="1:12" s="9" customFormat="1" ht="20.100000000000001" customHeight="1" thickBot="1" x14ac:dyDescent="0.35">
      <c r="A30" s="54" t="s">
        <v>18</v>
      </c>
      <c r="B30" s="55" t="s">
        <v>40</v>
      </c>
      <c r="C30" s="56">
        <v>63</v>
      </c>
      <c r="D30" s="55">
        <v>8259</v>
      </c>
      <c r="E30" s="55">
        <v>8685</v>
      </c>
      <c r="F30" s="57">
        <f>E30-D30</f>
        <v>426</v>
      </c>
      <c r="G30" s="58">
        <f t="shared" si="4"/>
        <v>5.1580094442426443</v>
      </c>
      <c r="H30" s="17">
        <v>16904</v>
      </c>
      <c r="I30" s="17">
        <f>'TB JANVIER 22'!I27+'TB Fevrier22'!E30</f>
        <v>18310</v>
      </c>
      <c r="J30" s="57">
        <f t="shared" si="1"/>
        <v>1406</v>
      </c>
      <c r="K30" s="59">
        <f t="shared" si="2"/>
        <v>8.317557974443919E-2</v>
      </c>
    </row>
    <row r="31" spans="1:12" s="61" customFormat="1" ht="20.100000000000001" customHeight="1" thickBot="1" x14ac:dyDescent="0.35">
      <c r="A31" s="60" t="s">
        <v>42</v>
      </c>
      <c r="B31" s="61" t="s">
        <v>41</v>
      </c>
      <c r="C31" s="41">
        <v>63</v>
      </c>
      <c r="D31" s="23">
        <v>-386</v>
      </c>
      <c r="E31" s="23">
        <v>-940</v>
      </c>
      <c r="F31" s="25">
        <f t="shared" si="3"/>
        <v>-554</v>
      </c>
      <c r="G31" s="62">
        <f t="shared" si="4"/>
        <v>143.52331606217618</v>
      </c>
      <c r="H31" s="70">
        <v>-386</v>
      </c>
      <c r="I31" s="17">
        <f>'TB JANVIER 22'!I28+'TB Fevrier22'!E31</f>
        <v>-940</v>
      </c>
      <c r="J31" s="25">
        <f t="shared" si="1"/>
        <v>-554</v>
      </c>
      <c r="K31" s="26">
        <f t="shared" si="2"/>
        <v>1.4352331606217616</v>
      </c>
    </row>
    <row r="32" spans="1:12" s="9" customFormat="1" ht="20.100000000000001" customHeight="1" thickBot="1" x14ac:dyDescent="0.35">
      <c r="A32" s="16" t="s">
        <v>19</v>
      </c>
      <c r="B32" s="17" t="s">
        <v>43</v>
      </c>
      <c r="C32" s="18">
        <v>64</v>
      </c>
      <c r="D32" s="17"/>
      <c r="E32" s="17">
        <v>180</v>
      </c>
      <c r="F32" s="19">
        <f>E32-D32</f>
        <v>180</v>
      </c>
      <c r="G32" s="58" t="e">
        <f t="shared" si="4"/>
        <v>#DIV/0!</v>
      </c>
      <c r="H32" s="70"/>
      <c r="I32" s="17">
        <f>'TB JANVIER 22'!I29+'TB Fevrier22'!E32</f>
        <v>591</v>
      </c>
      <c r="J32" s="19">
        <f t="shared" si="1"/>
        <v>591</v>
      </c>
      <c r="K32" s="21" t="e">
        <f t="shared" si="2"/>
        <v>#DIV/0!</v>
      </c>
    </row>
    <row r="33" spans="1:11" s="6" customFormat="1" ht="20.100000000000001" customHeight="1" thickBot="1" x14ac:dyDescent="0.35">
      <c r="A33" s="63" t="s">
        <v>20</v>
      </c>
      <c r="B33" s="64" t="s">
        <v>44</v>
      </c>
      <c r="C33" s="65"/>
      <c r="D33" s="37">
        <f>D29-D30-D32-D31</f>
        <v>-6078</v>
      </c>
      <c r="E33" s="37">
        <f>E29-E30-E32-E31</f>
        <v>-817</v>
      </c>
      <c r="F33" s="38">
        <f>E33-D33</f>
        <v>5261</v>
      </c>
      <c r="G33" s="66">
        <f>F33/D33</f>
        <v>-0.86558078315235276</v>
      </c>
      <c r="H33" s="152">
        <f>H29-H30-H32-H31</f>
        <v>-12422</v>
      </c>
      <c r="I33" s="156">
        <f>'TB JANVIER 22'!I30+'TB Fevrier22'!E33</f>
        <v>4473</v>
      </c>
      <c r="J33" s="38">
        <f t="shared" si="1"/>
        <v>16895</v>
      </c>
      <c r="K33" s="39">
        <f t="shared" si="2"/>
        <v>-1.3600869425213331</v>
      </c>
    </row>
    <row r="34" spans="1:11" s="9" customFormat="1" ht="15.75" customHeight="1" thickBot="1" x14ac:dyDescent="0.35">
      <c r="A34" s="286" t="s">
        <v>45</v>
      </c>
      <c r="B34" s="287"/>
      <c r="C34" s="8" t="s">
        <v>46</v>
      </c>
      <c r="D34" s="290" t="s">
        <v>51</v>
      </c>
      <c r="E34" s="291"/>
      <c r="F34" s="292" t="s">
        <v>49</v>
      </c>
      <c r="G34" s="293"/>
    </row>
    <row r="35" spans="1:11" s="9" customFormat="1" ht="16.5" customHeight="1" x14ac:dyDescent="0.3">
      <c r="A35" s="288"/>
      <c r="B35" s="289"/>
      <c r="C35" s="296" t="s">
        <v>47</v>
      </c>
      <c r="D35" s="67" t="s">
        <v>61</v>
      </c>
      <c r="E35" s="67" t="s">
        <v>85</v>
      </c>
      <c r="F35" s="288" t="s">
        <v>50</v>
      </c>
      <c r="G35" s="298" t="s">
        <v>62</v>
      </c>
    </row>
    <row r="36" spans="1:11" s="9" customFormat="1" ht="15.75" customHeight="1" thickBot="1" x14ac:dyDescent="0.35">
      <c r="A36" s="294"/>
      <c r="B36" s="295"/>
      <c r="C36" s="297"/>
      <c r="D36" s="69">
        <v>2022</v>
      </c>
      <c r="E36" s="69">
        <v>2022</v>
      </c>
      <c r="F36" s="294"/>
      <c r="G36" s="299"/>
      <c r="J36" s="9" t="s">
        <v>170</v>
      </c>
    </row>
    <row r="37" spans="1:11" s="9" customFormat="1" ht="20.100000000000001" customHeight="1" thickBot="1" x14ac:dyDescent="0.35">
      <c r="A37" s="22" t="s">
        <v>52</v>
      </c>
      <c r="B37" s="23" t="s">
        <v>53</v>
      </c>
      <c r="C37" s="18">
        <v>411</v>
      </c>
      <c r="D37" s="23">
        <f>6467</f>
        <v>6467</v>
      </c>
      <c r="E37" s="23">
        <f>3571+16523+681</f>
        <v>20775</v>
      </c>
      <c r="F37" s="150">
        <f>E37-D37</f>
        <v>14308</v>
      </c>
      <c r="G37" s="151">
        <f>F37/D37</f>
        <v>2.2124632750889131</v>
      </c>
    </row>
    <row r="38" spans="1:11" s="9" customFormat="1" ht="20.100000000000001" customHeight="1" thickBot="1" x14ac:dyDescent="0.35">
      <c r="A38" s="71" t="s">
        <v>54</v>
      </c>
      <c r="B38" s="72" t="s">
        <v>55</v>
      </c>
      <c r="C38" s="18"/>
      <c r="D38" s="17">
        <v>188</v>
      </c>
      <c r="E38" s="17">
        <v>190</v>
      </c>
      <c r="F38" s="70">
        <f>E38-D38</f>
        <v>2</v>
      </c>
      <c r="G38" s="151">
        <f>F38/D38</f>
        <v>1.0638297872340425E-2</v>
      </c>
    </row>
    <row r="39" spans="1:11" s="9" customFormat="1" ht="20.100000000000001" customHeight="1" thickBot="1" x14ac:dyDescent="0.35">
      <c r="A39" s="16"/>
      <c r="B39" s="17" t="s">
        <v>56</v>
      </c>
      <c r="C39" s="18"/>
      <c r="D39" s="17">
        <v>104</v>
      </c>
      <c r="E39" s="17">
        <v>103</v>
      </c>
      <c r="F39" s="70">
        <f>E39-D39</f>
        <v>-1</v>
      </c>
      <c r="G39" s="153">
        <f>F39/D39</f>
        <v>-9.6153846153846159E-3</v>
      </c>
    </row>
    <row r="40" spans="1:11" s="9" customFormat="1" ht="18.75" x14ac:dyDescent="0.3">
      <c r="C40" s="6"/>
    </row>
    <row r="41" spans="1:11" s="9" customFormat="1" ht="18.75" x14ac:dyDescent="0.3">
      <c r="C41" s="6"/>
    </row>
  </sheetData>
  <mergeCells count="14">
    <mergeCell ref="A34:B36"/>
    <mergeCell ref="D34:E34"/>
    <mergeCell ref="F34:G34"/>
    <mergeCell ref="C35:C36"/>
    <mergeCell ref="F35:F36"/>
    <mergeCell ref="G35:G36"/>
    <mergeCell ref="C4:H4"/>
    <mergeCell ref="C5:I5"/>
    <mergeCell ref="J6:K6"/>
    <mergeCell ref="A7:B8"/>
    <mergeCell ref="D7:E7"/>
    <mergeCell ref="F7:G7"/>
    <mergeCell ref="H7:I7"/>
    <mergeCell ref="J7:K7"/>
  </mergeCells>
  <pageMargins left="0.25" right="0.25" top="0.75" bottom="0.75" header="0.3" footer="0.3"/>
  <pageSetup paperSize="9" scale="72" orientation="landscape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39"/>
  <sheetViews>
    <sheetView topLeftCell="A7" zoomScale="70" zoomScaleNormal="70" workbookViewId="0">
      <selection activeCell="E23" sqref="E23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3.140625" style="158" customWidth="1"/>
    <col min="10" max="10" width="14.42578125" customWidth="1"/>
    <col min="11" max="11" width="18" customWidth="1"/>
    <col min="12" max="12" width="12.85546875" hidden="1" customWidth="1"/>
    <col min="13" max="13" width="15.85546875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19.5" customHeight="1" x14ac:dyDescent="0.55000000000000004">
      <c r="C3" s="301"/>
      <c r="D3" s="301"/>
      <c r="E3" s="301"/>
      <c r="F3" s="301"/>
      <c r="G3" s="301"/>
      <c r="H3" s="301"/>
      <c r="L3" s="4"/>
    </row>
    <row r="4" spans="1:12" s="7" customFormat="1" ht="25.5" customHeight="1" x14ac:dyDescent="0.4">
      <c r="C4" s="302" t="s">
        <v>169</v>
      </c>
      <c r="D4" s="302"/>
      <c r="E4" s="302"/>
      <c r="F4" s="302"/>
      <c r="G4" s="302"/>
      <c r="H4" s="302"/>
      <c r="I4" s="302"/>
    </row>
    <row r="5" spans="1:12" ht="12.75" customHeight="1" thickBot="1" x14ac:dyDescent="0.3">
      <c r="J5" s="300" t="s">
        <v>59</v>
      </c>
      <c r="K5" s="300"/>
    </row>
    <row r="6" spans="1:12" s="9" customFormat="1" ht="19.5" thickBot="1" x14ac:dyDescent="0.35">
      <c r="A6" s="286" t="s">
        <v>45</v>
      </c>
      <c r="B6" s="287"/>
      <c r="C6" s="8" t="s">
        <v>46</v>
      </c>
      <c r="D6" s="290" t="s">
        <v>48</v>
      </c>
      <c r="E6" s="291"/>
      <c r="F6" s="292" t="s">
        <v>49</v>
      </c>
      <c r="G6" s="293"/>
      <c r="H6" s="290" t="s">
        <v>51</v>
      </c>
      <c r="I6" s="291"/>
      <c r="J6" s="292" t="s">
        <v>49</v>
      </c>
      <c r="K6" s="293"/>
    </row>
    <row r="7" spans="1:12" s="9" customFormat="1" ht="19.5" thickBot="1" x14ac:dyDescent="0.35">
      <c r="A7" s="288"/>
      <c r="B7" s="289"/>
      <c r="C7" s="157" t="s">
        <v>47</v>
      </c>
      <c r="D7" s="12">
        <v>44256</v>
      </c>
      <c r="E7" s="12">
        <v>44621</v>
      </c>
      <c r="F7" s="13" t="s">
        <v>50</v>
      </c>
      <c r="G7" s="14" t="s">
        <v>62</v>
      </c>
      <c r="H7" s="12">
        <v>44256</v>
      </c>
      <c r="I7" s="12">
        <v>44621</v>
      </c>
      <c r="J7" s="13" t="s">
        <v>50</v>
      </c>
      <c r="K7" s="15" t="s">
        <v>63</v>
      </c>
    </row>
    <row r="8" spans="1:12" s="9" customFormat="1" ht="20.100000000000001" customHeight="1" thickBot="1" x14ac:dyDescent="0.35">
      <c r="A8" s="16" t="s">
        <v>0</v>
      </c>
      <c r="B8" s="17" t="s">
        <v>21</v>
      </c>
      <c r="C8" s="18">
        <v>700</v>
      </c>
      <c r="D8" s="17"/>
      <c r="E8" s="17"/>
      <c r="F8" s="19">
        <f>E8-D8</f>
        <v>0</v>
      </c>
      <c r="G8" s="28"/>
      <c r="H8" s="19"/>
      <c r="I8" s="19">
        <f>'TB Fevrier22'!I9+'MARS 22'!E8</f>
        <v>0</v>
      </c>
      <c r="J8" s="19">
        <f>I8-H8</f>
        <v>0</v>
      </c>
      <c r="K8" s="21" t="e">
        <f>J8/H8</f>
        <v>#DIV/0!</v>
      </c>
    </row>
    <row r="9" spans="1:12" s="9" customFormat="1" ht="20.100000000000001" customHeight="1" thickBot="1" x14ac:dyDescent="0.35">
      <c r="A9" s="22" t="s">
        <v>1</v>
      </c>
      <c r="B9" s="23" t="s">
        <v>22</v>
      </c>
      <c r="C9" s="24" t="s">
        <v>23</v>
      </c>
      <c r="D9" s="27">
        <v>536</v>
      </c>
      <c r="E9" s="27">
        <v>2300</v>
      </c>
      <c r="F9" s="25">
        <f>E9-D9</f>
        <v>1764</v>
      </c>
      <c r="G9" s="28">
        <f>(F9/D9)*100</f>
        <v>329.1044776119403</v>
      </c>
      <c r="H9" s="19">
        <v>1725</v>
      </c>
      <c r="I9" s="19">
        <f>'TB Fevrier22'!I10+'MARS 22'!E9</f>
        <v>11364</v>
      </c>
      <c r="J9" s="19">
        <f t="shared" ref="J9:J29" si="0">I9-H9</f>
        <v>9639</v>
      </c>
      <c r="K9" s="26">
        <f t="shared" ref="K9:K29" si="1">J9/H9</f>
        <v>5.5878260869565217</v>
      </c>
      <c r="L9" s="9">
        <v>1189</v>
      </c>
    </row>
    <row r="10" spans="1:12" s="9" customFormat="1" ht="20.100000000000001" customHeight="1" thickBot="1" x14ac:dyDescent="0.35">
      <c r="A10" s="16" t="s">
        <v>2</v>
      </c>
      <c r="B10" s="17" t="s">
        <v>24</v>
      </c>
      <c r="C10" s="18">
        <v>704</v>
      </c>
      <c r="D10" s="27">
        <v>3521</v>
      </c>
      <c r="E10" s="27">
        <v>3378</v>
      </c>
      <c r="F10" s="19">
        <f>E10-D10</f>
        <v>-143</v>
      </c>
      <c r="G10" s="28">
        <f>(F10/D10)*100</f>
        <v>-4.0613462084635046</v>
      </c>
      <c r="H10" s="19">
        <v>9644</v>
      </c>
      <c r="I10" s="19">
        <f>'TB Fevrier22'!I11+'MARS 22'!E10</f>
        <v>13418</v>
      </c>
      <c r="J10" s="19">
        <f t="shared" si="0"/>
        <v>3774</v>
      </c>
      <c r="K10" s="21">
        <f>J10/H10</f>
        <v>0.39133139776026543</v>
      </c>
      <c r="L10" s="9">
        <v>6123</v>
      </c>
    </row>
    <row r="11" spans="1:12" s="9" customFormat="1" ht="20.100000000000001" customHeight="1" thickBot="1" x14ac:dyDescent="0.35">
      <c r="A11" s="22" t="s">
        <v>3</v>
      </c>
      <c r="B11" s="23" t="s">
        <v>25</v>
      </c>
      <c r="C11" s="24" t="s">
        <v>28</v>
      </c>
      <c r="D11" s="23"/>
      <c r="E11" s="23"/>
      <c r="F11" s="25">
        <f>E11-D11</f>
        <v>0</v>
      </c>
      <c r="G11" s="20" t="e">
        <f>(F11/D11)*100</f>
        <v>#DIV/0!</v>
      </c>
      <c r="H11" s="19"/>
      <c r="I11" s="19">
        <f>'TB Fevrier22'!I12+'MARS 22'!E11</f>
        <v>0</v>
      </c>
      <c r="J11" s="19">
        <f t="shared" si="0"/>
        <v>0</v>
      </c>
      <c r="K11" s="26" t="e">
        <f t="shared" si="1"/>
        <v>#DIV/0!</v>
      </c>
      <c r="L11" s="9">
        <v>0</v>
      </c>
    </row>
    <row r="12" spans="1:12" s="9" customFormat="1" ht="20.100000000000001" customHeight="1" thickBot="1" x14ac:dyDescent="0.35">
      <c r="A12" s="29" t="s">
        <v>4</v>
      </c>
      <c r="B12" s="30" t="s">
        <v>26</v>
      </c>
      <c r="C12" s="31"/>
      <c r="D12" s="30">
        <v>263</v>
      </c>
      <c r="E12" s="30"/>
      <c r="F12" s="32">
        <f>E12-D12</f>
        <v>-263</v>
      </c>
      <c r="G12" s="28">
        <f>(F12/D12)*100</f>
        <v>-100</v>
      </c>
      <c r="H12" s="19">
        <v>498</v>
      </c>
      <c r="I12" s="19">
        <f>'TB Fevrier22'!I13+'MARS 22'!E12</f>
        <v>150</v>
      </c>
      <c r="J12" s="19">
        <f t="shared" si="0"/>
        <v>-348</v>
      </c>
      <c r="K12" s="33">
        <f t="shared" si="1"/>
        <v>-0.6987951807228916</v>
      </c>
      <c r="L12" s="9">
        <v>235</v>
      </c>
    </row>
    <row r="13" spans="1:12" s="9" customFormat="1" ht="20.100000000000001" customHeight="1" thickBot="1" x14ac:dyDescent="0.35">
      <c r="A13" s="34" t="s">
        <v>5</v>
      </c>
      <c r="B13" s="35" t="s">
        <v>27</v>
      </c>
      <c r="C13" s="36">
        <v>70</v>
      </c>
      <c r="D13" s="37">
        <f>D8+D9+D10+D11+D12</f>
        <v>4320</v>
      </c>
      <c r="E13" s="37">
        <f>E8+E9+E10+E11+E12</f>
        <v>5678</v>
      </c>
      <c r="F13" s="38">
        <f t="shared" ref="F13:F27" si="2">E13-D13</f>
        <v>1358</v>
      </c>
      <c r="G13" s="53">
        <f>F13/D13</f>
        <v>0.31435185185185183</v>
      </c>
      <c r="H13" s="37">
        <f>H8+H9+H10+H11+H12</f>
        <v>11867</v>
      </c>
      <c r="I13" s="38">
        <f>'TB Fevrier22'!I14+'MARS 22'!E13</f>
        <v>35239</v>
      </c>
      <c r="J13" s="48">
        <f t="shared" si="0"/>
        <v>23372</v>
      </c>
      <c r="K13" s="39">
        <f>J13/H13</f>
        <v>1.9694952388977838</v>
      </c>
      <c r="L13" s="9">
        <v>7547</v>
      </c>
    </row>
    <row r="14" spans="1:12" s="9" customFormat="1" ht="20.100000000000001" customHeight="1" thickBot="1" x14ac:dyDescent="0.35">
      <c r="A14" s="16" t="s">
        <v>6</v>
      </c>
      <c r="B14" s="17" t="s">
        <v>29</v>
      </c>
      <c r="C14" s="18">
        <v>72</v>
      </c>
      <c r="D14" s="27">
        <v>4204</v>
      </c>
      <c r="E14" s="27">
        <v>10931</v>
      </c>
      <c r="F14" s="19">
        <f t="shared" si="2"/>
        <v>6727</v>
      </c>
      <c r="G14" s="40">
        <f>(F14/D14)*100</f>
        <v>160.01427212178879</v>
      </c>
      <c r="H14" s="19">
        <v>8348</v>
      </c>
      <c r="I14" s="19">
        <f>'TB Fevrier22'!I15+'MARS 22'!E14</f>
        <v>18000</v>
      </c>
      <c r="J14" s="19">
        <f t="shared" si="0"/>
        <v>9652</v>
      </c>
      <c r="K14" s="21">
        <f t="shared" si="1"/>
        <v>1.1562050790608529</v>
      </c>
      <c r="L14" s="9">
        <v>4144</v>
      </c>
    </row>
    <row r="15" spans="1:12" s="9" customFormat="1" ht="20.100000000000001" customHeight="1" thickBot="1" x14ac:dyDescent="0.35">
      <c r="A15" s="16" t="s">
        <v>7</v>
      </c>
      <c r="B15" s="17" t="s">
        <v>60</v>
      </c>
      <c r="C15" s="18">
        <v>73</v>
      </c>
      <c r="D15" s="17"/>
      <c r="E15" s="17"/>
      <c r="F15" s="19">
        <f t="shared" si="2"/>
        <v>0</v>
      </c>
      <c r="G15" s="40" t="e">
        <f>(F15/D15)*100</f>
        <v>#DIV/0!</v>
      </c>
      <c r="H15" s="19">
        <v>559</v>
      </c>
      <c r="I15" s="19">
        <f>'TB Fevrier22'!I16+'MARS 22'!E15</f>
        <v>0</v>
      </c>
      <c r="J15" s="19">
        <f t="shared" si="0"/>
        <v>-559</v>
      </c>
      <c r="K15" s="21">
        <f t="shared" si="1"/>
        <v>-1</v>
      </c>
      <c r="L15" s="9">
        <v>559</v>
      </c>
    </row>
    <row r="16" spans="1:12" s="9" customFormat="1" ht="20.100000000000001" customHeight="1" thickBot="1" x14ac:dyDescent="0.35">
      <c r="A16" s="22" t="s">
        <v>8</v>
      </c>
      <c r="B16" s="23" t="s">
        <v>30</v>
      </c>
      <c r="C16" s="41">
        <v>74</v>
      </c>
      <c r="D16" s="23"/>
      <c r="E16" s="23"/>
      <c r="F16" s="25">
        <f t="shared" si="2"/>
        <v>0</v>
      </c>
      <c r="G16" s="40"/>
      <c r="H16" s="19"/>
      <c r="I16" s="19">
        <f>'TB Fevrier22'!I17+'MARS 22'!E16</f>
        <v>0</v>
      </c>
      <c r="J16" s="42">
        <f t="shared" si="0"/>
        <v>0</v>
      </c>
      <c r="K16" s="43"/>
      <c r="L16" s="9">
        <v>0</v>
      </c>
    </row>
    <row r="17" spans="1:15" s="9" customFormat="1" ht="20.100000000000001" customHeight="1" thickBot="1" x14ac:dyDescent="0.35">
      <c r="A17" s="44" t="s">
        <v>9</v>
      </c>
      <c r="B17" s="45" t="s">
        <v>31</v>
      </c>
      <c r="C17" s="46"/>
      <c r="D17" s="47">
        <f>D13+D14+D15+D16</f>
        <v>8524</v>
      </c>
      <c r="E17" s="47">
        <f>E13+E14+E15+E16</f>
        <v>16609</v>
      </c>
      <c r="F17" s="48">
        <f t="shared" si="2"/>
        <v>8085</v>
      </c>
      <c r="G17" s="49">
        <f>F17/D17</f>
        <v>0.94849835757860157</v>
      </c>
      <c r="H17" s="47">
        <f>H13+H14+H15+H16</f>
        <v>20774</v>
      </c>
      <c r="I17" s="38">
        <f>'TB Fevrier22'!I21+'MARS 22'!E17</f>
        <v>53239</v>
      </c>
      <c r="J17" s="48">
        <f t="shared" si="0"/>
        <v>32465</v>
      </c>
      <c r="K17" s="50">
        <f t="shared" si="1"/>
        <v>1.5627707711562531</v>
      </c>
      <c r="L17" s="159">
        <v>12250</v>
      </c>
    </row>
    <row r="18" spans="1:15" s="9" customFormat="1" ht="20.100000000000001" customHeight="1" thickBot="1" x14ac:dyDescent="0.35">
      <c r="A18" s="16" t="s">
        <v>10</v>
      </c>
      <c r="B18" s="17" t="s">
        <v>32</v>
      </c>
      <c r="C18" s="18">
        <v>60</v>
      </c>
      <c r="D18" s="17">
        <f>D19+D20</f>
        <v>2747</v>
      </c>
      <c r="E18" s="17">
        <f>E19+E20</f>
        <v>5502</v>
      </c>
      <c r="F18" s="19">
        <f t="shared" si="2"/>
        <v>2755</v>
      </c>
      <c r="G18" s="40">
        <f>(F18/D18)*100</f>
        <v>100.29122679286495</v>
      </c>
      <c r="H18" s="19">
        <v>8391</v>
      </c>
      <c r="I18" s="19">
        <f>'TB Fevrier22'!I22+'MARS 22'!E18</f>
        <v>17355</v>
      </c>
      <c r="J18" s="19">
        <f t="shared" si="0"/>
        <v>8964</v>
      </c>
      <c r="K18" s="21">
        <f t="shared" si="1"/>
        <v>1.0682874508401858</v>
      </c>
      <c r="L18" s="159">
        <v>5644</v>
      </c>
    </row>
    <row r="19" spans="1:15" s="9" customFormat="1" ht="20.100000000000001" customHeight="1" thickBot="1" x14ac:dyDescent="0.35">
      <c r="A19" s="16" t="s">
        <v>11</v>
      </c>
      <c r="B19" s="17" t="s">
        <v>33</v>
      </c>
      <c r="C19" s="18">
        <v>600</v>
      </c>
      <c r="D19" s="17"/>
      <c r="E19" s="17"/>
      <c r="F19" s="19">
        <f t="shared" si="2"/>
        <v>0</v>
      </c>
      <c r="G19" s="40"/>
      <c r="H19" s="19"/>
      <c r="I19" s="19">
        <f>'TB Fevrier22'!I23+'MARS 22'!E19</f>
        <v>0</v>
      </c>
      <c r="J19" s="19">
        <f t="shared" si="0"/>
        <v>0</v>
      </c>
      <c r="K19" s="21"/>
      <c r="L19" s="159">
        <v>0</v>
      </c>
    </row>
    <row r="20" spans="1:15" s="9" customFormat="1" ht="20.100000000000001" customHeight="1" thickBot="1" x14ac:dyDescent="0.35">
      <c r="A20" s="16" t="s">
        <v>12</v>
      </c>
      <c r="B20" s="17" t="s">
        <v>34</v>
      </c>
      <c r="C20" s="18">
        <v>601</v>
      </c>
      <c r="D20" s="17">
        <v>2747</v>
      </c>
      <c r="E20" s="17">
        <f>150+5352</f>
        <v>5502</v>
      </c>
      <c r="F20" s="19">
        <f t="shared" si="2"/>
        <v>2755</v>
      </c>
      <c r="G20" s="40">
        <f>(F20/D20)*100</f>
        <v>100.29122679286495</v>
      </c>
      <c r="H20" s="19">
        <v>8391</v>
      </c>
      <c r="I20" s="19">
        <f>'TB Fevrier22'!I24+'MARS 22'!E20</f>
        <v>17355</v>
      </c>
      <c r="J20" s="19">
        <f t="shared" si="0"/>
        <v>8964</v>
      </c>
      <c r="K20" s="21">
        <f t="shared" si="1"/>
        <v>1.0682874508401858</v>
      </c>
      <c r="L20" s="159">
        <v>5644</v>
      </c>
    </row>
    <row r="21" spans="1:15" s="9" customFormat="1" ht="20.100000000000001" customHeight="1" thickBot="1" x14ac:dyDescent="0.35">
      <c r="A21" s="16" t="s">
        <v>13</v>
      </c>
      <c r="B21" s="17" t="s">
        <v>35</v>
      </c>
      <c r="C21" s="18">
        <v>604</v>
      </c>
      <c r="D21" s="17"/>
      <c r="E21" s="17"/>
      <c r="F21" s="19">
        <f t="shared" si="2"/>
        <v>0</v>
      </c>
      <c r="G21" s="40"/>
      <c r="H21" s="19"/>
      <c r="I21" s="19">
        <f>'TB Fevrier22'!I25+'MARS 22'!E21</f>
        <v>0</v>
      </c>
      <c r="J21" s="19">
        <f t="shared" si="0"/>
        <v>0</v>
      </c>
      <c r="K21" s="21"/>
      <c r="L21" s="159">
        <v>0</v>
      </c>
    </row>
    <row r="22" spans="1:15" s="9" customFormat="1" ht="20.100000000000001" customHeight="1" thickBot="1" x14ac:dyDescent="0.35">
      <c r="A22" s="16" t="s">
        <v>14</v>
      </c>
      <c r="B22" s="17" t="s">
        <v>36</v>
      </c>
      <c r="C22" s="18">
        <v>61</v>
      </c>
      <c r="D22" s="17">
        <v>973</v>
      </c>
      <c r="E22" s="17">
        <f>-575+641</f>
        <v>66</v>
      </c>
      <c r="F22" s="19">
        <f t="shared" si="2"/>
        <v>-907</v>
      </c>
      <c r="G22" s="40">
        <f>(F22/D22)*100</f>
        <v>-93.216855087358681</v>
      </c>
      <c r="H22" s="19">
        <v>2944</v>
      </c>
      <c r="I22" s="19">
        <f>'TB Fevrier22'!I26+'MARS 22'!E22</f>
        <v>2112</v>
      </c>
      <c r="J22" s="19">
        <f t="shared" si="0"/>
        <v>-832</v>
      </c>
      <c r="K22" s="21">
        <f t="shared" si="1"/>
        <v>-0.28260869565217389</v>
      </c>
      <c r="L22" s="159">
        <v>1971</v>
      </c>
      <c r="M22" s="9">
        <v>675</v>
      </c>
      <c r="N22" s="9">
        <v>300</v>
      </c>
      <c r="O22" s="9">
        <f>M22-N22</f>
        <v>375</v>
      </c>
    </row>
    <row r="23" spans="1:15" s="9" customFormat="1" ht="20.100000000000001" customHeight="1" thickBot="1" x14ac:dyDescent="0.35">
      <c r="A23" s="29" t="s">
        <v>15</v>
      </c>
      <c r="B23" s="30" t="s">
        <v>37</v>
      </c>
      <c r="C23" s="51">
        <v>62</v>
      </c>
      <c r="D23" s="30">
        <v>126</v>
      </c>
      <c r="E23" s="30">
        <v>1123</v>
      </c>
      <c r="F23" s="32">
        <f t="shared" si="2"/>
        <v>997</v>
      </c>
      <c r="G23" s="40">
        <f>(F23/D23)*100</f>
        <v>791.26984126984132</v>
      </c>
      <c r="H23" s="19">
        <v>665</v>
      </c>
      <c r="I23" s="19">
        <f>'TB Fevrier22'!I27+'MARS 22'!E23</f>
        <v>1420</v>
      </c>
      <c r="J23" s="32">
        <f t="shared" si="0"/>
        <v>755</v>
      </c>
      <c r="K23" s="33">
        <f t="shared" si="1"/>
        <v>1.1353383458646618</v>
      </c>
      <c r="L23" s="159">
        <v>539</v>
      </c>
    </row>
    <row r="24" spans="1:15" s="6" customFormat="1" ht="20.100000000000001" customHeight="1" thickBot="1" x14ac:dyDescent="0.35">
      <c r="A24" s="34" t="s">
        <v>16</v>
      </c>
      <c r="B24" s="35" t="s">
        <v>38</v>
      </c>
      <c r="C24" s="36"/>
      <c r="D24" s="35">
        <f>D18+D22+D23</f>
        <v>3846</v>
      </c>
      <c r="E24" s="35">
        <f>E18+E22+E23</f>
        <v>6691</v>
      </c>
      <c r="F24" s="38">
        <f t="shared" si="2"/>
        <v>2845</v>
      </c>
      <c r="G24" s="52">
        <f>(F24/D24)*100</f>
        <v>73.972958918356738</v>
      </c>
      <c r="H24" s="35">
        <f>H18+H22+H23</f>
        <v>12000</v>
      </c>
      <c r="I24" s="38">
        <f>'TB Fevrier22'!I28+'MARS 22'!E24</f>
        <v>20887</v>
      </c>
      <c r="J24" s="38">
        <f t="shared" si="0"/>
        <v>8887</v>
      </c>
      <c r="K24" s="39">
        <f t="shared" si="1"/>
        <v>0.74058333333333337</v>
      </c>
      <c r="L24" s="159">
        <v>8154</v>
      </c>
    </row>
    <row r="25" spans="1:15" s="6" customFormat="1" ht="20.100000000000001" customHeight="1" thickBot="1" x14ac:dyDescent="0.35">
      <c r="A25" s="34" t="s">
        <v>17</v>
      </c>
      <c r="B25" s="35" t="s">
        <v>39</v>
      </c>
      <c r="C25" s="36"/>
      <c r="D25" s="37">
        <f>D17-D24</f>
        <v>4678</v>
      </c>
      <c r="E25" s="37">
        <f>E17-E24</f>
        <v>9918</v>
      </c>
      <c r="F25" s="38">
        <f t="shared" si="2"/>
        <v>5240</v>
      </c>
      <c r="G25" s="53">
        <f>(F25/D25)*100</f>
        <v>112.01368106028218</v>
      </c>
      <c r="H25" s="37">
        <f>H17-H24</f>
        <v>8774</v>
      </c>
      <c r="I25" s="38">
        <f>'TB Fevrier22'!I29+'MARS 22'!E25</f>
        <v>32352</v>
      </c>
      <c r="J25" s="38">
        <f t="shared" si="0"/>
        <v>23578</v>
      </c>
      <c r="K25" s="39">
        <f t="shared" si="1"/>
        <v>2.6872578071575108</v>
      </c>
      <c r="L25" s="159">
        <v>4096</v>
      </c>
    </row>
    <row r="26" spans="1:15" s="9" customFormat="1" ht="20.100000000000001" customHeight="1" thickBot="1" x14ac:dyDescent="0.35">
      <c r="A26" s="54" t="s">
        <v>18</v>
      </c>
      <c r="B26" s="55" t="s">
        <v>40</v>
      </c>
      <c r="C26" s="56">
        <v>63</v>
      </c>
      <c r="D26" s="55">
        <v>8321</v>
      </c>
      <c r="E26" s="55">
        <v>8999</v>
      </c>
      <c r="F26" s="57">
        <f>E26-D26</f>
        <v>678</v>
      </c>
      <c r="G26" s="58">
        <f>(F26/D26)*100</f>
        <v>8.1480591275087129</v>
      </c>
      <c r="H26" s="19">
        <v>25225</v>
      </c>
      <c r="I26" s="19">
        <f>'TB Fevrier22'!I30+'MARS 22'!E26</f>
        <v>27309</v>
      </c>
      <c r="J26" s="57">
        <f t="shared" si="0"/>
        <v>2084</v>
      </c>
      <c r="K26" s="59">
        <f t="shared" si="1"/>
        <v>8.2616451932606541E-2</v>
      </c>
      <c r="L26" s="159">
        <v>16904</v>
      </c>
    </row>
    <row r="27" spans="1:15" s="61" customFormat="1" ht="20.100000000000001" customHeight="1" thickBot="1" x14ac:dyDescent="0.35">
      <c r="A27" s="60" t="s">
        <v>42</v>
      </c>
      <c r="B27" s="61" t="s">
        <v>41</v>
      </c>
      <c r="C27" s="41">
        <v>63</v>
      </c>
      <c r="D27" s="23">
        <v>62</v>
      </c>
      <c r="E27" s="23">
        <v>314</v>
      </c>
      <c r="F27" s="25">
        <f t="shared" si="2"/>
        <v>252</v>
      </c>
      <c r="G27" s="160"/>
      <c r="H27" s="19">
        <v>-324</v>
      </c>
      <c r="I27" s="19">
        <f>'TB Fevrier22'!I31+'MARS 22'!E27</f>
        <v>-626</v>
      </c>
      <c r="J27" s="25">
        <f t="shared" si="0"/>
        <v>-302</v>
      </c>
      <c r="K27" s="26">
        <f t="shared" si="1"/>
        <v>0.9320987654320988</v>
      </c>
      <c r="L27" s="159">
        <v>-386</v>
      </c>
    </row>
    <row r="28" spans="1:15" s="9" customFormat="1" ht="20.100000000000001" customHeight="1" thickBot="1" x14ac:dyDescent="0.35">
      <c r="A28" s="16" t="s">
        <v>19</v>
      </c>
      <c r="B28" s="17" t="s">
        <v>43</v>
      </c>
      <c r="C28" s="18">
        <v>64</v>
      </c>
      <c r="D28" s="17">
        <v>784</v>
      </c>
      <c r="E28" s="17">
        <v>84</v>
      </c>
      <c r="F28" s="19">
        <f>E28-D28</f>
        <v>-700</v>
      </c>
      <c r="G28" s="160">
        <f>(F28/D28)*100</f>
        <v>-89.285714285714292</v>
      </c>
      <c r="H28" s="19">
        <v>784</v>
      </c>
      <c r="I28" s="19">
        <f>'TB Fevrier22'!I32+'MARS 22'!E28</f>
        <v>675</v>
      </c>
      <c r="J28" s="19">
        <f t="shared" si="0"/>
        <v>-109</v>
      </c>
      <c r="K28" s="21">
        <f t="shared" si="1"/>
        <v>-0.13903061224489796</v>
      </c>
      <c r="L28" s="159">
        <v>0</v>
      </c>
    </row>
    <row r="29" spans="1:15" s="6" customFormat="1" ht="20.100000000000001" customHeight="1" thickBot="1" x14ac:dyDescent="0.35">
      <c r="A29" s="63" t="s">
        <v>20</v>
      </c>
      <c r="B29" s="64" t="s">
        <v>44</v>
      </c>
      <c r="C29" s="65"/>
      <c r="D29" s="37">
        <f>D25-D26-D28-D27</f>
        <v>-4489</v>
      </c>
      <c r="E29" s="161">
        <f>E25-E26-E27-E28</f>
        <v>521</v>
      </c>
      <c r="F29" s="38">
        <f>E29-D29</f>
        <v>5010</v>
      </c>
      <c r="G29" s="66">
        <f>F29/D29</f>
        <v>-1.1160614836266429</v>
      </c>
      <c r="H29" s="37">
        <f>H25-H26-H28-H27</f>
        <v>-16911</v>
      </c>
      <c r="I29" s="38">
        <f>'TB Fevrier22'!I33+'MARS 22'!E29</f>
        <v>4994</v>
      </c>
      <c r="J29" s="38">
        <f t="shared" si="0"/>
        <v>21905</v>
      </c>
      <c r="K29" s="39">
        <f t="shared" si="1"/>
        <v>-1.2953107444858376</v>
      </c>
      <c r="L29" s="159">
        <v>-12422</v>
      </c>
    </row>
    <row r="30" spans="1:15" s="173" customFormat="1" ht="13.5" customHeight="1" thickBot="1" x14ac:dyDescent="0.35">
      <c r="A30" s="162"/>
      <c r="B30" s="163"/>
      <c r="C30" s="164"/>
      <c r="D30" s="165"/>
      <c r="E30" s="166"/>
      <c r="F30" s="167"/>
      <c r="G30" s="168"/>
      <c r="H30" s="169"/>
      <c r="I30" s="170"/>
      <c r="J30" s="170"/>
      <c r="K30" s="171"/>
      <c r="L30" s="172"/>
    </row>
    <row r="31" spans="1:15" s="9" customFormat="1" ht="15.75" customHeight="1" thickBot="1" x14ac:dyDescent="0.35">
      <c r="A31" s="286" t="s">
        <v>45</v>
      </c>
      <c r="B31" s="287"/>
      <c r="C31" s="8" t="s">
        <v>46</v>
      </c>
      <c r="D31" s="290" t="s">
        <v>51</v>
      </c>
      <c r="E31" s="291"/>
      <c r="F31" s="292" t="s">
        <v>49</v>
      </c>
      <c r="G31" s="293"/>
      <c r="I31" s="159"/>
    </row>
    <row r="32" spans="1:15" s="9" customFormat="1" ht="20.100000000000001" customHeight="1" x14ac:dyDescent="0.3">
      <c r="A32" s="288"/>
      <c r="B32" s="289"/>
      <c r="C32" s="296" t="s">
        <v>47</v>
      </c>
      <c r="D32" s="67" t="s">
        <v>85</v>
      </c>
      <c r="E32" s="67" t="s">
        <v>89</v>
      </c>
      <c r="F32" s="288" t="s">
        <v>50</v>
      </c>
      <c r="G32" s="298" t="s">
        <v>62</v>
      </c>
      <c r="I32" s="159"/>
      <c r="J32" s="9" t="s">
        <v>177</v>
      </c>
    </row>
    <row r="33" spans="1:11" s="9" customFormat="1" ht="15.75" customHeight="1" thickBot="1" x14ac:dyDescent="0.35">
      <c r="A33" s="294"/>
      <c r="B33" s="295"/>
      <c r="C33" s="297"/>
      <c r="D33" s="69">
        <v>2022</v>
      </c>
      <c r="E33" s="69">
        <v>2022</v>
      </c>
      <c r="F33" s="294"/>
      <c r="G33" s="299"/>
      <c r="I33" s="159"/>
    </row>
    <row r="34" spans="1:11" s="9" customFormat="1" ht="16.5" customHeight="1" thickBot="1" x14ac:dyDescent="0.35">
      <c r="A34" s="22" t="s">
        <v>52</v>
      </c>
      <c r="B34" s="23" t="s">
        <v>53</v>
      </c>
      <c r="C34" s="18">
        <v>411</v>
      </c>
      <c r="D34" s="23">
        <f>3571+16523+681</f>
        <v>20775</v>
      </c>
      <c r="E34" s="209">
        <v>6739</v>
      </c>
      <c r="F34" s="150">
        <f>E34-D34</f>
        <v>-14036</v>
      </c>
      <c r="G34" s="151">
        <f>F34/D34</f>
        <v>-0.67561973525872443</v>
      </c>
      <c r="H34" s="159"/>
      <c r="I34" s="315" t="s">
        <v>91</v>
      </c>
      <c r="J34" s="315"/>
      <c r="K34" s="315"/>
    </row>
    <row r="35" spans="1:11" s="9" customFormat="1" ht="15.75" customHeight="1" thickBot="1" x14ac:dyDescent="0.35">
      <c r="A35" s="71" t="s">
        <v>54</v>
      </c>
      <c r="B35" s="72" t="s">
        <v>55</v>
      </c>
      <c r="C35" s="18"/>
      <c r="D35" s="17">
        <v>190</v>
      </c>
      <c r="E35" s="17">
        <v>187</v>
      </c>
      <c r="F35" s="70">
        <f>E35-D35</f>
        <v>-3</v>
      </c>
      <c r="G35" s="151">
        <f>F35/D35</f>
        <v>-1.5789473684210527E-2</v>
      </c>
      <c r="I35" s="159"/>
    </row>
    <row r="36" spans="1:11" s="9" customFormat="1" ht="20.100000000000001" customHeight="1" thickBot="1" x14ac:dyDescent="0.35">
      <c r="A36" s="16"/>
      <c r="B36" s="17" t="s">
        <v>56</v>
      </c>
      <c r="C36" s="18"/>
      <c r="D36" s="17">
        <v>103</v>
      </c>
      <c r="E36" s="17">
        <v>101</v>
      </c>
      <c r="F36" s="70">
        <f>E36-D36</f>
        <v>-2</v>
      </c>
      <c r="G36" s="153">
        <f>F36/D36</f>
        <v>-1.9417475728155338E-2</v>
      </c>
      <c r="I36" s="159"/>
    </row>
    <row r="37" spans="1:11" s="9" customFormat="1" ht="20.100000000000001" customHeight="1" x14ac:dyDescent="0.3">
      <c r="C37" s="6"/>
      <c r="I37" s="159"/>
    </row>
    <row r="38" spans="1:11" s="9" customFormat="1" ht="20.100000000000001" customHeight="1" x14ac:dyDescent="0.3">
      <c r="C38" s="6"/>
      <c r="I38" s="159"/>
    </row>
    <row r="39" spans="1:11" x14ac:dyDescent="0.25">
      <c r="E39" s="174"/>
    </row>
  </sheetData>
  <mergeCells count="15">
    <mergeCell ref="I34:K34"/>
    <mergeCell ref="C3:H3"/>
    <mergeCell ref="C4:I4"/>
    <mergeCell ref="J5:K5"/>
    <mergeCell ref="A6:B7"/>
    <mergeCell ref="D6:E6"/>
    <mergeCell ref="F6:G6"/>
    <mergeCell ref="H6:I6"/>
    <mergeCell ref="J6:K6"/>
    <mergeCell ref="A31:B33"/>
    <mergeCell ref="D31:E31"/>
    <mergeCell ref="F31:G31"/>
    <mergeCell ref="C32:C33"/>
    <mergeCell ref="F32:F33"/>
    <mergeCell ref="G32:G33"/>
  </mergeCells>
  <pageMargins left="0.25" right="0.25" top="0.75" bottom="0.75" header="0.3" footer="0.3"/>
  <pageSetup paperSize="9" scale="72" orientation="landscape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42"/>
  <sheetViews>
    <sheetView topLeftCell="A10" zoomScale="70" zoomScaleNormal="70" workbookViewId="0">
      <selection activeCell="I31" sqref="I31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3.140625" style="158" customWidth="1"/>
    <col min="10" max="10" width="14.425781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B5" s="285"/>
      <c r="C5" s="302" t="s">
        <v>171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187" t="s">
        <v>47</v>
      </c>
      <c r="D8" s="12">
        <v>44287</v>
      </c>
      <c r="E8" s="12">
        <v>44652</v>
      </c>
      <c r="F8" s="13" t="s">
        <v>50</v>
      </c>
      <c r="G8" s="14" t="s">
        <v>62</v>
      </c>
      <c r="H8" s="12">
        <v>44287</v>
      </c>
      <c r="I8" s="12">
        <v>44652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>
        <v>402</v>
      </c>
      <c r="E9" s="17">
        <v>6</v>
      </c>
      <c r="F9" s="19">
        <f>E9-D9</f>
        <v>-396</v>
      </c>
      <c r="G9" s="28"/>
      <c r="H9" s="19">
        <v>402</v>
      </c>
      <c r="I9" s="19">
        <f>'MARS 22'!I8+AVRIL22!E9</f>
        <v>6</v>
      </c>
      <c r="J9" s="19">
        <f>I9-H9</f>
        <v>-396</v>
      </c>
      <c r="K9" s="21">
        <f>J9/H9</f>
        <v>-0.9850746268656716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27">
        <v>711</v>
      </c>
      <c r="E10" s="27">
        <f>428+304</f>
        <v>732</v>
      </c>
      <c r="F10" s="25">
        <f>E10-D10</f>
        <v>21</v>
      </c>
      <c r="G10" s="28">
        <f>(F10/D10)*100</f>
        <v>2.9535864978902953</v>
      </c>
      <c r="H10" s="19">
        <v>2436</v>
      </c>
      <c r="I10" s="19">
        <f>'MARS 22'!I9+AVRIL22!E10</f>
        <v>12096</v>
      </c>
      <c r="J10" s="19">
        <f t="shared" ref="J10:J30" si="0">I10-H10</f>
        <v>9660</v>
      </c>
      <c r="K10" s="26">
        <f t="shared" ref="K10:K30" si="1">J10/H10</f>
        <v>3.9655172413793105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">
        <v>1530</v>
      </c>
      <c r="E11" s="27">
        <v>25815</v>
      </c>
      <c r="F11" s="19">
        <f>E11-D11</f>
        <v>24285</v>
      </c>
      <c r="G11" s="28">
        <f>(F11/D11)*100</f>
        <v>1587.2549019607843</v>
      </c>
      <c r="H11" s="19">
        <v>11174</v>
      </c>
      <c r="I11" s="19">
        <f>'MARS 22'!I10+AVRIL22!E11</f>
        <v>39233</v>
      </c>
      <c r="J11" s="19">
        <f t="shared" si="0"/>
        <v>28059</v>
      </c>
      <c r="K11" s="21">
        <f>J11/H11</f>
        <v>2.5110971899051369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>E12-D12</f>
        <v>0</v>
      </c>
      <c r="G12" s="20" t="e">
        <f>(F12/D12)*100</f>
        <v>#DIV/0!</v>
      </c>
      <c r="H12" s="19"/>
      <c r="I12" s="19">
        <f>'MARS 22'!I11+AVRIL22!E12</f>
        <v>0</v>
      </c>
      <c r="J12" s="19">
        <f t="shared" si="0"/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>
        <v>152</v>
      </c>
      <c r="E13" s="30">
        <f>20</f>
        <v>20</v>
      </c>
      <c r="F13" s="32">
        <f>E13-D13</f>
        <v>-132</v>
      </c>
      <c r="G13" s="28">
        <f>(F13/D13)*100</f>
        <v>-86.842105263157904</v>
      </c>
      <c r="H13" s="19">
        <v>650</v>
      </c>
      <c r="I13" s="19">
        <f>'MARS 22'!I12+AVRIL22!E13</f>
        <v>170</v>
      </c>
      <c r="J13" s="19">
        <f t="shared" si="0"/>
        <v>-480</v>
      </c>
      <c r="K13" s="33">
        <f t="shared" si="1"/>
        <v>-0.7384615384615385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2795</v>
      </c>
      <c r="E14" s="37">
        <f>E9+E10+E11+E12+E13</f>
        <v>26573</v>
      </c>
      <c r="F14" s="38">
        <f t="shared" ref="F14:F28" si="2">E14-D14</f>
        <v>23778</v>
      </c>
      <c r="G14" s="53">
        <f>F14/D14</f>
        <v>8.5073345259391768</v>
      </c>
      <c r="H14" s="37">
        <f>H9+H10+H11+H12+H13</f>
        <v>14662</v>
      </c>
      <c r="I14" s="38">
        <f>'MARS 22'!I13+AVRIL22!E14</f>
        <v>61812</v>
      </c>
      <c r="J14" s="48">
        <f t="shared" si="0"/>
        <v>47150</v>
      </c>
      <c r="K14" s="39">
        <f>J14/H14</f>
        <v>3.2157959350702496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>
        <v>8819</v>
      </c>
      <c r="E15" s="27">
        <v>-4143</v>
      </c>
      <c r="F15" s="19">
        <f t="shared" si="2"/>
        <v>-12962</v>
      </c>
      <c r="G15" s="40">
        <f>(F15/D15)*100</f>
        <v>-146.97811543258871</v>
      </c>
      <c r="H15" s="19">
        <v>17167</v>
      </c>
      <c r="I15" s="19">
        <f>'MARS 22'!I14+AVRIL22!E15</f>
        <v>13857</v>
      </c>
      <c r="J15" s="19">
        <f t="shared" si="0"/>
        <v>-3310</v>
      </c>
      <c r="K15" s="21">
        <f t="shared" si="1"/>
        <v>-0.19281179006232887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/>
      <c r="E16" s="17"/>
      <c r="F16" s="19">
        <f t="shared" si="2"/>
        <v>0</v>
      </c>
      <c r="G16" s="40" t="e">
        <f>(F16/D16)*100</f>
        <v>#DIV/0!</v>
      </c>
      <c r="H16" s="19">
        <v>559</v>
      </c>
      <c r="I16" s="19">
        <f>'MARS 22'!I15+AVRIL22!E16</f>
        <v>0</v>
      </c>
      <c r="J16" s="19">
        <f t="shared" si="0"/>
        <v>-559</v>
      </c>
      <c r="K16" s="21">
        <f t="shared" si="1"/>
        <v>-1</v>
      </c>
      <c r="L16" s="9">
        <v>559</v>
      </c>
    </row>
    <row r="17" spans="1:12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2"/>
        <v>0</v>
      </c>
      <c r="G17" s="40"/>
      <c r="H17" s="19"/>
      <c r="I17" s="19">
        <f>'MARS 22'!I16+AVRIL22!E17</f>
        <v>0</v>
      </c>
      <c r="J17" s="42">
        <f t="shared" si="0"/>
        <v>0</v>
      </c>
      <c r="K17" s="43"/>
      <c r="L17" s="9">
        <v>0</v>
      </c>
    </row>
    <row r="18" spans="1:12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11614</v>
      </c>
      <c r="E18" s="47">
        <f>E14+E15+E16+E17</f>
        <v>22430</v>
      </c>
      <c r="F18" s="48">
        <f t="shared" si="2"/>
        <v>10816</v>
      </c>
      <c r="G18" s="49">
        <f>F18/D18</f>
        <v>0.93128982262786297</v>
      </c>
      <c r="H18" s="47">
        <f>H14+H15+H16+H17</f>
        <v>32388</v>
      </c>
      <c r="I18" s="38">
        <f>'MARS 22'!I17+AVRIL22!E18</f>
        <v>75669</v>
      </c>
      <c r="J18" s="48">
        <f t="shared" si="0"/>
        <v>43281</v>
      </c>
      <c r="K18" s="50">
        <f t="shared" si="1"/>
        <v>1.3363282697295296</v>
      </c>
      <c r="L18" s="159">
        <v>12250</v>
      </c>
    </row>
    <row r="19" spans="1:12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>
        <v>3485</v>
      </c>
      <c r="E19" s="17">
        <f>E20+E21</f>
        <v>6109</v>
      </c>
      <c r="F19" s="19">
        <f t="shared" si="2"/>
        <v>2624</v>
      </c>
      <c r="G19" s="40">
        <f>(F19/D19)*100</f>
        <v>75.294117647058826</v>
      </c>
      <c r="H19" s="19">
        <v>11876</v>
      </c>
      <c r="I19" s="19">
        <f>'MARS 22'!I18+AVRIL22!E19</f>
        <v>23464</v>
      </c>
      <c r="J19" s="19">
        <f t="shared" si="0"/>
        <v>11588</v>
      </c>
      <c r="K19" s="21">
        <f t="shared" si="1"/>
        <v>0.97574941057595155</v>
      </c>
      <c r="L19" s="159">
        <v>5644</v>
      </c>
    </row>
    <row r="20" spans="1:12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>
        <v>402</v>
      </c>
      <c r="E20" s="17">
        <v>6</v>
      </c>
      <c r="F20" s="19">
        <f t="shared" si="2"/>
        <v>-396</v>
      </c>
      <c r="G20" s="40"/>
      <c r="H20" s="19">
        <v>402</v>
      </c>
      <c r="I20" s="19">
        <f>'MARS 22'!I19+AVRIL22!E20</f>
        <v>6</v>
      </c>
      <c r="J20" s="19">
        <f t="shared" si="0"/>
        <v>-396</v>
      </c>
      <c r="K20" s="21">
        <f t="shared" si="1"/>
        <v>-0.9850746268656716</v>
      </c>
      <c r="L20" s="159">
        <v>0</v>
      </c>
    </row>
    <row r="21" spans="1:12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>
        <v>3083</v>
      </c>
      <c r="E21" s="17">
        <f>5627+276+200</f>
        <v>6103</v>
      </c>
      <c r="F21" s="19">
        <f t="shared" si="2"/>
        <v>3020</v>
      </c>
      <c r="G21" s="40">
        <f>(F21/D21)*100</f>
        <v>97.956535841712622</v>
      </c>
      <c r="H21" s="19">
        <v>11474</v>
      </c>
      <c r="I21" s="19">
        <f>'MARS 22'!I20+AVRIL22!E21</f>
        <v>23458</v>
      </c>
      <c r="J21" s="19">
        <f t="shared" si="0"/>
        <v>11984</v>
      </c>
      <c r="K21" s="21">
        <f t="shared" si="1"/>
        <v>1.0444483179362036</v>
      </c>
      <c r="L21" s="159">
        <v>5644</v>
      </c>
    </row>
    <row r="22" spans="1:12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2"/>
        <v>0</v>
      </c>
      <c r="G22" s="40"/>
      <c r="H22" s="19"/>
      <c r="I22" s="19">
        <f>'MARS 22'!I21+AVRIL22!E22</f>
        <v>0</v>
      </c>
      <c r="J22" s="19">
        <f t="shared" si="0"/>
        <v>0</v>
      </c>
      <c r="K22" s="21"/>
      <c r="L22" s="159">
        <v>0</v>
      </c>
    </row>
    <row r="23" spans="1:12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>
        <v>713</v>
      </c>
      <c r="E23" s="17">
        <f>-400+2345-300+80+145</f>
        <v>1870</v>
      </c>
      <c r="F23" s="19">
        <f t="shared" si="2"/>
        <v>1157</v>
      </c>
      <c r="G23" s="40">
        <f>(F23/D23)*100</f>
        <v>162.27208976157084</v>
      </c>
      <c r="H23" s="19">
        <v>3657</v>
      </c>
      <c r="I23" s="19">
        <f>'MARS 22'!I22+AVRIL22!E23</f>
        <v>3982</v>
      </c>
      <c r="J23" s="19">
        <f t="shared" si="0"/>
        <v>325</v>
      </c>
      <c r="K23" s="21">
        <f t="shared" si="1"/>
        <v>8.8870659010117578E-2</v>
      </c>
      <c r="L23" s="159">
        <v>1971</v>
      </c>
    </row>
    <row r="24" spans="1:12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>
        <v>228</v>
      </c>
      <c r="E24" s="30">
        <v>152</v>
      </c>
      <c r="F24" s="32">
        <f t="shared" si="2"/>
        <v>-76</v>
      </c>
      <c r="G24" s="40">
        <f>(F24/D24)*100</f>
        <v>-33.333333333333329</v>
      </c>
      <c r="H24" s="19">
        <v>893</v>
      </c>
      <c r="I24" s="19">
        <f>'MARS 22'!I23+AVRIL22!E24</f>
        <v>1572</v>
      </c>
      <c r="J24" s="32">
        <f t="shared" si="0"/>
        <v>679</v>
      </c>
      <c r="K24" s="33">
        <f t="shared" si="1"/>
        <v>0.76035834266517355</v>
      </c>
      <c r="L24" s="159">
        <v>539</v>
      </c>
    </row>
    <row r="25" spans="1:12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4426</v>
      </c>
      <c r="E25" s="35">
        <f>E19+E23+E24</f>
        <v>8131</v>
      </c>
      <c r="F25" s="38">
        <f t="shared" si="2"/>
        <v>3705</v>
      </c>
      <c r="G25" s="52">
        <f>(F25/D25)*100</f>
        <v>83.70989606868504</v>
      </c>
      <c r="H25" s="35">
        <f>H19+H23+H24</f>
        <v>16426</v>
      </c>
      <c r="I25" s="38">
        <f>'MARS 22'!I24+AVRIL22!E25</f>
        <v>29018</v>
      </c>
      <c r="J25" s="38">
        <f t="shared" si="0"/>
        <v>12592</v>
      </c>
      <c r="K25" s="39">
        <f t="shared" si="1"/>
        <v>0.76658955314744914</v>
      </c>
      <c r="L25" s="159">
        <v>8154</v>
      </c>
    </row>
    <row r="26" spans="1:12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7188</v>
      </c>
      <c r="E26" s="37">
        <f>E18-E25</f>
        <v>14299</v>
      </c>
      <c r="F26" s="38">
        <f t="shared" si="2"/>
        <v>7111</v>
      </c>
      <c r="G26" s="53">
        <f>(F26/D26)*100</f>
        <v>98.928770172509743</v>
      </c>
      <c r="H26" s="37">
        <f>H18-H25</f>
        <v>15962</v>
      </c>
      <c r="I26" s="38">
        <f>'MARS 22'!I25+AVRIL22!E26</f>
        <v>46651</v>
      </c>
      <c r="J26" s="38">
        <f t="shared" si="0"/>
        <v>30689</v>
      </c>
      <c r="K26" s="39">
        <f t="shared" si="1"/>
        <v>1.9226287432652549</v>
      </c>
      <c r="L26" s="159">
        <v>4096</v>
      </c>
    </row>
    <row r="27" spans="1:12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>
        <v>9688</v>
      </c>
      <c r="E27" s="55">
        <v>10163</v>
      </c>
      <c r="F27" s="57">
        <f>E27-D27</f>
        <v>475</v>
      </c>
      <c r="G27" s="58">
        <f>(F27/D27)*100</f>
        <v>4.9029727497935589</v>
      </c>
      <c r="H27" s="19">
        <v>34913</v>
      </c>
      <c r="I27" s="19">
        <f>'MARS 22'!I26+AVRIL22!E27</f>
        <v>37472</v>
      </c>
      <c r="J27" s="57">
        <f t="shared" si="0"/>
        <v>2559</v>
      </c>
      <c r="K27" s="59">
        <f t="shared" si="1"/>
        <v>7.3296479821270008E-2</v>
      </c>
      <c r="L27" s="159">
        <v>16904</v>
      </c>
    </row>
    <row r="28" spans="1:12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>
        <v>1367</v>
      </c>
      <c r="E28" s="23">
        <v>1164</v>
      </c>
      <c r="F28" s="25">
        <f t="shared" si="2"/>
        <v>-203</v>
      </c>
      <c r="G28" s="160"/>
      <c r="H28" s="19">
        <v>1043</v>
      </c>
      <c r="I28" s="19">
        <f>'MARS 22'!I27+AVRIL22!E28</f>
        <v>538</v>
      </c>
      <c r="J28" s="25">
        <f t="shared" si="0"/>
        <v>-505</v>
      </c>
      <c r="K28" s="26">
        <f t="shared" si="1"/>
        <v>-0.48418024928092041</v>
      </c>
      <c r="L28" s="159">
        <v>-386</v>
      </c>
    </row>
    <row r="29" spans="1:12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>
        <v>101</v>
      </c>
      <c r="E29" s="17">
        <f>92+398</f>
        <v>490</v>
      </c>
      <c r="F29" s="19">
        <f>E29-D29</f>
        <v>389</v>
      </c>
      <c r="G29" s="160">
        <f>(F29/D29)*100</f>
        <v>385.14851485148512</v>
      </c>
      <c r="H29" s="19">
        <v>885</v>
      </c>
      <c r="I29" s="19">
        <f>'MARS 22'!I28+AVRIL22!E29</f>
        <v>1165</v>
      </c>
      <c r="J29" s="19">
        <f t="shared" si="0"/>
        <v>280</v>
      </c>
      <c r="K29" s="21">
        <f t="shared" si="1"/>
        <v>0.31638418079096048</v>
      </c>
      <c r="L29" s="159">
        <v>0</v>
      </c>
    </row>
    <row r="30" spans="1:12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D26-D27-D29-D28</f>
        <v>-3968</v>
      </c>
      <c r="E30" s="161">
        <f>E26-E27-E28-E29</f>
        <v>2482</v>
      </c>
      <c r="F30" s="38">
        <f>E30-D30</f>
        <v>6450</v>
      </c>
      <c r="G30" s="66">
        <f>F30/D30</f>
        <v>-1.6255040322580645</v>
      </c>
      <c r="H30" s="37">
        <f>H26-H27-H29-H28</f>
        <v>-20879</v>
      </c>
      <c r="I30" s="38">
        <f>'MARS 22'!I29+AVRIL22!E30</f>
        <v>7476</v>
      </c>
      <c r="J30" s="38">
        <f t="shared" si="0"/>
        <v>28355</v>
      </c>
      <c r="K30" s="39">
        <f t="shared" si="1"/>
        <v>-1.358063125628622</v>
      </c>
      <c r="L30" s="159">
        <v>-12422</v>
      </c>
    </row>
    <row r="31" spans="1:12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2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/>
    </row>
    <row r="33" spans="1:11" s="9" customFormat="1" ht="12.75" customHeight="1" x14ac:dyDescent="0.3">
      <c r="A33" s="288"/>
      <c r="B33" s="289"/>
      <c r="C33" s="296" t="s">
        <v>47</v>
      </c>
      <c r="D33" s="67" t="s">
        <v>89</v>
      </c>
      <c r="E33" s="67" t="s">
        <v>99</v>
      </c>
      <c r="F33" s="288" t="s">
        <v>50</v>
      </c>
      <c r="G33" s="298" t="s">
        <v>62</v>
      </c>
      <c r="I33" s="159"/>
      <c r="J33" s="9" t="s">
        <v>179</v>
      </c>
    </row>
    <row r="34" spans="1:11" s="9" customFormat="1" ht="15.75" customHeight="1" thickBot="1" x14ac:dyDescent="0.35">
      <c r="A34" s="294"/>
      <c r="B34" s="295"/>
      <c r="C34" s="297"/>
      <c r="D34" s="69">
        <v>2022</v>
      </c>
      <c r="E34" s="69">
        <v>2022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09">
        <v>6739</v>
      </c>
      <c r="E35" s="209">
        <v>28917</v>
      </c>
      <c r="F35" s="150">
        <f>E35-D35</f>
        <v>22178</v>
      </c>
      <c r="G35" s="151">
        <f>F35/D35</f>
        <v>3.2909927288915268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>
        <v>187</v>
      </c>
      <c r="E36" s="17">
        <v>189</v>
      </c>
      <c r="F36" s="70">
        <f>E36-D36</f>
        <v>2</v>
      </c>
      <c r="G36" s="151">
        <f>F36/D36</f>
        <v>1.06951871657754E-2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>
        <v>101</v>
      </c>
      <c r="E37" s="17">
        <v>101</v>
      </c>
      <c r="F37" s="70">
        <f>E37-D37</f>
        <v>0</v>
      </c>
      <c r="G37" s="153">
        <f>F37/D37</f>
        <v>0</v>
      </c>
      <c r="I37" s="159"/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  <row r="42" spans="1:11" x14ac:dyDescent="0.25">
      <c r="D42">
        <f>E27+E28</f>
        <v>11327</v>
      </c>
    </row>
  </sheetData>
  <mergeCells count="15">
    <mergeCell ref="I35:K35"/>
    <mergeCell ref="A32:B34"/>
    <mergeCell ref="D32:E32"/>
    <mergeCell ref="F32:G32"/>
    <mergeCell ref="C33:C34"/>
    <mergeCell ref="F33:F34"/>
    <mergeCell ref="G33:G34"/>
    <mergeCell ref="C4:H4"/>
    <mergeCell ref="C5:I5"/>
    <mergeCell ref="J6:K6"/>
    <mergeCell ref="A7:B8"/>
    <mergeCell ref="D7:E7"/>
    <mergeCell ref="F7:G7"/>
    <mergeCell ref="H7:I7"/>
    <mergeCell ref="J7:K7"/>
  </mergeCells>
  <pageMargins left="0.25" right="0.25" top="0.75" bottom="0.75" header="0.3" footer="0.3"/>
  <pageSetup paperSize="9" scale="72" orientation="landscape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40"/>
  <sheetViews>
    <sheetView zoomScale="70" zoomScaleNormal="70" workbookViewId="0">
      <selection activeCell="K9" sqref="K9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6.42578125" style="158" customWidth="1"/>
    <col min="10" max="10" width="14.425781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C5" s="302" t="s">
        <v>172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206" t="s">
        <v>47</v>
      </c>
      <c r="D8" s="12">
        <v>44317</v>
      </c>
      <c r="E8" s="12">
        <v>44682</v>
      </c>
      <c r="F8" s="13" t="s">
        <v>50</v>
      </c>
      <c r="G8" s="14" t="s">
        <v>62</v>
      </c>
      <c r="H8" s="12">
        <v>44317</v>
      </c>
      <c r="I8" s="12">
        <v>44682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>E9-D9</f>
        <v>0</v>
      </c>
      <c r="G9" s="28" t="e">
        <f>(F9/D9)*100</f>
        <v>#DIV/0!</v>
      </c>
      <c r="H9" s="19">
        <v>402</v>
      </c>
      <c r="I9" s="19">
        <f>AVRIL22!I9+'MAI 22'!E9</f>
        <v>6</v>
      </c>
      <c r="J9" s="19">
        <f>I9-H9</f>
        <v>-396</v>
      </c>
      <c r="K9" s="21">
        <f>J9/H9</f>
        <v>-0.9850746268656716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27"/>
      <c r="E10" s="27">
        <v>2293</v>
      </c>
      <c r="F10" s="25">
        <f>E10-D10</f>
        <v>2293</v>
      </c>
      <c r="G10" s="28" t="e">
        <f>(F10/D10)*100</f>
        <v>#DIV/0!</v>
      </c>
      <c r="H10" s="19">
        <v>2436</v>
      </c>
      <c r="I10" s="19">
        <f>AVRIL22!I10+'MAI 22'!E10</f>
        <v>14389</v>
      </c>
      <c r="J10" s="19">
        <f t="shared" ref="J10:J30" si="0">I10-H10</f>
        <v>11953</v>
      </c>
      <c r="K10" s="26">
        <f t="shared" ref="K10:K30" si="1">J10/H10</f>
        <v>4.9068144499178983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">
        <v>2465</v>
      </c>
      <c r="E11" s="27">
        <v>40169</v>
      </c>
      <c r="F11" s="19">
        <f>E11-D11</f>
        <v>37704</v>
      </c>
      <c r="G11" s="28">
        <f>(F11/D11)*100</f>
        <v>1529.5740365111562</v>
      </c>
      <c r="H11" s="19">
        <v>13639</v>
      </c>
      <c r="I11" s="19">
        <f>AVRIL22!I11+'MAI 22'!E11</f>
        <v>79402</v>
      </c>
      <c r="J11" s="19">
        <f t="shared" si="0"/>
        <v>65763</v>
      </c>
      <c r="K11" s="21">
        <f>J11/H11</f>
        <v>4.8216878070239755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>E12-D12</f>
        <v>0</v>
      </c>
      <c r="G12" s="20" t="e">
        <f>(F12/D12)*100</f>
        <v>#DIV/0!</v>
      </c>
      <c r="H12" s="19"/>
      <c r="I12" s="19">
        <f>AVRIL22!I12+'MAI 22'!E12</f>
        <v>0</v>
      </c>
      <c r="J12" s="19">
        <f t="shared" si="0"/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/>
      <c r="E13" s="30">
        <v>21</v>
      </c>
      <c r="F13" s="32">
        <f>E13-D13</f>
        <v>21</v>
      </c>
      <c r="G13" s="28" t="e">
        <f>(F13/D13)*100</f>
        <v>#DIV/0!</v>
      </c>
      <c r="H13" s="19">
        <v>650</v>
      </c>
      <c r="I13" s="19">
        <f>AVRIL22!I13+'MAI 22'!E13</f>
        <v>191</v>
      </c>
      <c r="J13" s="19">
        <f t="shared" si="0"/>
        <v>-459</v>
      </c>
      <c r="K13" s="33">
        <f t="shared" si="1"/>
        <v>-0.70615384615384613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2465</v>
      </c>
      <c r="E14" s="37">
        <f>E9+E10+E11+E12+E13</f>
        <v>42483</v>
      </c>
      <c r="F14" s="38">
        <f t="shared" ref="F14:F28" si="2">E14-D14</f>
        <v>40018</v>
      </c>
      <c r="G14" s="53">
        <f>F14/D14</f>
        <v>16.23448275862069</v>
      </c>
      <c r="H14" s="38">
        <f>AVRIL22!H14+'MAI 22'!D14</f>
        <v>17127</v>
      </c>
      <c r="I14" s="38">
        <f>AVRIL22!I14+'MAI 22'!E14</f>
        <v>104295</v>
      </c>
      <c r="J14" s="48">
        <f t="shared" si="0"/>
        <v>87168</v>
      </c>
      <c r="K14" s="39">
        <f>J14/H14</f>
        <v>5.0895077947101068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>
        <v>18690</v>
      </c>
      <c r="E15" s="27">
        <f>-26400-253-17-58+17113</f>
        <v>-9615</v>
      </c>
      <c r="F15" s="19">
        <f t="shared" si="2"/>
        <v>-28305</v>
      </c>
      <c r="G15" s="40">
        <f>(F15/D15)*100</f>
        <v>-151.44462279293739</v>
      </c>
      <c r="H15" s="19">
        <v>35857</v>
      </c>
      <c r="I15" s="19">
        <f>AVRIL22!I15+'MAI 22'!E15</f>
        <v>4242</v>
      </c>
      <c r="J15" s="19">
        <f t="shared" si="0"/>
        <v>-31615</v>
      </c>
      <c r="K15" s="21">
        <f t="shared" si="1"/>
        <v>-0.88169673982764873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>
        <v>16</v>
      </c>
      <c r="E16" s="17"/>
      <c r="F16" s="19">
        <f t="shared" si="2"/>
        <v>-16</v>
      </c>
      <c r="G16" s="40">
        <f>(F16/D16)*100</f>
        <v>-100</v>
      </c>
      <c r="H16" s="19">
        <v>575</v>
      </c>
      <c r="I16" s="19">
        <f>AVRIL22!I16+'MAI 22'!E16</f>
        <v>0</v>
      </c>
      <c r="J16" s="19">
        <f t="shared" si="0"/>
        <v>-575</v>
      </c>
      <c r="K16" s="21">
        <f t="shared" si="1"/>
        <v>-1</v>
      </c>
      <c r="L16" s="9">
        <v>559</v>
      </c>
    </row>
    <row r="17" spans="1:12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2"/>
        <v>0</v>
      </c>
      <c r="G17" s="40"/>
      <c r="H17" s="19"/>
      <c r="I17" s="19">
        <f>AVRIL22!I17+'MAI 22'!E17</f>
        <v>0</v>
      </c>
      <c r="J17" s="42">
        <f t="shared" si="0"/>
        <v>0</v>
      </c>
      <c r="K17" s="43"/>
      <c r="L17" s="9">
        <v>0</v>
      </c>
    </row>
    <row r="18" spans="1:12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21171</v>
      </c>
      <c r="E18" s="47">
        <f>E14+E15+E16+E17</f>
        <v>32868</v>
      </c>
      <c r="F18" s="48">
        <f t="shared" si="2"/>
        <v>11697</v>
      </c>
      <c r="G18" s="49">
        <f>F18/D18</f>
        <v>0.55250106277455013</v>
      </c>
      <c r="H18" s="38">
        <f>AVRIL22!H18+'MAI 22'!D18</f>
        <v>53559</v>
      </c>
      <c r="I18" s="38">
        <f>AVRIL22!I18+'MAI 22'!E18</f>
        <v>108537</v>
      </c>
      <c r="J18" s="48">
        <f t="shared" si="0"/>
        <v>54978</v>
      </c>
      <c r="K18" s="50">
        <f t="shared" si="1"/>
        <v>1.026494146642021</v>
      </c>
      <c r="L18" s="159">
        <v>12250</v>
      </c>
    </row>
    <row r="19" spans="1:12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>
        <v>2864</v>
      </c>
      <c r="E19" s="17">
        <f>E20+E21</f>
        <v>4464</v>
      </c>
      <c r="F19" s="19">
        <f t="shared" si="2"/>
        <v>1600</v>
      </c>
      <c r="G19" s="40">
        <f>(F19/D19)*100</f>
        <v>55.865921787709496</v>
      </c>
      <c r="H19" s="19">
        <v>14740</v>
      </c>
      <c r="I19" s="19">
        <f>AVRIL22!I19+'MAI 22'!E19</f>
        <v>27928</v>
      </c>
      <c r="J19" s="19">
        <f t="shared" si="0"/>
        <v>13188</v>
      </c>
      <c r="K19" s="21">
        <f t="shared" si="1"/>
        <v>0.89470827679782905</v>
      </c>
      <c r="L19" s="159">
        <v>5644</v>
      </c>
    </row>
    <row r="20" spans="1:12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2"/>
        <v>0</v>
      </c>
      <c r="G20" s="40"/>
      <c r="H20" s="19">
        <v>402</v>
      </c>
      <c r="I20" s="19">
        <f>AVRIL22!I20+'MAI 22'!E20</f>
        <v>6</v>
      </c>
      <c r="J20" s="19">
        <f t="shared" si="0"/>
        <v>-396</v>
      </c>
      <c r="K20" s="21">
        <f t="shared" si="1"/>
        <v>-0.9850746268656716</v>
      </c>
      <c r="L20" s="159">
        <v>0</v>
      </c>
    </row>
    <row r="21" spans="1:12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>
        <v>2864</v>
      </c>
      <c r="E21" s="17">
        <f>210+4254</f>
        <v>4464</v>
      </c>
      <c r="F21" s="19">
        <f t="shared" si="2"/>
        <v>1600</v>
      </c>
      <c r="G21" s="40">
        <f>(F21/D21)*100</f>
        <v>55.865921787709496</v>
      </c>
      <c r="H21" s="19">
        <v>14338</v>
      </c>
      <c r="I21" s="19">
        <f>AVRIL22!I21+'MAI 22'!E21</f>
        <v>27922</v>
      </c>
      <c r="J21" s="19">
        <f t="shared" si="0"/>
        <v>13584</v>
      </c>
      <c r="K21" s="21">
        <f t="shared" si="1"/>
        <v>0.94741247035848797</v>
      </c>
      <c r="L21" s="159">
        <v>5644</v>
      </c>
    </row>
    <row r="22" spans="1:12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2"/>
        <v>0</v>
      </c>
      <c r="G22" s="40"/>
      <c r="H22" s="19"/>
      <c r="I22" s="19">
        <f>AVRIL22!I22+'MAI 22'!E22</f>
        <v>0</v>
      </c>
      <c r="J22" s="19">
        <f t="shared" si="0"/>
        <v>0</v>
      </c>
      <c r="K22" s="21"/>
      <c r="L22" s="159">
        <v>0</v>
      </c>
    </row>
    <row r="23" spans="1:12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>
        <v>8925</v>
      </c>
      <c r="E23" s="17">
        <f>6648+2345</f>
        <v>8993</v>
      </c>
      <c r="F23" s="19">
        <f t="shared" si="2"/>
        <v>68</v>
      </c>
      <c r="G23" s="40">
        <f>(F23/D23)*100</f>
        <v>0.76190476190476186</v>
      </c>
      <c r="H23" s="19">
        <v>12582</v>
      </c>
      <c r="I23" s="19">
        <f>AVRIL22!I23+'MAI 22'!E23</f>
        <v>12975</v>
      </c>
      <c r="J23" s="19">
        <f t="shared" si="0"/>
        <v>393</v>
      </c>
      <c r="K23" s="21">
        <f t="shared" si="1"/>
        <v>3.1235097758702909E-2</v>
      </c>
      <c r="L23" s="159">
        <v>1971</v>
      </c>
    </row>
    <row r="24" spans="1:12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>
        <v>27</v>
      </c>
      <c r="E24" s="30">
        <v>422</v>
      </c>
      <c r="F24" s="32">
        <f t="shared" si="2"/>
        <v>395</v>
      </c>
      <c r="G24" s="40">
        <f>(F24/D24)*100</f>
        <v>1462.962962962963</v>
      </c>
      <c r="H24" s="19">
        <v>920</v>
      </c>
      <c r="I24" s="19">
        <f>AVRIL22!I24+'MAI 22'!E24</f>
        <v>1994</v>
      </c>
      <c r="J24" s="32">
        <f t="shared" si="0"/>
        <v>1074</v>
      </c>
      <c r="K24" s="33">
        <f t="shared" si="1"/>
        <v>1.1673913043478261</v>
      </c>
      <c r="L24" s="159">
        <v>539</v>
      </c>
    </row>
    <row r="25" spans="1:12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11816</v>
      </c>
      <c r="E25" s="35">
        <f>E19+E23+E24</f>
        <v>13879</v>
      </c>
      <c r="F25" s="38">
        <f t="shared" si="2"/>
        <v>2063</v>
      </c>
      <c r="G25" s="52">
        <f>(F25/D25)*100</f>
        <v>17.459377115775222</v>
      </c>
      <c r="H25" s="38">
        <f>AVRIL22!H25+'MAI 22'!D25</f>
        <v>28242</v>
      </c>
      <c r="I25" s="38">
        <f>AVRIL22!I25+'MAI 22'!E25</f>
        <v>42897</v>
      </c>
      <c r="J25" s="38">
        <f t="shared" si="0"/>
        <v>14655</v>
      </c>
      <c r="K25" s="39">
        <f t="shared" si="1"/>
        <v>0.51890800934777992</v>
      </c>
      <c r="L25" s="159">
        <v>8154</v>
      </c>
    </row>
    <row r="26" spans="1:12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9355</v>
      </c>
      <c r="E26" s="37">
        <f>E18-E25</f>
        <v>18989</v>
      </c>
      <c r="F26" s="38">
        <f t="shared" si="2"/>
        <v>9634</v>
      </c>
      <c r="G26" s="53">
        <f>(F26/D26)*100</f>
        <v>102.98236237306253</v>
      </c>
      <c r="H26" s="38">
        <f>AVRIL22!H26+'MAI 22'!D26</f>
        <v>25317</v>
      </c>
      <c r="I26" s="38">
        <f>AVRIL22!I26+'MAI 22'!E26</f>
        <v>65640</v>
      </c>
      <c r="J26" s="38">
        <f t="shared" si="0"/>
        <v>40323</v>
      </c>
      <c r="K26" s="39">
        <f t="shared" si="1"/>
        <v>1.5927242564284867</v>
      </c>
      <c r="L26" s="159">
        <v>4096</v>
      </c>
    </row>
    <row r="27" spans="1:12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>
        <v>7671</v>
      </c>
      <c r="E27" s="55">
        <v>9090</v>
      </c>
      <c r="F27" s="57">
        <f>E27-D27</f>
        <v>1419</v>
      </c>
      <c r="G27" s="58">
        <f>(F27/D27)*100</f>
        <v>18.498240125146655</v>
      </c>
      <c r="H27" s="19">
        <v>42584</v>
      </c>
      <c r="I27" s="19">
        <f>AVRIL22!I27+'MAI 22'!E27</f>
        <v>46562</v>
      </c>
      <c r="J27" s="57">
        <f t="shared" si="0"/>
        <v>3978</v>
      </c>
      <c r="K27" s="59">
        <f t="shared" si="1"/>
        <v>9.3415367274093553E-2</v>
      </c>
      <c r="L27" s="159">
        <v>16904</v>
      </c>
    </row>
    <row r="28" spans="1:12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>
        <v>-2017</v>
      </c>
      <c r="E28" s="23">
        <v>-1073</v>
      </c>
      <c r="F28" s="25">
        <f t="shared" si="2"/>
        <v>944</v>
      </c>
      <c r="G28" s="160"/>
      <c r="H28" s="19">
        <v>-974</v>
      </c>
      <c r="I28" s="19">
        <f>AVRIL22!I28+'MAI 22'!E28</f>
        <v>-535</v>
      </c>
      <c r="J28" s="25">
        <f t="shared" si="0"/>
        <v>439</v>
      </c>
      <c r="K28" s="26">
        <f t="shared" si="1"/>
        <v>-0.45071868583162217</v>
      </c>
      <c r="L28" s="159">
        <v>-386</v>
      </c>
    </row>
    <row r="29" spans="1:12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>
        <v>143</v>
      </c>
      <c r="E29" s="17">
        <v>637</v>
      </c>
      <c r="F29" s="19">
        <f>E29-D29</f>
        <v>494</v>
      </c>
      <c r="G29" s="160">
        <f>(F29/D29)*100</f>
        <v>345.45454545454544</v>
      </c>
      <c r="H29" s="19">
        <v>1028</v>
      </c>
      <c r="I29" s="19">
        <f>AVRIL22!I29+'MAI 22'!E29</f>
        <v>1802</v>
      </c>
      <c r="J29" s="19">
        <f t="shared" si="0"/>
        <v>774</v>
      </c>
      <c r="K29" s="21">
        <f t="shared" si="1"/>
        <v>0.75291828793774318</v>
      </c>
      <c r="L29" s="159">
        <v>0</v>
      </c>
    </row>
    <row r="30" spans="1:12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D26-D27-D29-D28</f>
        <v>3558</v>
      </c>
      <c r="E30" s="161">
        <f>E26-E27-E28-E29</f>
        <v>10335</v>
      </c>
      <c r="F30" s="38">
        <f>E30-D30</f>
        <v>6777</v>
      </c>
      <c r="G30" s="66">
        <f>F30/D30</f>
        <v>1.9047217537942664</v>
      </c>
      <c r="H30" s="38">
        <f>AVRIL22!H30+'MAI 22'!D30</f>
        <v>-17321</v>
      </c>
      <c r="I30" s="38">
        <f>AVRIL22!I30+'MAI 22'!E30</f>
        <v>17811</v>
      </c>
      <c r="J30" s="38">
        <f t="shared" si="0"/>
        <v>35132</v>
      </c>
      <c r="K30" s="39">
        <f t="shared" si="1"/>
        <v>-2.028289359736736</v>
      </c>
      <c r="L30" s="159">
        <v>-12422</v>
      </c>
    </row>
    <row r="31" spans="1:12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2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/>
    </row>
    <row r="33" spans="1:11" s="9" customFormat="1" ht="12.75" customHeight="1" x14ac:dyDescent="0.3">
      <c r="A33" s="288"/>
      <c r="B33" s="289"/>
      <c r="C33" s="296" t="s">
        <v>47</v>
      </c>
      <c r="D33" s="67" t="s">
        <v>99</v>
      </c>
      <c r="E33" s="67" t="s">
        <v>113</v>
      </c>
      <c r="F33" s="288" t="s">
        <v>50</v>
      </c>
      <c r="G33" s="298" t="s">
        <v>62</v>
      </c>
      <c r="I33" s="159"/>
      <c r="J33" s="9" t="s">
        <v>173</v>
      </c>
    </row>
    <row r="34" spans="1:11" s="9" customFormat="1" ht="15.75" customHeight="1" thickBot="1" x14ac:dyDescent="0.35">
      <c r="A34" s="294"/>
      <c r="B34" s="295"/>
      <c r="C34" s="297"/>
      <c r="D34" s="69">
        <v>2022</v>
      </c>
      <c r="E34" s="69">
        <v>2022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09">
        <f>AVRIL22!E35</f>
        <v>28917</v>
      </c>
      <c r="E35" s="209">
        <f>D35-10481+42520</f>
        <v>60956</v>
      </c>
      <c r="F35" s="150">
        <f>E35-D35</f>
        <v>32039</v>
      </c>
      <c r="G35" s="151">
        <f>F35/D35</f>
        <v>1.1079641733236505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>
        <v>180</v>
      </c>
      <c r="E36" s="17">
        <v>189</v>
      </c>
      <c r="F36" s="70">
        <f>E36-D36</f>
        <v>9</v>
      </c>
      <c r="G36" s="151">
        <f>F36/D36</f>
        <v>0.05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>
        <v>101</v>
      </c>
      <c r="E37" s="17">
        <v>99</v>
      </c>
      <c r="F37" s="70">
        <f>E37-D37</f>
        <v>-2</v>
      </c>
      <c r="G37" s="153">
        <f>F37/D37</f>
        <v>-1.9801980198019802E-2</v>
      </c>
      <c r="I37" s="159" t="s">
        <v>180</v>
      </c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</sheetData>
  <mergeCells count="15">
    <mergeCell ref="C4:H4"/>
    <mergeCell ref="C5:I5"/>
    <mergeCell ref="J6:K6"/>
    <mergeCell ref="A7:B8"/>
    <mergeCell ref="D7:E7"/>
    <mergeCell ref="F7:G7"/>
    <mergeCell ref="H7:I7"/>
    <mergeCell ref="J7:K7"/>
    <mergeCell ref="I35:K35"/>
    <mergeCell ref="A32:B34"/>
    <mergeCell ref="D32:E32"/>
    <mergeCell ref="F32:G32"/>
    <mergeCell ref="C33:C34"/>
    <mergeCell ref="F33:F34"/>
    <mergeCell ref="G33:G34"/>
  </mergeCells>
  <pageMargins left="0.25" right="0.25" top="0.75" bottom="0.75" header="0.3" footer="0.3"/>
  <pageSetup paperSize="9" scale="72" orientation="landscape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40"/>
  <sheetViews>
    <sheetView topLeftCell="A7" zoomScale="70" zoomScaleNormal="70" workbookViewId="0">
      <selection activeCell="H8" sqref="H8:I8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3.140625" style="158" customWidth="1"/>
    <col min="10" max="10" width="14.425781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C5" s="302" t="s">
        <v>175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208" t="s">
        <v>47</v>
      </c>
      <c r="D8" s="12">
        <v>44348</v>
      </c>
      <c r="E8" s="12">
        <v>44713</v>
      </c>
      <c r="F8" s="13" t="s">
        <v>50</v>
      </c>
      <c r="G8" s="14" t="s">
        <v>62</v>
      </c>
      <c r="H8" s="12">
        <v>44348</v>
      </c>
      <c r="I8" s="12">
        <v>44713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>E9-D9</f>
        <v>0</v>
      </c>
      <c r="G9" s="28"/>
      <c r="H9" s="19"/>
      <c r="I9" s="19">
        <f>'MAI 22'!I9+'JUIN 22 (2)'!E9</f>
        <v>6</v>
      </c>
      <c r="J9" s="19">
        <f>I9-H9</f>
        <v>6</v>
      </c>
      <c r="K9" s="21" t="e">
        <f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27"/>
      <c r="E10" s="27"/>
      <c r="F10" s="25">
        <f>E10-D10</f>
        <v>0</v>
      </c>
      <c r="G10" s="28" t="e">
        <f>(F10/D10)*100</f>
        <v>#DIV/0!</v>
      </c>
      <c r="H10" s="19"/>
      <c r="I10" s="19">
        <f>'MAI 22'!I10+'JUIN 22 (2)'!E10</f>
        <v>14389</v>
      </c>
      <c r="J10" s="19">
        <f t="shared" ref="J10:J30" si="0">I10-H10</f>
        <v>14389</v>
      </c>
      <c r="K10" s="26" t="e">
        <f t="shared" ref="K10:K30" si="1">J10/H10</f>
        <v>#DIV/0!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"/>
      <c r="E11" s="27"/>
      <c r="F11" s="19">
        <f>E11-D11</f>
        <v>0</v>
      </c>
      <c r="G11" s="28" t="e">
        <f>(F11/D11)*100</f>
        <v>#DIV/0!</v>
      </c>
      <c r="H11" s="19"/>
      <c r="I11" s="19">
        <f>'MAI 22'!I11+'JUIN 22 (2)'!E11</f>
        <v>79402</v>
      </c>
      <c r="J11" s="19">
        <f t="shared" si="0"/>
        <v>79402</v>
      </c>
      <c r="K11" s="21" t="e">
        <f>J11/H11</f>
        <v>#DIV/0!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>E12-D12</f>
        <v>0</v>
      </c>
      <c r="G12" s="20" t="e">
        <f>(F12/D12)*100</f>
        <v>#DIV/0!</v>
      </c>
      <c r="H12" s="19"/>
      <c r="I12" s="19">
        <f>'MAI 22'!I12+'JUIN 22 (2)'!E12</f>
        <v>0</v>
      </c>
      <c r="J12" s="19">
        <f t="shared" si="0"/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/>
      <c r="E13" s="30"/>
      <c r="F13" s="32">
        <f>E13-D13</f>
        <v>0</v>
      </c>
      <c r="G13" s="28" t="e">
        <f>(F13/D13)*100</f>
        <v>#DIV/0!</v>
      </c>
      <c r="H13" s="19"/>
      <c r="I13" s="19">
        <f>'MAI 22'!I13+'JUIN 22 (2)'!E13</f>
        <v>191</v>
      </c>
      <c r="J13" s="19">
        <f t="shared" si="0"/>
        <v>191</v>
      </c>
      <c r="K13" s="33" t="e">
        <f t="shared" si="1"/>
        <v>#DIV/0!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0</v>
      </c>
      <c r="E14" s="37">
        <f>E9+E10+E11+E12+E13</f>
        <v>0</v>
      </c>
      <c r="F14" s="38">
        <f t="shared" ref="F14:F28" si="2">E14-D14</f>
        <v>0</v>
      </c>
      <c r="G14" s="53" t="e">
        <f>F14/D14</f>
        <v>#DIV/0!</v>
      </c>
      <c r="H14" s="37">
        <f>H9+H10+H11+H12+H13</f>
        <v>0</v>
      </c>
      <c r="I14" s="38">
        <f>'MAI 22'!I14+'JUIN 22 (2)'!E14</f>
        <v>104295</v>
      </c>
      <c r="J14" s="48">
        <f t="shared" si="0"/>
        <v>104295</v>
      </c>
      <c r="K14" s="39" t="e">
        <f>J14/H14</f>
        <v>#DIV/0!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/>
      <c r="E15" s="27"/>
      <c r="F15" s="19">
        <f t="shared" si="2"/>
        <v>0</v>
      </c>
      <c r="G15" s="40" t="e">
        <f>(F15/D15)*100</f>
        <v>#DIV/0!</v>
      </c>
      <c r="H15" s="19"/>
      <c r="I15" s="19">
        <f>'MAI 22'!I15+'JUIN 22 (2)'!E15</f>
        <v>4242</v>
      </c>
      <c r="J15" s="19">
        <f t="shared" si="0"/>
        <v>4242</v>
      </c>
      <c r="K15" s="21" t="e">
        <f t="shared" si="1"/>
        <v>#DIV/0!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/>
      <c r="E16" s="17"/>
      <c r="F16" s="19">
        <f t="shared" si="2"/>
        <v>0</v>
      </c>
      <c r="G16" s="40" t="e">
        <f>(F16/D16)*100</f>
        <v>#DIV/0!</v>
      </c>
      <c r="H16" s="19"/>
      <c r="I16" s="19">
        <f>'MAI 22'!I16+'JUIN 22 (2)'!E16</f>
        <v>0</v>
      </c>
      <c r="J16" s="19">
        <f t="shared" si="0"/>
        <v>0</v>
      </c>
      <c r="K16" s="21" t="e">
        <f t="shared" si="1"/>
        <v>#DIV/0!</v>
      </c>
      <c r="L16" s="9">
        <v>559</v>
      </c>
    </row>
    <row r="17" spans="1:12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2"/>
        <v>0</v>
      </c>
      <c r="G17" s="40"/>
      <c r="H17" s="19"/>
      <c r="I17" s="19">
        <f>'MAI 22'!I17+'JUIN 22 (2)'!E17</f>
        <v>0</v>
      </c>
      <c r="J17" s="42">
        <f t="shared" si="0"/>
        <v>0</v>
      </c>
      <c r="K17" s="43"/>
      <c r="L17" s="9">
        <v>0</v>
      </c>
    </row>
    <row r="18" spans="1:12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0</v>
      </c>
      <c r="E18" s="47">
        <f>E14+E15+E16+E17</f>
        <v>0</v>
      </c>
      <c r="F18" s="48">
        <f t="shared" si="2"/>
        <v>0</v>
      </c>
      <c r="G18" s="49" t="e">
        <f>F18/D18</f>
        <v>#DIV/0!</v>
      </c>
      <c r="H18" s="47">
        <f>H14+H15+H16+H17</f>
        <v>0</v>
      </c>
      <c r="I18" s="38">
        <f>'MAI 22'!I18+'JUIN 22 (2)'!E18</f>
        <v>108537</v>
      </c>
      <c r="J18" s="48">
        <f t="shared" si="0"/>
        <v>108537</v>
      </c>
      <c r="K18" s="50" t="e">
        <f t="shared" si="1"/>
        <v>#DIV/0!</v>
      </c>
      <c r="L18" s="159">
        <v>12250</v>
      </c>
    </row>
    <row r="19" spans="1:12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/>
      <c r="E19" s="17"/>
      <c r="F19" s="19">
        <f t="shared" si="2"/>
        <v>0</v>
      </c>
      <c r="G19" s="40" t="e">
        <f>(F19/D19)*100</f>
        <v>#DIV/0!</v>
      </c>
      <c r="H19" s="19"/>
      <c r="I19" s="19">
        <f>'MAI 22'!I19+'JUIN 22 (2)'!E19</f>
        <v>27928</v>
      </c>
      <c r="J19" s="19">
        <f t="shared" si="0"/>
        <v>27928</v>
      </c>
      <c r="K19" s="21" t="e">
        <f t="shared" si="1"/>
        <v>#DIV/0!</v>
      </c>
      <c r="L19" s="159">
        <v>5644</v>
      </c>
    </row>
    <row r="20" spans="1:12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2"/>
        <v>0</v>
      </c>
      <c r="G20" s="40"/>
      <c r="H20" s="19"/>
      <c r="I20" s="19">
        <f>'MAI 22'!I20+'JUIN 22 (2)'!E20</f>
        <v>6</v>
      </c>
      <c r="J20" s="19">
        <f t="shared" si="0"/>
        <v>6</v>
      </c>
      <c r="K20" s="21"/>
      <c r="L20" s="159">
        <v>0</v>
      </c>
    </row>
    <row r="21" spans="1:12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/>
      <c r="E21" s="17"/>
      <c r="F21" s="19">
        <f t="shared" si="2"/>
        <v>0</v>
      </c>
      <c r="G21" s="40" t="e">
        <f>(F21/D21)*100</f>
        <v>#DIV/0!</v>
      </c>
      <c r="H21" s="19"/>
      <c r="I21" s="19">
        <f>'MAI 22'!I21+'JUIN 22 (2)'!E21</f>
        <v>27922</v>
      </c>
      <c r="J21" s="19">
        <f t="shared" si="0"/>
        <v>27922</v>
      </c>
      <c r="K21" s="21" t="e">
        <f t="shared" si="1"/>
        <v>#DIV/0!</v>
      </c>
      <c r="L21" s="159">
        <v>5644</v>
      </c>
    </row>
    <row r="22" spans="1:12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2"/>
        <v>0</v>
      </c>
      <c r="G22" s="40"/>
      <c r="H22" s="19"/>
      <c r="I22" s="19">
        <f>'MAI 22'!I22+'JUIN 22 (2)'!E22</f>
        <v>0</v>
      </c>
      <c r="J22" s="19">
        <f t="shared" si="0"/>
        <v>0</v>
      </c>
      <c r="K22" s="21"/>
      <c r="L22" s="159">
        <v>0</v>
      </c>
    </row>
    <row r="23" spans="1:12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/>
      <c r="E23" s="17"/>
      <c r="F23" s="19">
        <f t="shared" si="2"/>
        <v>0</v>
      </c>
      <c r="G23" s="40" t="e">
        <f>(F23/D23)*100</f>
        <v>#DIV/0!</v>
      </c>
      <c r="H23" s="19"/>
      <c r="I23" s="19">
        <f>'MAI 22'!I23+'JUIN 22 (2)'!E23</f>
        <v>12975</v>
      </c>
      <c r="J23" s="19">
        <f t="shared" si="0"/>
        <v>12975</v>
      </c>
      <c r="K23" s="21" t="e">
        <f t="shared" si="1"/>
        <v>#DIV/0!</v>
      </c>
      <c r="L23" s="159">
        <v>1971</v>
      </c>
    </row>
    <row r="24" spans="1:12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/>
      <c r="E24" s="30"/>
      <c r="F24" s="32">
        <f t="shared" si="2"/>
        <v>0</v>
      </c>
      <c r="G24" s="40" t="e">
        <f>(F24/D24)*100</f>
        <v>#DIV/0!</v>
      </c>
      <c r="H24" s="19"/>
      <c r="I24" s="19">
        <f>'MAI 22'!I24+'JUIN 22 (2)'!E24</f>
        <v>1994</v>
      </c>
      <c r="J24" s="32">
        <f t="shared" si="0"/>
        <v>1994</v>
      </c>
      <c r="K24" s="33" t="e">
        <f t="shared" si="1"/>
        <v>#DIV/0!</v>
      </c>
      <c r="L24" s="159">
        <v>539</v>
      </c>
    </row>
    <row r="25" spans="1:12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0</v>
      </c>
      <c r="E25" s="35">
        <f>E19+E23+E24</f>
        <v>0</v>
      </c>
      <c r="F25" s="38">
        <f t="shared" si="2"/>
        <v>0</v>
      </c>
      <c r="G25" s="52" t="e">
        <f>(F25/D25)*100</f>
        <v>#DIV/0!</v>
      </c>
      <c r="H25" s="35">
        <f>H19+H23+H24</f>
        <v>0</v>
      </c>
      <c r="I25" s="38">
        <f>'MAI 22'!I25+'JUIN 22 (2)'!E25</f>
        <v>42897</v>
      </c>
      <c r="J25" s="38">
        <f t="shared" si="0"/>
        <v>42897</v>
      </c>
      <c r="K25" s="39" t="e">
        <f t="shared" si="1"/>
        <v>#DIV/0!</v>
      </c>
      <c r="L25" s="159">
        <v>8154</v>
      </c>
    </row>
    <row r="26" spans="1:12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0</v>
      </c>
      <c r="E26" s="37">
        <f>E18-E25</f>
        <v>0</v>
      </c>
      <c r="F26" s="38">
        <f t="shared" si="2"/>
        <v>0</v>
      </c>
      <c r="G26" s="53" t="e">
        <f>(F26/D26)*100</f>
        <v>#DIV/0!</v>
      </c>
      <c r="H26" s="37">
        <f>H18-H25</f>
        <v>0</v>
      </c>
      <c r="I26" s="38">
        <f>'MAI 22'!I26+'JUIN 22 (2)'!E26</f>
        <v>65640</v>
      </c>
      <c r="J26" s="38">
        <f t="shared" si="0"/>
        <v>65640</v>
      </c>
      <c r="K26" s="39" t="e">
        <f t="shared" si="1"/>
        <v>#DIV/0!</v>
      </c>
      <c r="L26" s="159">
        <v>4096</v>
      </c>
    </row>
    <row r="27" spans="1:12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/>
      <c r="E27" s="55"/>
      <c r="F27" s="57">
        <f>E27-D27</f>
        <v>0</v>
      </c>
      <c r="G27" s="58" t="e">
        <f>(F27/D27)*100</f>
        <v>#DIV/0!</v>
      </c>
      <c r="H27" s="19"/>
      <c r="I27" s="19">
        <f>'MAI 22'!I27+'JUIN 22 (2)'!E27</f>
        <v>46562</v>
      </c>
      <c r="J27" s="57">
        <f t="shared" si="0"/>
        <v>46562</v>
      </c>
      <c r="K27" s="59" t="e">
        <f t="shared" si="1"/>
        <v>#DIV/0!</v>
      </c>
      <c r="L27" s="159">
        <v>16904</v>
      </c>
    </row>
    <row r="28" spans="1:12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/>
      <c r="E28" s="23"/>
      <c r="F28" s="25">
        <f t="shared" si="2"/>
        <v>0</v>
      </c>
      <c r="G28" s="160"/>
      <c r="H28" s="19"/>
      <c r="I28" s="19">
        <f>'MAI 22'!I28+'JUIN 22 (2)'!E28</f>
        <v>-535</v>
      </c>
      <c r="J28" s="25">
        <f t="shared" si="0"/>
        <v>-535</v>
      </c>
      <c r="K28" s="26" t="e">
        <f t="shared" si="1"/>
        <v>#DIV/0!</v>
      </c>
      <c r="L28" s="159">
        <v>-386</v>
      </c>
    </row>
    <row r="29" spans="1:12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/>
      <c r="E29" s="17"/>
      <c r="F29" s="19">
        <f>E29-D29</f>
        <v>0</v>
      </c>
      <c r="G29" s="160" t="e">
        <f>(F29/D29)*100</f>
        <v>#DIV/0!</v>
      </c>
      <c r="H29" s="19"/>
      <c r="I29" s="19">
        <f>'MAI 22'!I29+'JUIN 22 (2)'!E29</f>
        <v>1802</v>
      </c>
      <c r="J29" s="19">
        <f t="shared" si="0"/>
        <v>1802</v>
      </c>
      <c r="K29" s="21" t="e">
        <f t="shared" si="1"/>
        <v>#DIV/0!</v>
      </c>
      <c r="L29" s="159">
        <v>0</v>
      </c>
    </row>
    <row r="30" spans="1:12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D26-D27-D29-D28</f>
        <v>0</v>
      </c>
      <c r="E30" s="37">
        <f>E26-E27-E29-E28</f>
        <v>0</v>
      </c>
      <c r="F30" s="38">
        <f>E30-D30</f>
        <v>0</v>
      </c>
      <c r="G30" s="66" t="e">
        <f>F30/D30</f>
        <v>#DIV/0!</v>
      </c>
      <c r="H30" s="37">
        <f>H26-H27-H29-H28</f>
        <v>0</v>
      </c>
      <c r="I30" s="38">
        <f>'MAI 22'!I30+'JUIN 22 (2)'!E30</f>
        <v>17811</v>
      </c>
      <c r="J30" s="38">
        <f t="shared" si="0"/>
        <v>17811</v>
      </c>
      <c r="K30" s="39" t="e">
        <f t="shared" si="1"/>
        <v>#DIV/0!</v>
      </c>
      <c r="L30" s="159">
        <v>-12422</v>
      </c>
    </row>
    <row r="31" spans="1:12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2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/>
    </row>
    <row r="33" spans="1:11" s="9" customFormat="1" ht="18" customHeight="1" x14ac:dyDescent="0.3">
      <c r="A33" s="288"/>
      <c r="B33" s="289"/>
      <c r="C33" s="296" t="s">
        <v>47</v>
      </c>
      <c r="D33" s="67" t="s">
        <v>113</v>
      </c>
      <c r="E33" s="67" t="s">
        <v>114</v>
      </c>
      <c r="F33" s="288" t="s">
        <v>50</v>
      </c>
      <c r="G33" s="298" t="s">
        <v>62</v>
      </c>
      <c r="I33" s="159"/>
      <c r="J33" s="9" t="s">
        <v>174</v>
      </c>
    </row>
    <row r="34" spans="1:11" s="9" customFormat="1" ht="15.75" customHeight="1" thickBot="1" x14ac:dyDescent="0.35">
      <c r="A34" s="294"/>
      <c r="B34" s="295"/>
      <c r="C34" s="297"/>
      <c r="D34" s="69">
        <v>2021</v>
      </c>
      <c r="E34" s="69">
        <v>2021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3"/>
      <c r="E35" s="209"/>
      <c r="F35" s="150">
        <f>E35-D35</f>
        <v>0</v>
      </c>
      <c r="G35" s="151" t="e">
        <f>F35/D35</f>
        <v>#DIV/0!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/>
      <c r="E36" s="17"/>
      <c r="F36" s="70">
        <f>E36-D36</f>
        <v>0</v>
      </c>
      <c r="G36" s="151" t="e">
        <f>F36/D36</f>
        <v>#DIV/0!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/>
      <c r="E37" s="17"/>
      <c r="F37" s="70">
        <f>E37-D37</f>
        <v>0</v>
      </c>
      <c r="G37" s="153" t="e">
        <f>F37/D37</f>
        <v>#DIV/0!</v>
      </c>
      <c r="I37" s="159"/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</sheetData>
  <mergeCells count="15">
    <mergeCell ref="I35:K35"/>
    <mergeCell ref="A32:B34"/>
    <mergeCell ref="D32:E32"/>
    <mergeCell ref="F32:G32"/>
    <mergeCell ref="C33:C34"/>
    <mergeCell ref="F33:F34"/>
    <mergeCell ref="G33:G34"/>
    <mergeCell ref="C4:H4"/>
    <mergeCell ref="C5:I5"/>
    <mergeCell ref="J6:K6"/>
    <mergeCell ref="A7:B8"/>
    <mergeCell ref="D7:E7"/>
    <mergeCell ref="F7:G7"/>
    <mergeCell ref="H7:I7"/>
    <mergeCell ref="J7:K7"/>
  </mergeCells>
  <pageMargins left="0.25" right="0.25" top="0.75" bottom="0.75" header="0.3" footer="0.3"/>
  <pageSetup paperSize="9" scale="72" orientation="landscape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M40"/>
  <sheetViews>
    <sheetView topLeftCell="B7" zoomScale="70" zoomScaleNormal="70" workbookViewId="0">
      <selection activeCell="F41" sqref="F41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5" style="158" customWidth="1"/>
    <col min="10" max="10" width="14.425781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C5" s="302" t="s">
        <v>176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263" t="s">
        <v>47</v>
      </c>
      <c r="D8" s="12">
        <v>44378</v>
      </c>
      <c r="E8" s="12">
        <v>44743</v>
      </c>
      <c r="F8" s="13" t="s">
        <v>50</v>
      </c>
      <c r="G8" s="14" t="s">
        <v>62</v>
      </c>
      <c r="H8" s="12">
        <v>44378</v>
      </c>
      <c r="I8" s="12">
        <v>44743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>E9-D9</f>
        <v>0</v>
      </c>
      <c r="G9" s="28"/>
      <c r="H9" s="19"/>
      <c r="I9" s="19">
        <f>'JUIN 22 (2)'!I9+'JUILLET 22 (4)'!E9</f>
        <v>6</v>
      </c>
      <c r="J9" s="19">
        <f>I9-H9</f>
        <v>6</v>
      </c>
      <c r="K9" s="21" t="e">
        <f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27"/>
      <c r="E10" s="27"/>
      <c r="F10" s="25">
        <f>E10-D10</f>
        <v>0</v>
      </c>
      <c r="G10" s="28" t="e">
        <f>(F10/D10)*100</f>
        <v>#DIV/0!</v>
      </c>
      <c r="H10" s="19"/>
      <c r="I10" s="19">
        <f>'JUIN 22 (2)'!I10+'JUILLET 22 (4)'!E10</f>
        <v>14389</v>
      </c>
      <c r="J10" s="19">
        <f t="shared" ref="J10:J30" si="0">I10-H10</f>
        <v>14389</v>
      </c>
      <c r="K10" s="26" t="e">
        <f t="shared" ref="K10:K30" si="1">J10/H10</f>
        <v>#DIV/0!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"/>
      <c r="E11" s="27"/>
      <c r="F11" s="19">
        <f>E11-D11</f>
        <v>0</v>
      </c>
      <c r="G11" s="28" t="e">
        <f>(F11/D11)*100</f>
        <v>#DIV/0!</v>
      </c>
      <c r="H11" s="19"/>
      <c r="I11" s="19">
        <f>'JUIN 22 (2)'!I11+'JUILLET 22 (4)'!E11</f>
        <v>79402</v>
      </c>
      <c r="J11" s="19">
        <f t="shared" si="0"/>
        <v>79402</v>
      </c>
      <c r="K11" s="21" t="e">
        <f>J11/H11</f>
        <v>#DIV/0!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>E12-D12</f>
        <v>0</v>
      </c>
      <c r="G12" s="20" t="e">
        <f>(F12/D12)*100</f>
        <v>#DIV/0!</v>
      </c>
      <c r="H12" s="19"/>
      <c r="I12" s="19">
        <f>'JUIN 22 (2)'!I12+'JUILLET 22 (4)'!E12</f>
        <v>0</v>
      </c>
      <c r="J12" s="19">
        <f t="shared" si="0"/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/>
      <c r="E13" s="30"/>
      <c r="F13" s="32">
        <f>E13-D13</f>
        <v>0</v>
      </c>
      <c r="G13" s="28" t="e">
        <f>(F13/D13)*100</f>
        <v>#DIV/0!</v>
      </c>
      <c r="H13" s="19"/>
      <c r="I13" s="19">
        <f>'JUIN 22 (2)'!I13+'JUILLET 22 (4)'!E13</f>
        <v>191</v>
      </c>
      <c r="J13" s="19">
        <f t="shared" si="0"/>
        <v>191</v>
      </c>
      <c r="K13" s="33" t="e">
        <f t="shared" si="1"/>
        <v>#DIV/0!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>
        <f>D9+D10+D11+D12+D13</f>
        <v>0</v>
      </c>
      <c r="E14" s="37">
        <f>E9+E10+E11+E12+E13</f>
        <v>0</v>
      </c>
      <c r="F14" s="38">
        <f t="shared" ref="F14:F28" si="2">E14-D14</f>
        <v>0</v>
      </c>
      <c r="G14" s="53" t="e">
        <f>F14/D14</f>
        <v>#DIV/0!</v>
      </c>
      <c r="H14" s="37">
        <f>H9+H10+H11+H12+H13</f>
        <v>0</v>
      </c>
      <c r="I14" s="38">
        <f>'JUIN 22 (2)'!I14+'JUILLET 22 (4)'!E14</f>
        <v>104295</v>
      </c>
      <c r="J14" s="48">
        <f t="shared" si="0"/>
        <v>104295</v>
      </c>
      <c r="K14" s="39" t="e">
        <f>J14/H14</f>
        <v>#DIV/0!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/>
      <c r="E15" s="27"/>
      <c r="F15" s="19">
        <f>E15-D15</f>
        <v>0</v>
      </c>
      <c r="G15" s="40" t="e">
        <f>(F15/D15)*100</f>
        <v>#DIV/0!</v>
      </c>
      <c r="H15" s="19"/>
      <c r="I15" s="19">
        <f>'JUIN 22 (2)'!I15+'JUILLET 22 (4)'!E15</f>
        <v>4242</v>
      </c>
      <c r="J15" s="19">
        <f t="shared" si="0"/>
        <v>4242</v>
      </c>
      <c r="K15" s="21" t="e">
        <f t="shared" si="1"/>
        <v>#DIV/0!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/>
      <c r="E16" s="17"/>
      <c r="F16" s="19">
        <f t="shared" si="2"/>
        <v>0</v>
      </c>
      <c r="G16" s="40" t="e">
        <f>(F16/D16)*100</f>
        <v>#DIV/0!</v>
      </c>
      <c r="H16" s="19"/>
      <c r="I16" s="19">
        <f>'JUIN 22 (2)'!I16+'JUILLET 22 (4)'!E16</f>
        <v>0</v>
      </c>
      <c r="J16" s="19">
        <f t="shared" si="0"/>
        <v>0</v>
      </c>
      <c r="K16" s="21" t="e">
        <f t="shared" si="1"/>
        <v>#DIV/0!</v>
      </c>
      <c r="L16" s="9">
        <v>559</v>
      </c>
    </row>
    <row r="17" spans="1:13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2"/>
        <v>0</v>
      </c>
      <c r="G17" s="40"/>
      <c r="H17" s="19"/>
      <c r="I17" s="19">
        <f>'JUIN 22 (2)'!I17+'JUILLET 22 (4)'!E17</f>
        <v>0</v>
      </c>
      <c r="J17" s="42">
        <f t="shared" si="0"/>
        <v>0</v>
      </c>
      <c r="K17" s="43"/>
      <c r="L17" s="9">
        <v>0</v>
      </c>
    </row>
    <row r="18" spans="1:13" s="9" customFormat="1" ht="20.100000000000001" customHeight="1" thickBot="1" x14ac:dyDescent="0.35">
      <c r="A18" s="44" t="s">
        <v>9</v>
      </c>
      <c r="B18" s="45" t="s">
        <v>31</v>
      </c>
      <c r="C18" s="46"/>
      <c r="D18" s="47">
        <f>D14+D15+D16+D17</f>
        <v>0</v>
      </c>
      <c r="E18" s="47">
        <f>E14+E15+E16+E17</f>
        <v>0</v>
      </c>
      <c r="F18" s="48">
        <f t="shared" si="2"/>
        <v>0</v>
      </c>
      <c r="G18" s="49" t="e">
        <f>F18/D18</f>
        <v>#DIV/0!</v>
      </c>
      <c r="H18" s="47">
        <f>H14+H15+H16+H17</f>
        <v>0</v>
      </c>
      <c r="I18" s="38">
        <f>'JUIN 22 (2)'!I18+'JUILLET 22 (4)'!E18</f>
        <v>108537</v>
      </c>
      <c r="J18" s="48">
        <f t="shared" si="0"/>
        <v>108537</v>
      </c>
      <c r="K18" s="50" t="e">
        <f t="shared" si="1"/>
        <v>#DIV/0!</v>
      </c>
      <c r="L18" s="159">
        <v>12250</v>
      </c>
    </row>
    <row r="19" spans="1:13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/>
      <c r="E19" s="17"/>
      <c r="F19" s="19">
        <f t="shared" si="2"/>
        <v>0</v>
      </c>
      <c r="G19" s="40" t="e">
        <f>(F19/D19)*100</f>
        <v>#DIV/0!</v>
      </c>
      <c r="H19" s="19"/>
      <c r="I19" s="19">
        <f>'JUIN 22 (2)'!I19+'JUILLET 22 (4)'!E19</f>
        <v>27928</v>
      </c>
      <c r="J19" s="19">
        <f t="shared" si="0"/>
        <v>27928</v>
      </c>
      <c r="K19" s="21" t="e">
        <f t="shared" si="1"/>
        <v>#DIV/0!</v>
      </c>
      <c r="L19" s="159">
        <v>5644</v>
      </c>
    </row>
    <row r="20" spans="1:13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2"/>
        <v>0</v>
      </c>
      <c r="G20" s="40"/>
      <c r="H20" s="19"/>
      <c r="I20" s="19">
        <f>'JUIN 22 (2)'!I20+'JUILLET 22 (4)'!E20</f>
        <v>6</v>
      </c>
      <c r="J20" s="19">
        <f t="shared" si="0"/>
        <v>6</v>
      </c>
      <c r="K20" s="21"/>
      <c r="L20" s="159">
        <v>0</v>
      </c>
    </row>
    <row r="21" spans="1:13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/>
      <c r="E21" s="17"/>
      <c r="F21" s="19">
        <f t="shared" si="2"/>
        <v>0</v>
      </c>
      <c r="G21" s="40" t="e">
        <f>(F21/D21)*100</f>
        <v>#DIV/0!</v>
      </c>
      <c r="H21" s="19"/>
      <c r="I21" s="19">
        <f>'JUIN 22 (2)'!I21+'JUILLET 22 (4)'!E21</f>
        <v>27922</v>
      </c>
      <c r="J21" s="19">
        <f t="shared" si="0"/>
        <v>27922</v>
      </c>
      <c r="K21" s="21" t="e">
        <f t="shared" si="1"/>
        <v>#DIV/0!</v>
      </c>
      <c r="L21" s="159">
        <v>5644</v>
      </c>
    </row>
    <row r="22" spans="1:13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2"/>
        <v>0</v>
      </c>
      <c r="G22" s="40"/>
      <c r="H22" s="19"/>
      <c r="I22" s="19">
        <f>'JUIN 22 (2)'!I22+'JUILLET 22 (4)'!E22</f>
        <v>0</v>
      </c>
      <c r="J22" s="19">
        <f t="shared" si="0"/>
        <v>0</v>
      </c>
      <c r="K22" s="21"/>
      <c r="L22" s="159">
        <v>0</v>
      </c>
    </row>
    <row r="23" spans="1:13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/>
      <c r="E23" s="17"/>
      <c r="F23" s="19">
        <f t="shared" si="2"/>
        <v>0</v>
      </c>
      <c r="G23" s="40" t="e">
        <f>(F23/D23)*100</f>
        <v>#DIV/0!</v>
      </c>
      <c r="H23" s="19"/>
      <c r="I23" s="19">
        <f>'JUIN 22 (2)'!I23+'JUILLET 22 (4)'!E23</f>
        <v>12975</v>
      </c>
      <c r="J23" s="19">
        <f t="shared" si="0"/>
        <v>12975</v>
      </c>
      <c r="K23" s="21" t="e">
        <f t="shared" si="1"/>
        <v>#DIV/0!</v>
      </c>
      <c r="L23" s="159">
        <v>1971</v>
      </c>
      <c r="M23" s="9">
        <v>35399</v>
      </c>
    </row>
    <row r="24" spans="1:13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/>
      <c r="E24" s="30"/>
      <c r="F24" s="32">
        <f t="shared" si="2"/>
        <v>0</v>
      </c>
      <c r="G24" s="40" t="e">
        <f>(F24/D24)*100</f>
        <v>#DIV/0!</v>
      </c>
      <c r="H24" s="19"/>
      <c r="I24" s="19">
        <f>'JUIN 22 (2)'!I24+'JUILLET 22 (4)'!E24</f>
        <v>1994</v>
      </c>
      <c r="J24" s="32">
        <f t="shared" si="0"/>
        <v>1994</v>
      </c>
      <c r="K24" s="33" t="e">
        <f t="shared" si="1"/>
        <v>#DIV/0!</v>
      </c>
      <c r="L24" s="159">
        <v>539</v>
      </c>
    </row>
    <row r="25" spans="1:13" s="6" customFormat="1" ht="20.100000000000001" customHeight="1" thickBot="1" x14ac:dyDescent="0.35">
      <c r="A25" s="34" t="s">
        <v>16</v>
      </c>
      <c r="B25" s="35" t="s">
        <v>38</v>
      </c>
      <c r="C25" s="36"/>
      <c r="D25" s="35">
        <f>D19+D23+D24</f>
        <v>0</v>
      </c>
      <c r="E25" s="35">
        <f>E19+E23+E24</f>
        <v>0</v>
      </c>
      <c r="F25" s="38">
        <f t="shared" si="2"/>
        <v>0</v>
      </c>
      <c r="G25" s="52" t="e">
        <f>(F25/D25)*100</f>
        <v>#DIV/0!</v>
      </c>
      <c r="H25" s="35">
        <f>H19+H23+H24</f>
        <v>0</v>
      </c>
      <c r="I25" s="38">
        <f>'JUIN 22 (2)'!I25+'JUILLET 22 (4)'!E25</f>
        <v>42897</v>
      </c>
      <c r="J25" s="38">
        <f t="shared" si="0"/>
        <v>42897</v>
      </c>
      <c r="K25" s="39" t="e">
        <f t="shared" si="1"/>
        <v>#DIV/0!</v>
      </c>
      <c r="L25" s="159">
        <v>8154</v>
      </c>
      <c r="M25" s="264">
        <f>I23-M23</f>
        <v>-22424</v>
      </c>
    </row>
    <row r="26" spans="1:13" s="6" customFormat="1" ht="20.100000000000001" customHeight="1" thickBot="1" x14ac:dyDescent="0.35">
      <c r="A26" s="34" t="s">
        <v>17</v>
      </c>
      <c r="B26" s="35" t="s">
        <v>39</v>
      </c>
      <c r="C26" s="36"/>
      <c r="D26" s="37">
        <f>D18-D25</f>
        <v>0</v>
      </c>
      <c r="E26" s="37">
        <f>E18-E25</f>
        <v>0</v>
      </c>
      <c r="F26" s="38">
        <f t="shared" si="2"/>
        <v>0</v>
      </c>
      <c r="G26" s="53" t="e">
        <f>(F26/D26)*100</f>
        <v>#DIV/0!</v>
      </c>
      <c r="H26" s="37">
        <f>H18-H25</f>
        <v>0</v>
      </c>
      <c r="I26" s="38">
        <f>'JUIN 22 (2)'!I26+'JUILLET 22 (4)'!E26</f>
        <v>65640</v>
      </c>
      <c r="J26" s="38">
        <f t="shared" si="0"/>
        <v>65640</v>
      </c>
      <c r="K26" s="39" t="e">
        <f t="shared" si="1"/>
        <v>#DIV/0!</v>
      </c>
      <c r="L26" s="159">
        <v>4096</v>
      </c>
    </row>
    <row r="27" spans="1:13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/>
      <c r="E27" s="55"/>
      <c r="F27" s="57">
        <f>E27-D27</f>
        <v>0</v>
      </c>
      <c r="G27" s="58" t="e">
        <f>(F27/D27)*100</f>
        <v>#DIV/0!</v>
      </c>
      <c r="H27" s="19"/>
      <c r="I27" s="19">
        <f>'JUIN 22 (2)'!I27+'JUILLET 22 (4)'!E27</f>
        <v>46562</v>
      </c>
      <c r="J27" s="57">
        <f t="shared" si="0"/>
        <v>46562</v>
      </c>
      <c r="K27" s="59" t="e">
        <f t="shared" si="1"/>
        <v>#DIV/0!</v>
      </c>
      <c r="L27" s="159">
        <v>16904</v>
      </c>
    </row>
    <row r="28" spans="1:13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/>
      <c r="E28" s="23"/>
      <c r="F28" s="25">
        <f t="shared" si="2"/>
        <v>0</v>
      </c>
      <c r="G28" s="160"/>
      <c r="H28" s="19"/>
      <c r="I28" s="19">
        <f>'JUIN 22 (2)'!I28+'JUILLET 22 (4)'!E28</f>
        <v>-535</v>
      </c>
      <c r="J28" s="25">
        <f t="shared" si="0"/>
        <v>-535</v>
      </c>
      <c r="K28" s="26" t="e">
        <f t="shared" si="1"/>
        <v>#DIV/0!</v>
      </c>
      <c r="L28" s="159">
        <v>-386</v>
      </c>
    </row>
    <row r="29" spans="1:13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/>
      <c r="E29" s="17"/>
      <c r="F29" s="19">
        <f>E29-D29</f>
        <v>0</v>
      </c>
      <c r="G29" s="160" t="e">
        <f>(F29/D29)*100</f>
        <v>#DIV/0!</v>
      </c>
      <c r="H29" s="19"/>
      <c r="I29" s="19">
        <f>'JUIN 22 (2)'!I29+'JUILLET 22 (4)'!E29</f>
        <v>1802</v>
      </c>
      <c r="J29" s="19">
        <f t="shared" si="0"/>
        <v>1802</v>
      </c>
      <c r="K29" s="21" t="e">
        <f t="shared" si="1"/>
        <v>#DIV/0!</v>
      </c>
      <c r="L29" s="159">
        <v>0</v>
      </c>
    </row>
    <row r="30" spans="1:13" s="6" customFormat="1" ht="20.100000000000001" customHeight="1" thickBot="1" x14ac:dyDescent="0.35">
      <c r="A30" s="63" t="s">
        <v>20</v>
      </c>
      <c r="B30" s="64" t="s">
        <v>44</v>
      </c>
      <c r="C30" s="65"/>
      <c r="D30" s="37">
        <f>D26-D27-D29-D28</f>
        <v>0</v>
      </c>
      <c r="E30" s="37">
        <f>E26-E27-E29-E28</f>
        <v>0</v>
      </c>
      <c r="F30" s="38">
        <f>E30-D30</f>
        <v>0</v>
      </c>
      <c r="G30" s="66" t="e">
        <f>F30/D30</f>
        <v>#DIV/0!</v>
      </c>
      <c r="H30" s="37">
        <f>H26-H27-H29-H28</f>
        <v>0</v>
      </c>
      <c r="I30" s="38">
        <f>'JUIN 22 (2)'!I30+'JUILLET 22 (4)'!E30</f>
        <v>17811</v>
      </c>
      <c r="J30" s="38">
        <f t="shared" si="0"/>
        <v>17811</v>
      </c>
      <c r="K30" s="39" t="e">
        <f t="shared" si="1"/>
        <v>#DIV/0!</v>
      </c>
      <c r="L30" s="159">
        <v>-12422</v>
      </c>
    </row>
    <row r="31" spans="1:13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3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/>
    </row>
    <row r="33" spans="1:11" s="9" customFormat="1" ht="18" customHeight="1" x14ac:dyDescent="0.3">
      <c r="A33" s="288"/>
      <c r="B33" s="289"/>
      <c r="C33" s="296" t="s">
        <v>47</v>
      </c>
      <c r="D33" s="67" t="s">
        <v>114</v>
      </c>
      <c r="E33" s="67" t="s">
        <v>139</v>
      </c>
      <c r="F33" s="288" t="s">
        <v>50</v>
      </c>
      <c r="G33" s="298" t="s">
        <v>62</v>
      </c>
      <c r="I33" s="159"/>
      <c r="J33" s="9" t="s">
        <v>140</v>
      </c>
    </row>
    <row r="34" spans="1:11" s="9" customFormat="1" ht="15.75" customHeight="1" thickBot="1" x14ac:dyDescent="0.35">
      <c r="A34" s="294"/>
      <c r="B34" s="295"/>
      <c r="C34" s="297"/>
      <c r="D34" s="69">
        <v>2022</v>
      </c>
      <c r="E34" s="69">
        <v>2022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09"/>
      <c r="E35" s="209"/>
      <c r="F35" s="150">
        <f>E35-D35</f>
        <v>0</v>
      </c>
      <c r="G35" s="151" t="e">
        <f>F35/D35</f>
        <v>#DIV/0!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/>
      <c r="E36" s="17"/>
      <c r="F36" s="70">
        <f>E36-D36</f>
        <v>0</v>
      </c>
      <c r="G36" s="151" t="e">
        <f>F36/D36</f>
        <v>#DIV/0!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/>
      <c r="E37" s="17"/>
      <c r="F37" s="70">
        <f>E37-D37</f>
        <v>0</v>
      </c>
      <c r="G37" s="153" t="e">
        <f>F37/D37</f>
        <v>#DIV/0!</v>
      </c>
      <c r="I37" s="159"/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</sheetData>
  <mergeCells count="15">
    <mergeCell ref="C4:H4"/>
    <mergeCell ref="C5:I5"/>
    <mergeCell ref="J6:K6"/>
    <mergeCell ref="A7:B8"/>
    <mergeCell ref="D7:E7"/>
    <mergeCell ref="F7:G7"/>
    <mergeCell ref="H7:I7"/>
    <mergeCell ref="J7:K7"/>
    <mergeCell ref="I35:K35"/>
    <mergeCell ref="A32:B34"/>
    <mergeCell ref="D32:E32"/>
    <mergeCell ref="F32:G32"/>
    <mergeCell ref="C33:C34"/>
    <mergeCell ref="F33:F34"/>
    <mergeCell ref="G33:G34"/>
  </mergeCells>
  <pageMargins left="0.25" right="0.25" top="0.75" bottom="0.75" header="0.3" footer="0.3"/>
  <pageSetup paperSize="9" scale="72" orientation="landscape" verticalDpi="4294967293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L40"/>
  <sheetViews>
    <sheetView topLeftCell="A9" zoomScale="70" zoomScaleNormal="70" workbookViewId="0">
      <selection activeCell="H9" sqref="H9:I30"/>
    </sheetView>
  </sheetViews>
  <sheetFormatPr baseColWidth="10" defaultRowHeight="15" x14ac:dyDescent="0.25"/>
  <cols>
    <col min="1" max="1" width="8.7109375" customWidth="1"/>
    <col min="2" max="2" width="49.85546875" customWidth="1"/>
    <col min="3" max="3" width="13.7109375" style="3" customWidth="1"/>
    <col min="4" max="4" width="15.42578125" customWidth="1"/>
    <col min="5" max="6" width="15" customWidth="1"/>
    <col min="7" max="7" width="14.5703125" customWidth="1"/>
    <col min="8" max="8" width="13.7109375" customWidth="1"/>
    <col min="9" max="9" width="15" style="158" customWidth="1"/>
    <col min="10" max="10" width="14.42578125" customWidth="1"/>
    <col min="11" max="11" width="18" customWidth="1"/>
    <col min="12" max="12" width="12.85546875" hidden="1" customWidth="1"/>
    <col min="16" max="16" width="17.140625" customWidth="1"/>
  </cols>
  <sheetData>
    <row r="1" spans="1:12" ht="21" x14ac:dyDescent="0.35">
      <c r="A1" s="5" t="s">
        <v>57</v>
      </c>
      <c r="B1" s="5"/>
    </row>
    <row r="2" spans="1:12" ht="21" x14ac:dyDescent="0.35">
      <c r="A2" s="5" t="s">
        <v>90</v>
      </c>
      <c r="B2" s="5"/>
    </row>
    <row r="3" spans="1:12" ht="8.25" customHeight="1" x14ac:dyDescent="0.25"/>
    <row r="4" spans="1:12" ht="19.5" customHeight="1" x14ac:dyDescent="0.55000000000000004">
      <c r="C4" s="301"/>
      <c r="D4" s="301"/>
      <c r="E4" s="301"/>
      <c r="F4" s="301"/>
      <c r="G4" s="301"/>
      <c r="H4" s="301"/>
      <c r="L4" s="4"/>
    </row>
    <row r="5" spans="1:12" s="7" customFormat="1" ht="19.5" customHeight="1" x14ac:dyDescent="0.4">
      <c r="C5" s="302" t="s">
        <v>149</v>
      </c>
      <c r="D5" s="302"/>
      <c r="E5" s="302"/>
      <c r="F5" s="302"/>
      <c r="G5" s="302"/>
      <c r="H5" s="302"/>
      <c r="I5" s="302"/>
    </row>
    <row r="6" spans="1:12" ht="15.75" customHeight="1" thickBot="1" x14ac:dyDescent="0.3">
      <c r="J6" s="300" t="s">
        <v>59</v>
      </c>
      <c r="K6" s="300"/>
    </row>
    <row r="7" spans="1:12" s="9" customFormat="1" ht="19.5" thickBot="1" x14ac:dyDescent="0.35">
      <c r="A7" s="286" t="s">
        <v>45</v>
      </c>
      <c r="B7" s="287"/>
      <c r="C7" s="8" t="s">
        <v>46</v>
      </c>
      <c r="D7" s="290" t="s">
        <v>48</v>
      </c>
      <c r="E7" s="291"/>
      <c r="F7" s="292" t="s">
        <v>49</v>
      </c>
      <c r="G7" s="293"/>
      <c r="H7" s="290" t="s">
        <v>51</v>
      </c>
      <c r="I7" s="291"/>
      <c r="J7" s="292" t="s">
        <v>49</v>
      </c>
      <c r="K7" s="293"/>
    </row>
    <row r="8" spans="1:12" s="9" customFormat="1" ht="19.5" thickBot="1" x14ac:dyDescent="0.35">
      <c r="A8" s="288"/>
      <c r="B8" s="289"/>
      <c r="C8" s="253" t="s">
        <v>47</v>
      </c>
      <c r="D8" s="12">
        <v>44044</v>
      </c>
      <c r="E8" s="12">
        <v>44409</v>
      </c>
      <c r="F8" s="13" t="s">
        <v>50</v>
      </c>
      <c r="G8" s="14" t="s">
        <v>62</v>
      </c>
      <c r="H8" s="12">
        <v>44044</v>
      </c>
      <c r="I8" s="12">
        <v>44409</v>
      </c>
      <c r="J8" s="13" t="s">
        <v>50</v>
      </c>
      <c r="K8" s="15" t="s">
        <v>63</v>
      </c>
    </row>
    <row r="9" spans="1:12" s="9" customFormat="1" ht="20.100000000000001" customHeight="1" thickBot="1" x14ac:dyDescent="0.35">
      <c r="A9" s="16" t="s">
        <v>0</v>
      </c>
      <c r="B9" s="17" t="s">
        <v>21</v>
      </c>
      <c r="C9" s="18">
        <v>700</v>
      </c>
      <c r="D9" s="17"/>
      <c r="E9" s="17"/>
      <c r="F9" s="19">
        <f>E9-D9</f>
        <v>0</v>
      </c>
      <c r="G9" s="28"/>
      <c r="H9" s="19"/>
      <c r="I9" s="19"/>
      <c r="J9" s="19">
        <f>I9-H9</f>
        <v>0</v>
      </c>
      <c r="K9" s="21" t="e">
        <f>J9/H9</f>
        <v>#DIV/0!</v>
      </c>
    </row>
    <row r="10" spans="1:12" s="9" customFormat="1" ht="20.100000000000001" customHeight="1" thickBot="1" x14ac:dyDescent="0.35">
      <c r="A10" s="22" t="s">
        <v>1</v>
      </c>
      <c r="B10" s="23" t="s">
        <v>22</v>
      </c>
      <c r="C10" s="24" t="s">
        <v>23</v>
      </c>
      <c r="D10" s="27"/>
      <c r="E10" s="27"/>
      <c r="F10" s="25">
        <f>E10-D10</f>
        <v>0</v>
      </c>
      <c r="G10" s="28" t="e">
        <f>(F10/D10)*100</f>
        <v>#DIV/0!</v>
      </c>
      <c r="H10" s="19"/>
      <c r="I10" s="19"/>
      <c r="J10" s="19">
        <f t="shared" ref="J10:J30" si="0">I10-H10</f>
        <v>0</v>
      </c>
      <c r="K10" s="26" t="e">
        <f t="shared" ref="K10:K30" si="1">J10/H10</f>
        <v>#DIV/0!</v>
      </c>
      <c r="L10" s="9">
        <v>1189</v>
      </c>
    </row>
    <row r="11" spans="1:12" s="9" customFormat="1" ht="20.100000000000001" customHeight="1" thickBot="1" x14ac:dyDescent="0.35">
      <c r="A11" s="16" t="s">
        <v>2</v>
      </c>
      <c r="B11" s="17" t="s">
        <v>24</v>
      </c>
      <c r="C11" s="18">
        <v>704</v>
      </c>
      <c r="D11" s="27"/>
      <c r="E11" s="27"/>
      <c r="F11" s="19">
        <f>E11-D11</f>
        <v>0</v>
      </c>
      <c r="G11" s="28" t="e">
        <f>(F11/D11)*100</f>
        <v>#DIV/0!</v>
      </c>
      <c r="H11" s="19"/>
      <c r="I11" s="19"/>
      <c r="J11" s="19">
        <f t="shared" si="0"/>
        <v>0</v>
      </c>
      <c r="K11" s="21" t="e">
        <f>J11/H11</f>
        <v>#DIV/0!</v>
      </c>
      <c r="L11" s="9">
        <v>6123</v>
      </c>
    </row>
    <row r="12" spans="1:12" s="9" customFormat="1" ht="20.100000000000001" customHeight="1" thickBot="1" x14ac:dyDescent="0.35">
      <c r="A12" s="22" t="s">
        <v>3</v>
      </c>
      <c r="B12" s="23" t="s">
        <v>25</v>
      </c>
      <c r="C12" s="24" t="s">
        <v>28</v>
      </c>
      <c r="D12" s="23"/>
      <c r="E12" s="23"/>
      <c r="F12" s="25">
        <f>E12-D12</f>
        <v>0</v>
      </c>
      <c r="G12" s="20" t="e">
        <f>(F12/D12)*100</f>
        <v>#DIV/0!</v>
      </c>
      <c r="H12" s="19"/>
      <c r="I12" s="19"/>
      <c r="J12" s="19">
        <f t="shared" si="0"/>
        <v>0</v>
      </c>
      <c r="K12" s="26" t="e">
        <f t="shared" si="1"/>
        <v>#DIV/0!</v>
      </c>
      <c r="L12" s="9">
        <v>0</v>
      </c>
    </row>
    <row r="13" spans="1:12" s="9" customFormat="1" ht="20.100000000000001" customHeight="1" thickBot="1" x14ac:dyDescent="0.35">
      <c r="A13" s="29" t="s">
        <v>4</v>
      </c>
      <c r="B13" s="30" t="s">
        <v>26</v>
      </c>
      <c r="C13" s="31"/>
      <c r="D13" s="30"/>
      <c r="E13" s="30"/>
      <c r="F13" s="32">
        <f>E13-D13</f>
        <v>0</v>
      </c>
      <c r="G13" s="28" t="e">
        <f>(F13/D13)*100</f>
        <v>#DIV/0!</v>
      </c>
      <c r="H13" s="19"/>
      <c r="I13" s="19"/>
      <c r="J13" s="19">
        <f t="shared" si="0"/>
        <v>0</v>
      </c>
      <c r="K13" s="33" t="e">
        <f t="shared" si="1"/>
        <v>#DIV/0!</v>
      </c>
      <c r="L13" s="9">
        <v>235</v>
      </c>
    </row>
    <row r="14" spans="1:12" s="9" customFormat="1" ht="20.100000000000001" customHeight="1" thickBot="1" x14ac:dyDescent="0.35">
      <c r="A14" s="34" t="s">
        <v>5</v>
      </c>
      <c r="B14" s="35" t="s">
        <v>27</v>
      </c>
      <c r="C14" s="36">
        <v>70</v>
      </c>
      <c r="D14" s="37"/>
      <c r="E14" s="37"/>
      <c r="F14" s="38">
        <f t="shared" ref="F14:F28" si="2">E14-D14</f>
        <v>0</v>
      </c>
      <c r="G14" s="53" t="e">
        <f>F14/D14</f>
        <v>#DIV/0!</v>
      </c>
      <c r="H14" s="37"/>
      <c r="I14" s="38"/>
      <c r="J14" s="48">
        <f t="shared" si="0"/>
        <v>0</v>
      </c>
      <c r="K14" s="39" t="e">
        <f>J14/H14</f>
        <v>#DIV/0!</v>
      </c>
      <c r="L14" s="9">
        <v>7547</v>
      </c>
    </row>
    <row r="15" spans="1:12" s="9" customFormat="1" ht="20.100000000000001" customHeight="1" thickBot="1" x14ac:dyDescent="0.35">
      <c r="A15" s="16" t="s">
        <v>6</v>
      </c>
      <c r="B15" s="17" t="s">
        <v>29</v>
      </c>
      <c r="C15" s="18">
        <v>72</v>
      </c>
      <c r="D15" s="27"/>
      <c r="E15" s="27"/>
      <c r="F15" s="19">
        <f>E15-D15</f>
        <v>0</v>
      </c>
      <c r="G15" s="40" t="e">
        <f>(F15/D15)*100</f>
        <v>#DIV/0!</v>
      </c>
      <c r="H15" s="19"/>
      <c r="I15" s="19"/>
      <c r="J15" s="19">
        <f t="shared" si="0"/>
        <v>0</v>
      </c>
      <c r="K15" s="21" t="e">
        <f t="shared" si="1"/>
        <v>#DIV/0!</v>
      </c>
      <c r="L15" s="9">
        <v>4144</v>
      </c>
    </row>
    <row r="16" spans="1:12" s="9" customFormat="1" ht="20.100000000000001" customHeight="1" thickBot="1" x14ac:dyDescent="0.35">
      <c r="A16" s="16" t="s">
        <v>7</v>
      </c>
      <c r="B16" s="17" t="s">
        <v>60</v>
      </c>
      <c r="C16" s="18">
        <v>73</v>
      </c>
      <c r="D16" s="17"/>
      <c r="E16" s="17"/>
      <c r="F16" s="19">
        <f t="shared" si="2"/>
        <v>0</v>
      </c>
      <c r="G16" s="40" t="e">
        <f>(F16/D16)*100</f>
        <v>#DIV/0!</v>
      </c>
      <c r="H16" s="19"/>
      <c r="I16" s="19"/>
      <c r="J16" s="19">
        <f t="shared" si="0"/>
        <v>0</v>
      </c>
      <c r="K16" s="21" t="e">
        <f t="shared" si="1"/>
        <v>#DIV/0!</v>
      </c>
      <c r="L16" s="9">
        <v>559</v>
      </c>
    </row>
    <row r="17" spans="1:12" s="9" customFormat="1" ht="20.100000000000001" customHeight="1" thickBot="1" x14ac:dyDescent="0.35">
      <c r="A17" s="22" t="s">
        <v>8</v>
      </c>
      <c r="B17" s="23" t="s">
        <v>30</v>
      </c>
      <c r="C17" s="41">
        <v>74</v>
      </c>
      <c r="D17" s="23"/>
      <c r="E17" s="23"/>
      <c r="F17" s="25">
        <f t="shared" si="2"/>
        <v>0</v>
      </c>
      <c r="G17" s="40"/>
      <c r="H17" s="19"/>
      <c r="I17" s="19"/>
      <c r="J17" s="42">
        <f t="shared" si="0"/>
        <v>0</v>
      </c>
      <c r="K17" s="43"/>
      <c r="L17" s="9">
        <v>0</v>
      </c>
    </row>
    <row r="18" spans="1:12" s="9" customFormat="1" ht="20.100000000000001" customHeight="1" thickBot="1" x14ac:dyDescent="0.35">
      <c r="A18" s="44" t="s">
        <v>9</v>
      </c>
      <c r="B18" s="45" t="s">
        <v>31</v>
      </c>
      <c r="C18" s="46"/>
      <c r="D18" s="47"/>
      <c r="E18" s="47"/>
      <c r="F18" s="48">
        <f t="shared" si="2"/>
        <v>0</v>
      </c>
      <c r="G18" s="52" t="e">
        <f>F18/D18</f>
        <v>#DIV/0!</v>
      </c>
      <c r="H18" s="47"/>
      <c r="I18" s="38"/>
      <c r="J18" s="48">
        <f t="shared" si="0"/>
        <v>0</v>
      </c>
      <c r="K18" s="50" t="e">
        <f t="shared" si="1"/>
        <v>#DIV/0!</v>
      </c>
      <c r="L18" s="159">
        <v>12250</v>
      </c>
    </row>
    <row r="19" spans="1:12" s="9" customFormat="1" ht="20.100000000000001" customHeight="1" thickBot="1" x14ac:dyDescent="0.35">
      <c r="A19" s="16" t="s">
        <v>10</v>
      </c>
      <c r="B19" s="17" t="s">
        <v>32</v>
      </c>
      <c r="C19" s="18">
        <v>60</v>
      </c>
      <c r="D19" s="17"/>
      <c r="E19" s="17"/>
      <c r="F19" s="19">
        <f t="shared" si="2"/>
        <v>0</v>
      </c>
      <c r="G19" s="40" t="e">
        <f>(F19/D19)*100</f>
        <v>#DIV/0!</v>
      </c>
      <c r="H19" s="19"/>
      <c r="I19" s="19"/>
      <c r="J19" s="19">
        <f t="shared" si="0"/>
        <v>0</v>
      </c>
      <c r="K19" s="21" t="e">
        <f t="shared" si="1"/>
        <v>#DIV/0!</v>
      </c>
      <c r="L19" s="159">
        <v>5644</v>
      </c>
    </row>
    <row r="20" spans="1:12" s="9" customFormat="1" ht="20.100000000000001" customHeight="1" thickBot="1" x14ac:dyDescent="0.35">
      <c r="A20" s="16" t="s">
        <v>11</v>
      </c>
      <c r="B20" s="17" t="s">
        <v>33</v>
      </c>
      <c r="C20" s="18">
        <v>600</v>
      </c>
      <c r="D20" s="17"/>
      <c r="E20" s="17"/>
      <c r="F20" s="19">
        <f t="shared" si="2"/>
        <v>0</v>
      </c>
      <c r="G20" s="40"/>
      <c r="H20" s="19"/>
      <c r="I20" s="19"/>
      <c r="J20" s="19">
        <f t="shared" si="0"/>
        <v>0</v>
      </c>
      <c r="K20" s="21"/>
      <c r="L20" s="159">
        <v>0</v>
      </c>
    </row>
    <row r="21" spans="1:12" s="9" customFormat="1" ht="20.100000000000001" customHeight="1" thickBot="1" x14ac:dyDescent="0.35">
      <c r="A21" s="16" t="s">
        <v>12</v>
      </c>
      <c r="B21" s="17" t="s">
        <v>34</v>
      </c>
      <c r="C21" s="18">
        <v>601</v>
      </c>
      <c r="D21" s="17"/>
      <c r="E21" s="17"/>
      <c r="F21" s="19">
        <f t="shared" si="2"/>
        <v>0</v>
      </c>
      <c r="G21" s="40" t="e">
        <f>(F21/D21)*100</f>
        <v>#DIV/0!</v>
      </c>
      <c r="H21" s="19"/>
      <c r="I21" s="19"/>
      <c r="J21" s="19">
        <f t="shared" si="0"/>
        <v>0</v>
      </c>
      <c r="K21" s="21" t="e">
        <f t="shared" si="1"/>
        <v>#DIV/0!</v>
      </c>
      <c r="L21" s="159">
        <v>5644</v>
      </c>
    </row>
    <row r="22" spans="1:12" s="9" customFormat="1" ht="20.100000000000001" customHeight="1" thickBot="1" x14ac:dyDescent="0.35">
      <c r="A22" s="16" t="s">
        <v>13</v>
      </c>
      <c r="B22" s="17" t="s">
        <v>35</v>
      </c>
      <c r="C22" s="18">
        <v>604</v>
      </c>
      <c r="D22" s="17"/>
      <c r="E22" s="17"/>
      <c r="F22" s="19">
        <f t="shared" si="2"/>
        <v>0</v>
      </c>
      <c r="G22" s="40"/>
      <c r="H22" s="19"/>
      <c r="I22" s="19"/>
      <c r="J22" s="19">
        <f t="shared" si="0"/>
        <v>0</v>
      </c>
      <c r="K22" s="21"/>
      <c r="L22" s="159">
        <v>0</v>
      </c>
    </row>
    <row r="23" spans="1:12" s="9" customFormat="1" ht="20.100000000000001" customHeight="1" thickBot="1" x14ac:dyDescent="0.35">
      <c r="A23" s="16" t="s">
        <v>14</v>
      </c>
      <c r="B23" s="17" t="s">
        <v>36</v>
      </c>
      <c r="C23" s="18">
        <v>61</v>
      </c>
      <c r="D23" s="17"/>
      <c r="E23" s="17"/>
      <c r="F23" s="19">
        <f t="shared" si="2"/>
        <v>0</v>
      </c>
      <c r="G23" s="40" t="e">
        <f>(F23/D23)*100</f>
        <v>#DIV/0!</v>
      </c>
      <c r="H23" s="19"/>
      <c r="I23" s="19"/>
      <c r="J23" s="19">
        <f t="shared" si="0"/>
        <v>0</v>
      </c>
      <c r="K23" s="21" t="e">
        <f t="shared" si="1"/>
        <v>#DIV/0!</v>
      </c>
      <c r="L23" s="159">
        <v>1971</v>
      </c>
    </row>
    <row r="24" spans="1:12" s="9" customFormat="1" ht="20.100000000000001" customHeight="1" thickBot="1" x14ac:dyDescent="0.35">
      <c r="A24" s="29" t="s">
        <v>15</v>
      </c>
      <c r="B24" s="30" t="s">
        <v>37</v>
      </c>
      <c r="C24" s="51">
        <v>62</v>
      </c>
      <c r="D24" s="30"/>
      <c r="E24" s="30"/>
      <c r="F24" s="32">
        <f t="shared" si="2"/>
        <v>0</v>
      </c>
      <c r="G24" s="40" t="e">
        <f>(F24/D24)*100</f>
        <v>#DIV/0!</v>
      </c>
      <c r="H24" s="19"/>
      <c r="I24" s="19"/>
      <c r="J24" s="32">
        <f t="shared" si="0"/>
        <v>0</v>
      </c>
      <c r="K24" s="33" t="e">
        <f t="shared" si="1"/>
        <v>#DIV/0!</v>
      </c>
      <c r="L24" s="159">
        <v>539</v>
      </c>
    </row>
    <row r="25" spans="1:12" s="6" customFormat="1" ht="20.100000000000001" customHeight="1" thickBot="1" x14ac:dyDescent="0.35">
      <c r="A25" s="34" t="s">
        <v>16</v>
      </c>
      <c r="B25" s="35" t="s">
        <v>38</v>
      </c>
      <c r="C25" s="36"/>
      <c r="D25" s="35"/>
      <c r="E25" s="35"/>
      <c r="F25" s="38">
        <f t="shared" si="2"/>
        <v>0</v>
      </c>
      <c r="G25" s="52" t="e">
        <f>(F25/D25)*100</f>
        <v>#DIV/0!</v>
      </c>
      <c r="H25" s="35"/>
      <c r="I25" s="38"/>
      <c r="J25" s="38">
        <f t="shared" si="0"/>
        <v>0</v>
      </c>
      <c r="K25" s="39" t="e">
        <f t="shared" si="1"/>
        <v>#DIV/0!</v>
      </c>
      <c r="L25" s="159">
        <v>8154</v>
      </c>
    </row>
    <row r="26" spans="1:12" s="6" customFormat="1" ht="20.100000000000001" customHeight="1" thickBot="1" x14ac:dyDescent="0.35">
      <c r="A26" s="34" t="s">
        <v>17</v>
      </c>
      <c r="B26" s="35" t="s">
        <v>39</v>
      </c>
      <c r="C26" s="36"/>
      <c r="D26" s="37"/>
      <c r="E26" s="37"/>
      <c r="F26" s="38">
        <f t="shared" si="2"/>
        <v>0</v>
      </c>
      <c r="G26" s="53" t="e">
        <f>(F26/D26)*100</f>
        <v>#DIV/0!</v>
      </c>
      <c r="H26" s="37"/>
      <c r="I26" s="38"/>
      <c r="J26" s="38">
        <f t="shared" si="0"/>
        <v>0</v>
      </c>
      <c r="K26" s="39" t="e">
        <f t="shared" si="1"/>
        <v>#DIV/0!</v>
      </c>
      <c r="L26" s="159">
        <v>4096</v>
      </c>
    </row>
    <row r="27" spans="1:12" s="9" customFormat="1" ht="20.100000000000001" customHeight="1" thickBot="1" x14ac:dyDescent="0.35">
      <c r="A27" s="54" t="s">
        <v>18</v>
      </c>
      <c r="B27" s="55" t="s">
        <v>40</v>
      </c>
      <c r="C27" s="56">
        <v>63</v>
      </c>
      <c r="D27" s="55"/>
      <c r="E27" s="55"/>
      <c r="F27" s="57">
        <f>E27-D27</f>
        <v>0</v>
      </c>
      <c r="G27" s="58" t="e">
        <f>(F27/D27)*100</f>
        <v>#DIV/0!</v>
      </c>
      <c r="H27" s="19"/>
      <c r="I27" s="19"/>
      <c r="J27" s="57">
        <f t="shared" si="0"/>
        <v>0</v>
      </c>
      <c r="K27" s="59" t="e">
        <f t="shared" si="1"/>
        <v>#DIV/0!</v>
      </c>
      <c r="L27" s="159">
        <v>16904</v>
      </c>
    </row>
    <row r="28" spans="1:12" s="61" customFormat="1" ht="20.100000000000001" customHeight="1" thickBot="1" x14ac:dyDescent="0.35">
      <c r="A28" s="60" t="s">
        <v>42</v>
      </c>
      <c r="B28" s="61" t="s">
        <v>41</v>
      </c>
      <c r="C28" s="41">
        <v>63</v>
      </c>
      <c r="D28" s="23"/>
      <c r="E28" s="23"/>
      <c r="F28" s="25">
        <f t="shared" si="2"/>
        <v>0</v>
      </c>
      <c r="G28" s="160"/>
      <c r="H28" s="19"/>
      <c r="I28" s="19"/>
      <c r="J28" s="25">
        <f t="shared" si="0"/>
        <v>0</v>
      </c>
      <c r="K28" s="26" t="e">
        <f t="shared" si="1"/>
        <v>#DIV/0!</v>
      </c>
      <c r="L28" s="159">
        <v>-386</v>
      </c>
    </row>
    <row r="29" spans="1:12" s="9" customFormat="1" ht="20.100000000000001" customHeight="1" thickBot="1" x14ac:dyDescent="0.35">
      <c r="A29" s="16" t="s">
        <v>19</v>
      </c>
      <c r="B29" s="17" t="s">
        <v>43</v>
      </c>
      <c r="C29" s="18">
        <v>64</v>
      </c>
      <c r="D29" s="17"/>
      <c r="E29" s="17"/>
      <c r="F29" s="19">
        <f>E29-D29</f>
        <v>0</v>
      </c>
      <c r="G29" s="160" t="e">
        <f>(F29/D29)*100</f>
        <v>#DIV/0!</v>
      </c>
      <c r="H29" s="19"/>
      <c r="I29" s="19"/>
      <c r="J29" s="19">
        <f t="shared" si="0"/>
        <v>0</v>
      </c>
      <c r="K29" s="21" t="e">
        <f t="shared" si="1"/>
        <v>#DIV/0!</v>
      </c>
      <c r="L29" s="159">
        <v>0</v>
      </c>
    </row>
    <row r="30" spans="1:12" s="6" customFormat="1" ht="20.100000000000001" customHeight="1" thickBot="1" x14ac:dyDescent="0.35">
      <c r="A30" s="63" t="s">
        <v>20</v>
      </c>
      <c r="B30" s="64" t="s">
        <v>44</v>
      </c>
      <c r="C30" s="65"/>
      <c r="D30" s="37"/>
      <c r="E30" s="37"/>
      <c r="F30" s="38">
        <f>E30-D30</f>
        <v>0</v>
      </c>
      <c r="G30" s="66" t="e">
        <f>F30/D30</f>
        <v>#DIV/0!</v>
      </c>
      <c r="H30" s="37"/>
      <c r="I30" s="38"/>
      <c r="J30" s="38">
        <f t="shared" si="0"/>
        <v>0</v>
      </c>
      <c r="K30" s="39" t="e">
        <f t="shared" si="1"/>
        <v>#DIV/0!</v>
      </c>
      <c r="L30" s="159">
        <v>-12422</v>
      </c>
    </row>
    <row r="31" spans="1:12" s="173" customFormat="1" ht="12.75" customHeight="1" thickBot="1" x14ac:dyDescent="0.35">
      <c r="A31" s="162"/>
      <c r="B31" s="163"/>
      <c r="C31" s="164"/>
      <c r="D31" s="165"/>
      <c r="E31" s="166"/>
      <c r="F31" s="167"/>
      <c r="G31" s="168"/>
      <c r="H31" s="169"/>
      <c r="I31" s="170"/>
      <c r="J31" s="170"/>
      <c r="K31" s="171"/>
      <c r="L31" s="172"/>
    </row>
    <row r="32" spans="1:12" s="9" customFormat="1" ht="15.75" customHeight="1" thickBot="1" x14ac:dyDescent="0.35">
      <c r="A32" s="286" t="s">
        <v>45</v>
      </c>
      <c r="B32" s="287"/>
      <c r="C32" s="8" t="s">
        <v>46</v>
      </c>
      <c r="D32" s="290" t="s">
        <v>51</v>
      </c>
      <c r="E32" s="291"/>
      <c r="F32" s="292" t="s">
        <v>49</v>
      </c>
      <c r="G32" s="293"/>
      <c r="I32" s="159"/>
    </row>
    <row r="33" spans="1:11" s="9" customFormat="1" ht="18" customHeight="1" x14ac:dyDescent="0.3">
      <c r="A33" s="288"/>
      <c r="B33" s="289"/>
      <c r="C33" s="296" t="s">
        <v>47</v>
      </c>
      <c r="D33" s="67" t="s">
        <v>139</v>
      </c>
      <c r="E33" s="67" t="s">
        <v>148</v>
      </c>
      <c r="F33" s="288" t="s">
        <v>50</v>
      </c>
      <c r="G33" s="298" t="s">
        <v>62</v>
      </c>
      <c r="I33" s="159"/>
      <c r="J33" s="9" t="s">
        <v>150</v>
      </c>
    </row>
    <row r="34" spans="1:11" s="9" customFormat="1" ht="15.75" customHeight="1" thickBot="1" x14ac:dyDescent="0.35">
      <c r="A34" s="294"/>
      <c r="B34" s="295"/>
      <c r="C34" s="297"/>
      <c r="D34" s="69">
        <v>2021</v>
      </c>
      <c r="E34" s="69">
        <v>2021</v>
      </c>
      <c r="F34" s="294"/>
      <c r="G34" s="299"/>
      <c r="I34" s="159"/>
    </row>
    <row r="35" spans="1:11" s="9" customFormat="1" ht="16.5" customHeight="1" thickBot="1" x14ac:dyDescent="0.35">
      <c r="A35" s="22" t="s">
        <v>52</v>
      </c>
      <c r="B35" s="23" t="s">
        <v>53</v>
      </c>
      <c r="C35" s="18">
        <v>411</v>
      </c>
      <c r="D35" s="209">
        <f>472+2617</f>
        <v>3089</v>
      </c>
      <c r="E35" s="209">
        <f>2103+6970+6654</f>
        <v>15727</v>
      </c>
      <c r="F35" s="150">
        <f>E35-D35</f>
        <v>12638</v>
      </c>
      <c r="G35" s="151">
        <f>F35/D35</f>
        <v>4.0912916801553898</v>
      </c>
      <c r="H35" s="159"/>
      <c r="I35" s="315" t="s">
        <v>91</v>
      </c>
      <c r="J35" s="315"/>
      <c r="K35" s="315"/>
    </row>
    <row r="36" spans="1:11" s="9" customFormat="1" ht="15.75" customHeight="1" thickBot="1" x14ac:dyDescent="0.35">
      <c r="A36" s="71" t="s">
        <v>54</v>
      </c>
      <c r="B36" s="72" t="s">
        <v>55</v>
      </c>
      <c r="C36" s="18"/>
      <c r="D36" s="17">
        <v>194</v>
      </c>
      <c r="E36" s="17">
        <v>195</v>
      </c>
      <c r="F36" s="70">
        <f>E36-D36</f>
        <v>1</v>
      </c>
      <c r="G36" s="151">
        <f>F36/D36</f>
        <v>5.1546391752577319E-3</v>
      </c>
      <c r="I36" s="159"/>
    </row>
    <row r="37" spans="1:11" s="9" customFormat="1" ht="20.100000000000001" customHeight="1" thickBot="1" x14ac:dyDescent="0.35">
      <c r="A37" s="16"/>
      <c r="B37" s="17" t="s">
        <v>56</v>
      </c>
      <c r="C37" s="18"/>
      <c r="D37" s="17">
        <v>93</v>
      </c>
      <c r="E37" s="17">
        <v>93</v>
      </c>
      <c r="F37" s="70">
        <v>0</v>
      </c>
      <c r="G37" s="153">
        <f>F37/D37</f>
        <v>0</v>
      </c>
      <c r="I37" s="159"/>
    </row>
    <row r="38" spans="1:11" s="9" customFormat="1" ht="20.100000000000001" customHeight="1" x14ac:dyDescent="0.3">
      <c r="C38" s="6"/>
      <c r="I38" s="159"/>
    </row>
    <row r="39" spans="1:11" s="9" customFormat="1" ht="20.100000000000001" customHeight="1" x14ac:dyDescent="0.3">
      <c r="C39" s="6"/>
      <c r="I39" s="159"/>
    </row>
    <row r="40" spans="1:11" x14ac:dyDescent="0.25">
      <c r="E40" s="174"/>
    </row>
  </sheetData>
  <mergeCells count="15">
    <mergeCell ref="C4:H4"/>
    <mergeCell ref="C5:I5"/>
    <mergeCell ref="J6:K6"/>
    <mergeCell ref="A7:B8"/>
    <mergeCell ref="D7:E7"/>
    <mergeCell ref="F7:G7"/>
    <mergeCell ref="H7:I7"/>
    <mergeCell ref="J7:K7"/>
    <mergeCell ref="I35:K35"/>
    <mergeCell ref="A32:B34"/>
    <mergeCell ref="D32:E32"/>
    <mergeCell ref="F32:G32"/>
    <mergeCell ref="C33:C34"/>
    <mergeCell ref="F33:F34"/>
    <mergeCell ref="G33:G34"/>
  </mergeCells>
  <pageMargins left="0.25" right="0.25" top="0.75" bottom="0.75" header="0.3" footer="0.3"/>
  <pageSetup paperSize="9" scale="72" orientation="landscape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TB JANVIER 22</vt:lpstr>
      <vt:lpstr>TABLEAU DE BORD MARS RECTIFI(3)</vt:lpstr>
      <vt:lpstr>TB Fevrier22</vt:lpstr>
      <vt:lpstr>MARS 22</vt:lpstr>
      <vt:lpstr>AVRIL22</vt:lpstr>
      <vt:lpstr>MAI 22</vt:lpstr>
      <vt:lpstr>JUIN 22 (2)</vt:lpstr>
      <vt:lpstr>JUILLET 22 (4)</vt:lpstr>
      <vt:lpstr>AOUT 22</vt:lpstr>
      <vt:lpstr>septembre22</vt:lpstr>
      <vt:lpstr>Octobre 22)</vt:lpstr>
      <vt:lpstr>Novembre 22)</vt:lpstr>
      <vt:lpstr>Decembre 22,</vt:lpstr>
      <vt:lpstr>Debre provis 21, (2)</vt:lpstr>
      <vt:lpstr>conso</vt:lpstr>
      <vt:lpstr>Feuil3</vt:lpstr>
      <vt:lpstr>Feuil5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2022-06-28T13:05:49Z</dcterms:modified>
</cp:coreProperties>
</file>