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:\unity再出发\数值策划学习\tft版本分析\"/>
    </mc:Choice>
  </mc:AlternateContent>
  <xr:revisionPtr revIDLastSave="0" documentId="13_ncr:1_{3BAE73A7-07C4-4B42-9950-6508CF6D756D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2" i="1"/>
  <c r="D36" i="1"/>
  <c r="M3" i="1"/>
  <c r="M4" i="1"/>
  <c r="M5" i="1"/>
  <c r="M6" i="1"/>
  <c r="M7" i="1"/>
  <c r="M8" i="1"/>
  <c r="M10" i="1"/>
  <c r="M11" i="1"/>
  <c r="M12" i="1"/>
  <c r="M13" i="1"/>
  <c r="M14" i="1"/>
  <c r="M15" i="1"/>
  <c r="M16" i="1"/>
  <c r="M17" i="1"/>
  <c r="M18" i="1"/>
  <c r="M19" i="1"/>
  <c r="M20" i="1"/>
  <c r="M22" i="1"/>
  <c r="M24" i="1"/>
  <c r="M25" i="1"/>
  <c r="M28" i="1"/>
  <c r="M31" i="1"/>
  <c r="M32" i="1"/>
  <c r="M33" i="1"/>
  <c r="M34" i="1"/>
  <c r="M35" i="1"/>
  <c r="M36" i="1"/>
  <c r="M37" i="1"/>
  <c r="M2" i="1"/>
  <c r="D37" i="1"/>
  <c r="E36" i="1"/>
  <c r="D35" i="1"/>
  <c r="E34" i="1"/>
  <c r="D33" i="1"/>
  <c r="E33" i="1" s="1"/>
  <c r="D32" i="1"/>
  <c r="D31" i="1"/>
  <c r="E31" i="1" s="1"/>
  <c r="D30" i="1"/>
  <c r="E30" i="1" s="1"/>
  <c r="D29" i="1"/>
  <c r="E29" i="1" s="1"/>
  <c r="D28" i="1"/>
  <c r="E28" i="1" s="1"/>
  <c r="D27" i="1"/>
  <c r="E27" i="1" s="1"/>
  <c r="M23" i="1" s="1"/>
  <c r="D26" i="1"/>
  <c r="D25" i="1"/>
  <c r="D24" i="1"/>
  <c r="E24" i="1" s="1"/>
  <c r="M21" i="1" s="1"/>
  <c r="D23" i="1"/>
  <c r="D22" i="1"/>
  <c r="E22" i="1" s="1"/>
  <c r="M29" i="1" s="1"/>
  <c r="D21" i="1"/>
  <c r="E21" i="1" s="1"/>
  <c r="D20" i="1"/>
  <c r="D19" i="1"/>
  <c r="D17" i="1"/>
  <c r="E17" i="1" s="1"/>
  <c r="D16" i="1"/>
  <c r="D15" i="1"/>
  <c r="E15" i="1" s="1"/>
  <c r="D14" i="1"/>
  <c r="E14" i="1" s="1"/>
  <c r="D13" i="1"/>
  <c r="D12" i="1"/>
  <c r="E12" i="1" s="1"/>
  <c r="M30" i="1" s="1"/>
  <c r="D11" i="1"/>
  <c r="E11" i="1" s="1"/>
  <c r="D10" i="1"/>
  <c r="E10" i="1" s="1"/>
  <c r="D9" i="1"/>
  <c r="E9" i="1" s="1"/>
  <c r="D8" i="1"/>
  <c r="E8" i="1" s="1"/>
  <c r="M27" i="1" s="1"/>
  <c r="E6" i="1"/>
  <c r="D4" i="1"/>
  <c r="E4" i="1" s="1"/>
  <c r="M9" i="1" s="1"/>
  <c r="D3" i="1"/>
  <c r="E3" i="1" s="1"/>
  <c r="M26" i="1" s="1"/>
  <c r="D2" i="1"/>
  <c r="E2" i="1" s="1"/>
</calcChain>
</file>

<file path=xl/sharedStrings.xml><?xml version="1.0" encoding="utf-8"?>
<sst xmlns="http://schemas.openxmlformats.org/spreadsheetml/2006/main" count="300" uniqueCount="207">
  <si>
    <t>装备名称</t>
  </si>
  <si>
    <t>出场率</t>
  </si>
  <si>
    <t>排名</t>
  </si>
  <si>
    <t>前四率</t>
  </si>
  <si>
    <t>登顶率</t>
  </si>
  <si>
    <t>夜之锋刃</t>
  </si>
  <si>
    <t>0.93/8</t>
  </si>
  <si>
    <t>斯特拉克的挑战护手</t>
  </si>
  <si>
    <t>1.48/8</t>
  </si>
  <si>
    <t>泰坦的坚决</t>
  </si>
  <si>
    <t>0.76/8</t>
  </si>
  <si>
    <t>适应性头盔</t>
  </si>
  <si>
    <t>1.39/8</t>
  </si>
  <si>
    <t>灭世者的死亡之帽</t>
  </si>
  <si>
    <t>0.85/8</t>
  </si>
  <si>
    <t>正义之手</t>
  </si>
  <si>
    <t>1.54/8</t>
  </si>
  <si>
    <t>窃贼手套</t>
  </si>
  <si>
    <t>2.46/8</t>
  </si>
  <si>
    <t>坚定之心</t>
  </si>
  <si>
    <t>1.47/8</t>
  </si>
  <si>
    <t>莫雷洛秘典</t>
  </si>
  <si>
    <t>1.31/8</t>
  </si>
  <si>
    <t>水银</t>
  </si>
  <si>
    <t>1.20/8</t>
  </si>
  <si>
    <t>死亡之刃</t>
  </si>
  <si>
    <t>1.27/8</t>
  </si>
  <si>
    <t>冕卫</t>
  </si>
  <si>
    <t>1.61/8</t>
  </si>
  <si>
    <t>饮血剑</t>
  </si>
  <si>
    <t>1.80/8</t>
  </si>
  <si>
    <t>巨人杀手</t>
  </si>
  <si>
    <t>2.13/8</t>
  </si>
  <si>
    <t>强袭者的链枷</t>
  </si>
  <si>
    <t>2.71/8</t>
  </si>
  <si>
    <t>大天使之杖</t>
  </si>
  <si>
    <t>1.25/8</t>
  </si>
  <si>
    <t>虚空之杖</t>
  </si>
  <si>
    <t>1.55/8</t>
  </si>
  <si>
    <t>振奋盔甲</t>
  </si>
  <si>
    <t>1.88/8</t>
  </si>
  <si>
    <t>棘刺背心</t>
  </si>
  <si>
    <t>2.42/8</t>
  </si>
  <si>
    <t>离子火花</t>
  </si>
  <si>
    <t>1.35/8</t>
  </si>
  <si>
    <t>2.39/8</t>
  </si>
  <si>
    <t>纳什之牙</t>
  </si>
  <si>
    <t>0.72/8</t>
  </si>
  <si>
    <t>最后的轻语</t>
  </si>
  <si>
    <t>1.98/8</t>
  </si>
  <si>
    <t>红霸符</t>
  </si>
  <si>
    <t>1.71/8</t>
  </si>
  <si>
    <t>圣盾使的誓约</t>
  </si>
  <si>
    <t>3.04/8</t>
  </si>
  <si>
    <t>巨龙之爪</t>
  </si>
  <si>
    <t>1.56/8</t>
  </si>
  <si>
    <t>海克斯科技枪刃</t>
  </si>
  <si>
    <t>2.61/8</t>
  </si>
  <si>
    <t>狂徒铠甲</t>
  </si>
  <si>
    <t>3.68/8</t>
  </si>
  <si>
    <t>日炎斗篷</t>
  </si>
  <si>
    <t>3.26/8</t>
  </si>
  <si>
    <t>珠光护手</t>
  </si>
  <si>
    <t>2.19/8</t>
  </si>
  <si>
    <t>海妖之怒</t>
  </si>
  <si>
    <t>2.98/8</t>
  </si>
  <si>
    <t>无尽之刃</t>
  </si>
  <si>
    <t>4.25/8</t>
  </si>
  <si>
    <t>朔极之矛</t>
  </si>
  <si>
    <t>3.16/8</t>
  </si>
  <si>
    <t>石像鬼石板甲</t>
  </si>
  <si>
    <t>蓝霸符</t>
  </si>
  <si>
    <t>2.09/8</t>
  </si>
  <si>
    <t>鬼索的狂暴之刃</t>
  </si>
  <si>
    <t>4.50/8</t>
  </si>
  <si>
    <t>描述</t>
  </si>
  <si>
    <t>面板价值</t>
    <phoneticPr fontId="1" type="noConversion"/>
  </si>
  <si>
    <t>加上词条价值</t>
    <phoneticPr fontId="1" type="noConversion"/>
  </si>
  <si>
    <t>+20 法术强度、+20 护甲、+100 生命值</t>
  </si>
  <si>
    <t>战斗开始时：获得持续 8 秒的相当于 25% 最大生命值的护盾值。在护盾到期时，获得 25 法术强度。</t>
  </si>
  <si>
    <t>+30 法力值、+20 护甲</t>
  </si>
  <si>
    <t>每场战斗一次：在 40% 生命值时，获得持续 5 秒的相当于 25% 最大生命值的护盾值，并获得 20 护甲和 20 魔抗。</t>
  </si>
  <si>
    <t>+20 护甲、+250 生命值、+20% 暴击几率</t>
  </si>
  <si>
    <t>获得 10% 伤害减免。在高于 50% 生命值时，转而获得 18% 伤害减免。</t>
  </si>
  <si>
    <t>+10% 攻击力、+20 护甲</t>
  </si>
  <si>
    <t>每场战斗一次：在 60% 生命值时，短暂（0.5 秒）变为不可被选取状态并摆脱负面效果。然后，获得 15% 额外攻击速度。</t>
  </si>
  <si>
    <t>x</t>
    <phoneticPr fontId="1" type="noConversion"/>
  </si>
  <si>
    <t>+20 法术强度、+15 法力值</t>
  </si>
  <si>
    <t>战斗开始时：在战斗期间，每 5 秒获得 30 法术强度。</t>
  </si>
  <si>
    <t>+25% 攻击力、+10% 攻击速度、+25 法术强度</t>
  </si>
  <si>
    <t>在对抗超过 1750 最大生命值的敌人时获得 20% 额外伤害增幅。</t>
  </si>
  <si>
    <t>6或9</t>
    <phoneticPr fontId="1" type="noConversion"/>
  </si>
  <si>
    <t>+75 魔法抗性</t>
  </si>
  <si>
    <t>获得 9% 最大生命值。每 2 秒治疗 2.5% 最大生命值。</t>
  </si>
  <si>
    <t>+20% 攻击速度、+150 生命值、+20% 暴击几率</t>
  </si>
  <si>
    <t>暴击提供持续 5 秒的 5% 伤害增幅，可叠加至多 4 次。</t>
  </si>
  <si>
    <t>+15 法力值、+300 生命值、+10%伤害减免</t>
    <phoneticPr fontId="1" type="noConversion"/>
  </si>
  <si>
    <t>每秒回复 2.5% 已损失生命值。</t>
  </si>
  <si>
    <t>+40% 攻击力、+300 生命值</t>
  </si>
  <si>
    <t>在 60% 生命值时，获得相当于携带者 50% 最大生命值的护盾值，在 5 秒内快速衰减。</t>
  </si>
  <si>
    <t>+20 护甲、+150 生命值</t>
  </si>
  <si>
    <t>获得 8% 最大生命值。每过 2 秒，对 2 格内的一名敌人施加持续 10 秒的 1% 最大生命值灼烧伤害。</t>
  </si>
  <si>
    <t>+15% 攻击力、+20% 攻击速度、+20% 暴击几率</t>
  </si>
  <si>
    <t>物理伤害会对目标施加持续 3 秒的 30% 护甲穿透。这个效果不会叠加。</t>
  </si>
  <si>
    <t>+15% 攻击力、+15 法术强度、+15 法力值</t>
  </si>
  <si>
    <t>每次普攻提供 5 额外法力值。</t>
  </si>
  <si>
    <t>+65 护甲</t>
  </si>
  <si>
    <t>获得 7% 最大生命值。使来自攻击的伤害降低 8%。在被任一攻击命中时，对邻格所有敌人造成 8% 最大生命值的魔法伤害。</t>
  </si>
  <si>
    <t>+15 法力值、+20% 暴击几率</t>
  </si>
  <si>
    <t>获得 2 个效果：15% 攻击力和 15 法术强度。12% 全能吸血。
生命值高于 50% 时，攻击力和法术强度翻倍。
生命值低于 50% 时，全能吸血效果翻倍。</t>
    <phoneticPr fontId="1" type="noConversion"/>
  </si>
  <si>
    <t>8.12或9.32</t>
    <phoneticPr fontId="1" type="noConversion"/>
  </si>
  <si>
    <t>+30% 攻击速度、+20 魔法抗性、+20% 暴击几率</t>
  </si>
  <si>
    <t>战斗开始时：获得持续 18 秒的控制免疫效果。在此期间，每 2 秒获得 3% 攻击速度。</t>
  </si>
  <si>
    <t>+10% 攻击速度、+20 护甲</t>
  </si>
  <si>
    <t>在攻击或承受伤害时获得 2% 攻击力和 2 法术强度，至多可叠加 25 次。在叠满层数后，获得 20 护甲与 20 魔抗。</t>
  </si>
  <si>
    <t>未叠满2 叠满14</t>
    <phoneticPr fontId="1" type="noConversion"/>
  </si>
  <si>
    <t>+20% 攻击力、+20 法术强度、+18% 全能吸血</t>
  </si>
  <si>
    <t>为生命值百分比最低的友军提供相当于 20% 造成伤害值的治疗。</t>
  </si>
  <si>
    <t>+15% 攻击力、+10% 攻击速度、+20 魔法抗性</t>
  </si>
  <si>
    <t>攻击提供 3% 可叠加的攻击力。</t>
  </si>
  <si>
    <t>+50 法术强度、+15% Damage Amp</t>
  </si>
  <si>
    <t>-</t>
  </si>
  <si>
    <t>+600 生命值</t>
  </si>
  <si>
    <t>获得 12% 最大生命值。</t>
  </si>
  <si>
    <t>+25 护甲、+25 魔法抗性、+100 生命值</t>
  </si>
  <si>
    <t>每有一个敌人正在以携带者为目标，携带者就会获得 10 护甲和 10 魔抗。</t>
  </si>
  <si>
    <t>+15 法术强度、+25 魔法抗性、+150 生命值</t>
  </si>
  <si>
    <t>对 2 格内的敌人们施加 30% 魔法抗性削减。在敌人施放一次技能时，对该敌人造成相当于该敌人 160% 法力值消耗的魔法伤害。</t>
  </si>
  <si>
    <t>+150 生命值、+20% 暴击几率</t>
  </si>
  <si>
    <t>每一回合：装备 2 件随机装备。</t>
  </si>
  <si>
    <t>+35% 攻击速度、+3% Damage Amp</t>
    <phoneticPr fontId="1" type="noConversion"/>
  </si>
  <si>
    <t>攻击和技能的伤害对敌人们造成持续 5 秒的 1% 最大生命值灼烧 + 33% 攻速削减。</t>
  </si>
  <si>
    <t>+10% 攻击速度、+10 法术强度、+150 生命值</t>
  </si>
  <si>
    <t>在施放一个技能后，获得持续 5 秒的 60% 攻击速度。</t>
  </si>
  <si>
    <t>+10% 攻击速度、+25 法术强度、+150 生命值</t>
  </si>
  <si>
    <t>攻击和技能的伤害对敌人们造成持续 10 秒的 1% 最大生命值灼烧 + 33% 治疗削减。</t>
  </si>
  <si>
    <t>+15% 攻击力、+15 法术强度、+30 法力值</t>
  </si>
  <si>
    <t>每次施放技能获得 10 法力值。携带者在参与一次击杀后，会多造成 5% 伤害，持续 8 秒。</t>
  </si>
  <si>
    <t>薄暮法袍</t>
  </si>
  <si>
    <t>+20 魔法抗性、+150 生命值</t>
  </si>
  <si>
    <t>2 格内的敌人们会被施加 30% 伤害减免降低。在战斗的最初 15 秒获得 25 护甲和魔抗。</t>
  </si>
  <si>
    <t>+15% 攻击速度、+35 法术强度、+15 法力值</t>
  </si>
  <si>
    <t>攻击和技能伤害都会对目标施加持续 5 秒的 30% 魔法抗性削减。这个效果不会叠加。</t>
  </si>
  <si>
    <t>+10 法术强度、+15 法力值、+20 魔法抗性</t>
  </si>
  <si>
    <t>战斗开始时：基于初始位置获得不同的加成。前两排：40 护甲和魔抗。在被一次攻击击中时获得 1 法力值。后两排：15法术强度，每3秒获得10法力值。</t>
    <phoneticPr fontId="1" type="noConversion"/>
  </si>
  <si>
    <t>前排6.8 后排6.964</t>
    <phoneticPr fontId="1" type="noConversion"/>
  </si>
  <si>
    <t>+15% 攻击力、+15 法术强度、+20 魔法抗性</t>
  </si>
  <si>
    <t>每场战斗仅触发 1 次：在 40% 生命值时，获得一个护盾，护盾值相当于携带者 25% 的最大生命值，至多持续 5 秒。</t>
  </si>
  <si>
    <t>+10% 攻击速度、+10 法术强度</t>
  </si>
  <si>
    <t>每秒获得 7% 可叠加的攻击速度。</t>
  </si>
  <si>
    <t>珠光护手</t>
    <phoneticPr fontId="1" type="noConversion"/>
  </si>
  <si>
    <t>+35法术强度、+35%暴击几率</t>
    <phoneticPr fontId="1" type="noConversion"/>
  </si>
  <si>
    <t>技能可以暴击。如果携带者的技能已经可以暴击，则转而提供10%暴击伤害。</t>
    <phoneticPr fontId="1" type="noConversion"/>
  </si>
  <si>
    <t>死亡之刃</t>
    <phoneticPr fontId="1" type="noConversion"/>
  </si>
  <si>
    <t xml:space="preserve">
+55%攻击力 +10%Damage Amp</t>
    <phoneticPr fontId="1" type="noConversion"/>
  </si>
  <si>
    <t>无尽之刃</t>
    <phoneticPr fontId="1" type="noConversion"/>
  </si>
  <si>
    <t>+35%攻击力 +35%暴击几率</t>
    <phoneticPr fontId="1" type="noConversion"/>
  </si>
  <si>
    <t>装备价值</t>
    <phoneticPr fontId="1" type="noConversion"/>
  </si>
  <si>
    <t>0.92
/
8</t>
  </si>
  <si>
    <t>1.53
/
8</t>
  </si>
  <si>
    <t>1.38
/
8</t>
  </si>
  <si>
    <t>0.75
/
8</t>
  </si>
  <si>
    <t>2.37
/
8</t>
  </si>
  <si>
    <t>4</t>
  </si>
  <si>
    <t>0.91
/
8</t>
  </si>
  <si>
    <t>1.54
/
8</t>
  </si>
  <si>
    <t>1.16
/
8</t>
  </si>
  <si>
    <t>1.57
/
8</t>
  </si>
  <si>
    <t>1.24
/
8</t>
  </si>
  <si>
    <t>2.42
/
8</t>
  </si>
  <si>
    <t>2.19
/
8</t>
  </si>
  <si>
    <t>1.74
/
8</t>
  </si>
  <si>
    <t>1.90
/
8</t>
  </si>
  <si>
    <t>1.32
/
8</t>
  </si>
  <si>
    <t>1.26
/
8</t>
  </si>
  <si>
    <t>2.71
/
8</t>
  </si>
  <si>
    <t>1.40
/
8</t>
  </si>
  <si>
    <t>2.06
/
8</t>
  </si>
  <si>
    <t>1.73
/
8</t>
  </si>
  <si>
    <t>2.62
/
8</t>
  </si>
  <si>
    <t>0.94
/
8</t>
  </si>
  <si>
    <t>3.47
/
8</t>
  </si>
  <si>
    <t>3.49
/
8</t>
  </si>
  <si>
    <t>2.29
/
8</t>
  </si>
  <si>
    <t>4.15
/
8</t>
  </si>
  <si>
    <t>3.33
/
8</t>
  </si>
  <si>
    <t>3.25
/
8</t>
  </si>
  <si>
    <t>4.28
/
8</t>
  </si>
  <si>
    <t>装备</t>
  </si>
  <si>
    <t>装备价值</t>
  </si>
  <si>
    <t>x</t>
  </si>
  <si>
    <t>前排6.8 后排6.964</t>
  </si>
  <si>
    <t>未叠满2 叠满14</t>
  </si>
  <si>
    <t>8.12或9.32</t>
  </si>
  <si>
    <t>6或9</t>
  </si>
  <si>
    <t>薄暮法袍</t>
    <phoneticPr fontId="1" type="noConversion"/>
  </si>
  <si>
    <t>注：肉装属性以两星四费裸装坦克为基础，标准血量为1800</t>
    <phoneticPr fontId="1" type="noConversion"/>
  </si>
  <si>
    <t>价值计算标准：                                                                                                                                                                                                                                                           10攻击力=1
10法强=1
20物抗=1
20法抗=1
10攻速=1
20暴击＝0.72
10爆伤＝0.72
150血量＞1
123血量=1
7％最大生命＝1
1.25％最大生命回血/S＝0.75
1.5％最大生命回血/S＝0.9375
15蓝量＝0.8
5蓝/A＝4.9
4蓝/A＝3
2蓝/A＝1.5
特殊数值
10双强=1.2
10增伤= 1.5（装备）
10吸血=0 or 1.5
15免伤=2~4
8免伤＝1～2薄暮、离子，火甲被动＝3.25</t>
    <phoneticPr fontId="1" type="noConversion"/>
  </si>
  <si>
    <t>注：靠时间叠层，以6s计</t>
    <phoneticPr fontId="1" type="noConversion"/>
  </si>
  <si>
    <t>注：持续x时间的护盾，攻速等均对其价值砍半计算</t>
    <phoneticPr fontId="1" type="noConversion"/>
  </si>
  <si>
    <t>注：x表示描述价值未知</t>
    <phoneticPr fontId="1" type="noConversion"/>
  </si>
  <si>
    <t>标准成装价值6.5，当成装价值低于5.7的时候可视为亏摸，超过7.3的时候可视为超模</t>
    <phoneticPr fontId="1" type="noConversion"/>
  </si>
  <si>
    <t>属性</t>
    <phoneticPr fontId="1" type="noConversion"/>
  </si>
  <si>
    <t>装备名称</t>
    <phoneticPr fontId="1" type="noConversion"/>
  </si>
  <si>
    <t>对比14.6排名变化情况</t>
    <phoneticPr fontId="1" type="noConversion"/>
  </si>
  <si>
    <t>14.7版本装备分析</t>
    <phoneticPr fontId="1" type="noConversion"/>
  </si>
  <si>
    <t>1. 14.6与14.7均为比赛版本，14.7覆盖的比赛时间范围更广，总体而言阵容的增强、削弱变化幅度较小，因而装备排名整体变化情况也小，这点也可以从两个版本的装备排名变化情况看出来。                                                                2. 总体分析情况与上版本几乎一致，主要装备变动情况在于神器的变化，因而普通装备不再继续分析。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</si>
</sst>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176" fontId="0" fillId="0" borderId="0" xfId="0" applyNumberFormat="1"/>
    <xf numFmtId="10" fontId="0" fillId="0" borderId="0" xfId="0" applyNumberFormat="1"/>
    <xf numFmtId="9" fontId="0" fillId="0" borderId="0" xfId="0" applyNumberFormat="1"/>
    <xf numFmtId="0" fontId="0" fillId="0" borderId="0" xfId="0"/>
    <xf numFmtId="0" fontId="0" fillId="0" borderId="0" xfId="0" applyAlignment="1">
      <alignment vertical="top" wrapText="1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0"/>
  <sheetViews>
    <sheetView tabSelected="1" topLeftCell="C1" workbookViewId="0">
      <selection activeCell="N45" sqref="N45"/>
    </sheetView>
  </sheetViews>
  <sheetFormatPr defaultRowHeight="14.25" x14ac:dyDescent="0.2"/>
  <cols>
    <col min="1" max="1" width="19.25" bestFit="1" customWidth="1"/>
    <col min="2" max="2" width="44.375" bestFit="1" customWidth="1"/>
    <col min="3" max="3" width="140.125" bestFit="1" customWidth="1"/>
    <col min="4" max="4" width="12.75" bestFit="1" customWidth="1"/>
    <col min="5" max="5" width="16.875" bestFit="1" customWidth="1"/>
    <col min="6" max="6" width="5.5" bestFit="1" customWidth="1"/>
    <col min="7" max="7" width="19.25" bestFit="1" customWidth="1"/>
    <col min="8" max="8" width="7.125" bestFit="1" customWidth="1"/>
    <col min="9" max="9" width="5.5" bestFit="1" customWidth="1"/>
    <col min="10" max="10" width="21" customWidth="1"/>
    <col min="11" max="12" width="7.125" bestFit="1" customWidth="1"/>
    <col min="13" max="13" width="16.875" bestFit="1" customWidth="1"/>
    <col min="14" max="14" width="5.5" bestFit="1" customWidth="1"/>
    <col min="15" max="15" width="19.25" bestFit="1" customWidth="1"/>
    <col min="16" max="16" width="7.125" bestFit="1" customWidth="1"/>
    <col min="17" max="17" width="5.5" bestFit="1" customWidth="1"/>
    <col min="18" max="19" width="7.125" bestFit="1" customWidth="1"/>
    <col min="20" max="20" width="16.875" bestFit="1" customWidth="1"/>
  </cols>
  <sheetData>
    <row r="1" spans="1:20" x14ac:dyDescent="0.2">
      <c r="A1" t="s">
        <v>203</v>
      </c>
      <c r="B1" s="1" t="s">
        <v>202</v>
      </c>
      <c r="C1" t="s">
        <v>75</v>
      </c>
      <c r="D1" t="s">
        <v>76</v>
      </c>
      <c r="E1" t="s">
        <v>77</v>
      </c>
      <c r="F1">
        <v>14.7</v>
      </c>
      <c r="G1" t="s">
        <v>0</v>
      </c>
      <c r="H1" t="s">
        <v>1</v>
      </c>
      <c r="I1" t="s">
        <v>2</v>
      </c>
      <c r="J1" t="s">
        <v>204</v>
      </c>
      <c r="K1" t="s">
        <v>3</v>
      </c>
      <c r="L1" t="s">
        <v>4</v>
      </c>
      <c r="M1" t="s">
        <v>157</v>
      </c>
      <c r="N1">
        <v>14.6</v>
      </c>
      <c r="O1" t="s">
        <v>188</v>
      </c>
      <c r="P1" t="s">
        <v>1</v>
      </c>
      <c r="Q1" t="s">
        <v>2</v>
      </c>
      <c r="R1" t="s">
        <v>3</v>
      </c>
      <c r="S1" t="s">
        <v>4</v>
      </c>
      <c r="T1" t="s">
        <v>189</v>
      </c>
    </row>
    <row r="2" spans="1:20" x14ac:dyDescent="0.2">
      <c r="A2" t="s">
        <v>27</v>
      </c>
      <c r="B2" s="1" t="s">
        <v>78</v>
      </c>
      <c r="C2" t="s">
        <v>79</v>
      </c>
      <c r="D2">
        <f>2+1+100/123</f>
        <v>3.8130081300813008</v>
      </c>
      <c r="E2">
        <f>D2+2.5+0.25*1800/123/2</f>
        <v>8.1422764227642279</v>
      </c>
      <c r="G2" t="s">
        <v>5</v>
      </c>
      <c r="H2" t="s">
        <v>6</v>
      </c>
      <c r="I2">
        <v>3.81</v>
      </c>
      <c r="J2">
        <f>$I2-VLOOKUP($G2,$O$2:$S$37,3,0)</f>
        <v>-6.0000000000000053E-2</v>
      </c>
      <c r="K2" s="5">
        <v>0.627</v>
      </c>
      <c r="L2" s="5">
        <v>0.19500000000000001</v>
      </c>
      <c r="M2" t="str">
        <f>VLOOKUP(G2,$A$2:$E$37,5,0)</f>
        <v>x</v>
      </c>
      <c r="O2" t="s">
        <v>5</v>
      </c>
      <c r="P2" t="s">
        <v>158</v>
      </c>
      <c r="Q2" s="4">
        <v>3.87</v>
      </c>
      <c r="R2" s="5">
        <v>0.61599999999999999</v>
      </c>
      <c r="S2" s="5">
        <v>0.191</v>
      </c>
      <c r="T2" t="s">
        <v>190</v>
      </c>
    </row>
    <row r="3" spans="1:20" x14ac:dyDescent="0.2">
      <c r="A3" t="s">
        <v>52</v>
      </c>
      <c r="B3" s="1" t="s">
        <v>80</v>
      </c>
      <c r="C3" t="s">
        <v>81</v>
      </c>
      <c r="D3">
        <f>1.6+1</f>
        <v>2.6</v>
      </c>
      <c r="E3">
        <f>D3+2+1800/123*0.25/2</f>
        <v>6.4292682926829263</v>
      </c>
      <c r="G3" t="s">
        <v>7</v>
      </c>
      <c r="H3" t="s">
        <v>8</v>
      </c>
      <c r="I3">
        <v>3.91</v>
      </c>
      <c r="J3">
        <f t="shared" ref="J3:J37" si="0">$I3-VLOOKUP($G3,$O$2:$S$37,3,0)</f>
        <v>-6.999999999999984E-2</v>
      </c>
      <c r="K3" s="5">
        <v>0.60599999999999998</v>
      </c>
      <c r="L3" s="5">
        <v>0.187</v>
      </c>
      <c r="M3">
        <f t="shared" ref="M3:M37" si="1">VLOOKUP(G3,$A$2:$E$37,5,0)</f>
        <v>10.097560975609756</v>
      </c>
      <c r="O3" t="s">
        <v>7</v>
      </c>
      <c r="P3" t="s">
        <v>159</v>
      </c>
      <c r="Q3">
        <v>3.98</v>
      </c>
      <c r="R3" s="5">
        <v>0.59299999999999997</v>
      </c>
      <c r="S3" s="5">
        <v>0.18099999999999999</v>
      </c>
      <c r="T3">
        <v>10.097560975609756</v>
      </c>
    </row>
    <row r="4" spans="1:20" x14ac:dyDescent="0.2">
      <c r="A4" t="s">
        <v>19</v>
      </c>
      <c r="B4" s="1" t="s">
        <v>82</v>
      </c>
      <c r="C4" t="s">
        <v>83</v>
      </c>
      <c r="D4">
        <f>1+250/123+0.72*2</f>
        <v>4.4725203252032522</v>
      </c>
      <c r="E4">
        <f>D4+0.5*2+0.5*18/15*2</f>
        <v>6.6725203252032523</v>
      </c>
      <c r="G4" t="s">
        <v>9</v>
      </c>
      <c r="H4" t="s">
        <v>10</v>
      </c>
      <c r="I4">
        <v>3.92</v>
      </c>
      <c r="J4">
        <f t="shared" si="0"/>
        <v>-6.0000000000000053E-2</v>
      </c>
      <c r="K4" s="5">
        <v>0.60399999999999998</v>
      </c>
      <c r="L4" s="5">
        <v>0.183</v>
      </c>
      <c r="M4" t="str">
        <f t="shared" si="1"/>
        <v>未叠满2 叠满14</v>
      </c>
      <c r="O4" t="s">
        <v>11</v>
      </c>
      <c r="P4" t="s">
        <v>160</v>
      </c>
      <c r="Q4">
        <v>3.98</v>
      </c>
      <c r="R4" s="5">
        <v>0.59899999999999998</v>
      </c>
      <c r="S4" s="5">
        <v>0.159</v>
      </c>
      <c r="T4" t="s">
        <v>191</v>
      </c>
    </row>
    <row r="5" spans="1:20" x14ac:dyDescent="0.2">
      <c r="A5" t="s">
        <v>5</v>
      </c>
      <c r="B5" s="1" t="s">
        <v>84</v>
      </c>
      <c r="C5" t="s">
        <v>85</v>
      </c>
      <c r="D5">
        <v>2</v>
      </c>
      <c r="E5" t="s">
        <v>86</v>
      </c>
      <c r="G5" t="s">
        <v>11</v>
      </c>
      <c r="H5" t="s">
        <v>12</v>
      </c>
      <c r="I5">
        <v>3.99</v>
      </c>
      <c r="J5">
        <f t="shared" si="0"/>
        <v>1.0000000000000231E-2</v>
      </c>
      <c r="K5" s="5">
        <v>0.59799999999999998</v>
      </c>
      <c r="L5" s="5">
        <v>0.159</v>
      </c>
      <c r="M5" t="str">
        <f t="shared" si="1"/>
        <v>前排6.8 后排6.964</v>
      </c>
      <c r="O5" t="s">
        <v>9</v>
      </c>
      <c r="P5" t="s">
        <v>161</v>
      </c>
      <c r="Q5">
        <v>3.98</v>
      </c>
      <c r="R5" s="5">
        <v>0.59199999999999997</v>
      </c>
      <c r="S5" s="6">
        <v>0.18</v>
      </c>
      <c r="T5" t="s">
        <v>192</v>
      </c>
    </row>
    <row r="6" spans="1:20" x14ac:dyDescent="0.2">
      <c r="A6" t="s">
        <v>35</v>
      </c>
      <c r="B6" s="1" t="s">
        <v>87</v>
      </c>
      <c r="C6" t="s">
        <v>88</v>
      </c>
      <c r="D6">
        <v>2.8</v>
      </c>
      <c r="E6">
        <f>D6+3/5*6</f>
        <v>6.3999999999999995</v>
      </c>
      <c r="G6" t="s">
        <v>13</v>
      </c>
      <c r="H6" t="s">
        <v>14</v>
      </c>
      <c r="I6">
        <v>4</v>
      </c>
      <c r="J6">
        <f t="shared" si="0"/>
        <v>-9.9999999999997868E-3</v>
      </c>
      <c r="K6" s="5">
        <v>0.59199999999999997</v>
      </c>
      <c r="L6" s="5">
        <v>0.16600000000000001</v>
      </c>
      <c r="M6">
        <f t="shared" si="1"/>
        <v>7.25</v>
      </c>
      <c r="O6" t="s">
        <v>17</v>
      </c>
      <c r="P6" t="s">
        <v>162</v>
      </c>
      <c r="Q6" s="4" t="s">
        <v>163</v>
      </c>
      <c r="R6" s="5">
        <v>0.59499999999999997</v>
      </c>
      <c r="S6" s="5">
        <v>0.16300000000000001</v>
      </c>
      <c r="T6" t="s">
        <v>190</v>
      </c>
    </row>
    <row r="7" spans="1:20" x14ac:dyDescent="0.2">
      <c r="A7" t="s">
        <v>31</v>
      </c>
      <c r="B7" s="1" t="s">
        <v>89</v>
      </c>
      <c r="C7" t="s">
        <v>90</v>
      </c>
      <c r="D7">
        <v>6</v>
      </c>
      <c r="E7" t="s">
        <v>91</v>
      </c>
      <c r="G7" t="s">
        <v>15</v>
      </c>
      <c r="H7" t="s">
        <v>16</v>
      </c>
      <c r="I7">
        <v>4</v>
      </c>
      <c r="J7">
        <f t="shared" si="0"/>
        <v>-7.0000000000000284E-2</v>
      </c>
      <c r="K7" s="5">
        <v>0.59099999999999997</v>
      </c>
      <c r="L7" s="5">
        <v>0.17799999999999999</v>
      </c>
      <c r="M7" t="str">
        <f t="shared" si="1"/>
        <v>8.12或9.32</v>
      </c>
      <c r="O7" t="s">
        <v>13</v>
      </c>
      <c r="P7" t="s">
        <v>164</v>
      </c>
      <c r="Q7">
        <v>4.01</v>
      </c>
      <c r="R7" s="6">
        <v>0.59</v>
      </c>
      <c r="S7" s="6">
        <v>0.17</v>
      </c>
      <c r="T7">
        <v>7.25</v>
      </c>
    </row>
    <row r="8" spans="1:20" x14ac:dyDescent="0.2">
      <c r="A8" t="s">
        <v>54</v>
      </c>
      <c r="B8" s="1" t="s">
        <v>92</v>
      </c>
      <c r="C8" t="s">
        <v>93</v>
      </c>
      <c r="D8">
        <f>65/20</f>
        <v>3.25</v>
      </c>
      <c r="E8">
        <f>D8+9/7+0.75</f>
        <v>5.2857142857142856</v>
      </c>
      <c r="G8" t="s">
        <v>17</v>
      </c>
      <c r="H8" t="s">
        <v>18</v>
      </c>
      <c r="I8">
        <v>4.0199999999999996</v>
      </c>
      <c r="J8">
        <f t="shared" si="0"/>
        <v>1.9999999999999574E-2</v>
      </c>
      <c r="K8" s="5">
        <v>0.59099999999999997</v>
      </c>
      <c r="L8" s="5">
        <v>0.16300000000000001</v>
      </c>
      <c r="M8" t="str">
        <f t="shared" si="1"/>
        <v>x</v>
      </c>
      <c r="O8" t="s">
        <v>19</v>
      </c>
      <c r="P8" t="s">
        <v>165</v>
      </c>
      <c r="Q8">
        <v>4.04</v>
      </c>
      <c r="R8" s="5">
        <v>0.58799999999999997</v>
      </c>
      <c r="S8" s="5">
        <v>0.154</v>
      </c>
      <c r="T8">
        <v>6.6725203252032523</v>
      </c>
    </row>
    <row r="9" spans="1:20" x14ac:dyDescent="0.2">
      <c r="A9" t="s">
        <v>33</v>
      </c>
      <c r="B9" s="1" t="s">
        <v>94</v>
      </c>
      <c r="C9" t="s">
        <v>95</v>
      </c>
      <c r="D9">
        <f>2+150/123+0.72</f>
        <v>3.9395121951219512</v>
      </c>
      <c r="E9">
        <f>D9+2*1.5</f>
        <v>6.9395121951219512</v>
      </c>
      <c r="G9" t="s">
        <v>19</v>
      </c>
      <c r="H9" t="s">
        <v>20</v>
      </c>
      <c r="I9">
        <v>4.04</v>
      </c>
      <c r="J9">
        <f t="shared" si="0"/>
        <v>0</v>
      </c>
      <c r="K9" s="5">
        <v>0.58799999999999997</v>
      </c>
      <c r="L9" s="5">
        <v>0.156</v>
      </c>
      <c r="M9">
        <f t="shared" si="1"/>
        <v>6.6725203252032523</v>
      </c>
      <c r="O9" t="s">
        <v>25</v>
      </c>
      <c r="P9" t="s">
        <v>166</v>
      </c>
      <c r="Q9">
        <v>4.04</v>
      </c>
      <c r="R9" s="6">
        <v>0.59</v>
      </c>
      <c r="S9" s="5">
        <v>0.157</v>
      </c>
      <c r="T9">
        <v>7</v>
      </c>
    </row>
    <row r="10" spans="1:20" x14ac:dyDescent="0.2">
      <c r="A10" t="s">
        <v>39</v>
      </c>
      <c r="B10" s="1" t="s">
        <v>96</v>
      </c>
      <c r="C10" t="s">
        <v>97</v>
      </c>
      <c r="D10">
        <f>0.8+300/123+10/15*2</f>
        <v>4.5723577235772357</v>
      </c>
      <c r="E10">
        <f>D10+2*0.75</f>
        <v>6.0723577235772357</v>
      </c>
      <c r="G10" t="s">
        <v>21</v>
      </c>
      <c r="H10" t="s">
        <v>22</v>
      </c>
      <c r="I10">
        <v>4.05</v>
      </c>
      <c r="J10">
        <f t="shared" si="0"/>
        <v>-2.0000000000000462E-2</v>
      </c>
      <c r="K10" s="5">
        <v>0.58199999999999996</v>
      </c>
      <c r="L10" s="5">
        <v>0.157</v>
      </c>
      <c r="M10">
        <f t="shared" si="1"/>
        <v>7.9695121951219514</v>
      </c>
      <c r="O10" t="s">
        <v>27</v>
      </c>
      <c r="P10" t="s">
        <v>167</v>
      </c>
      <c r="Q10">
        <v>4.0599999999999996</v>
      </c>
      <c r="R10" s="5">
        <v>0.58199999999999996</v>
      </c>
      <c r="S10" s="5">
        <v>0.156</v>
      </c>
      <c r="T10">
        <v>8.1422764227642279</v>
      </c>
    </row>
    <row r="11" spans="1:20" x14ac:dyDescent="0.2">
      <c r="A11" t="s">
        <v>7</v>
      </c>
      <c r="B11" s="1" t="s">
        <v>98</v>
      </c>
      <c r="C11" t="s">
        <v>99</v>
      </c>
      <c r="D11">
        <f>4+300/123</f>
        <v>6.4390243902439028</v>
      </c>
      <c r="E11">
        <f>D11+900/123/2</f>
        <v>10.097560975609756</v>
      </c>
      <c r="G11" t="s">
        <v>23</v>
      </c>
      <c r="H11" t="s">
        <v>24</v>
      </c>
      <c r="I11">
        <v>4.04</v>
      </c>
      <c r="J11">
        <f t="shared" si="0"/>
        <v>-8.0000000000000071E-2</v>
      </c>
      <c r="K11" s="6">
        <v>0.57999999999999996</v>
      </c>
      <c r="L11" s="5">
        <v>0.17100000000000001</v>
      </c>
      <c r="M11">
        <f t="shared" si="1"/>
        <v>7.42</v>
      </c>
      <c r="O11" t="s">
        <v>15</v>
      </c>
      <c r="P11" t="s">
        <v>167</v>
      </c>
      <c r="Q11">
        <v>4.07</v>
      </c>
      <c r="R11" s="5">
        <v>0.57799999999999996</v>
      </c>
      <c r="S11" s="5">
        <v>0.17299999999999999</v>
      </c>
      <c r="T11" t="s">
        <v>193</v>
      </c>
    </row>
    <row r="12" spans="1:20" x14ac:dyDescent="0.2">
      <c r="A12" t="s">
        <v>60</v>
      </c>
      <c r="B12" s="1" t="s">
        <v>100</v>
      </c>
      <c r="C12" t="s">
        <v>101</v>
      </c>
      <c r="D12">
        <f>1+300/123</f>
        <v>3.4390243902439024</v>
      </c>
      <c r="E12">
        <f>D12+3.25</f>
        <v>6.6890243902439028</v>
      </c>
      <c r="G12" t="s">
        <v>25</v>
      </c>
      <c r="H12" t="s">
        <v>26</v>
      </c>
      <c r="I12">
        <v>4.08</v>
      </c>
      <c r="J12">
        <f t="shared" si="0"/>
        <v>4.0000000000000036E-2</v>
      </c>
      <c r="K12" s="6">
        <v>0.57999999999999996</v>
      </c>
      <c r="L12" s="5">
        <v>0.158</v>
      </c>
      <c r="M12">
        <f t="shared" si="1"/>
        <v>7</v>
      </c>
      <c r="O12" t="s">
        <v>21</v>
      </c>
      <c r="P12" t="s">
        <v>168</v>
      </c>
      <c r="Q12">
        <v>4.07</v>
      </c>
      <c r="R12" s="5">
        <v>0.57799999999999996</v>
      </c>
      <c r="S12" s="5">
        <v>0.156</v>
      </c>
      <c r="T12">
        <v>7.9695121951219514</v>
      </c>
    </row>
    <row r="13" spans="1:20" x14ac:dyDescent="0.2">
      <c r="A13" t="s">
        <v>48</v>
      </c>
      <c r="B13" s="1" t="s">
        <v>102</v>
      </c>
      <c r="C13" t="s">
        <v>103</v>
      </c>
      <c r="D13">
        <f>1.5+2+0.72</f>
        <v>4.22</v>
      </c>
      <c r="E13" t="s">
        <v>86</v>
      </c>
      <c r="G13" t="s">
        <v>27</v>
      </c>
      <c r="H13" t="s">
        <v>28</v>
      </c>
      <c r="I13">
        <v>4.08</v>
      </c>
      <c r="J13">
        <f t="shared" si="0"/>
        <v>2.0000000000000462E-2</v>
      </c>
      <c r="K13" s="6">
        <v>0.57999999999999996</v>
      </c>
      <c r="L13" s="5">
        <v>0.152</v>
      </c>
      <c r="M13">
        <f t="shared" si="1"/>
        <v>8.1422764227642279</v>
      </c>
      <c r="O13" t="s">
        <v>33</v>
      </c>
      <c r="P13" t="s">
        <v>169</v>
      </c>
      <c r="Q13">
        <v>4.09</v>
      </c>
      <c r="R13" s="5">
        <v>0.57899999999999996</v>
      </c>
      <c r="S13" s="6">
        <v>0.15</v>
      </c>
      <c r="T13">
        <v>6.9395121951219512</v>
      </c>
    </row>
    <row r="14" spans="1:20" x14ac:dyDescent="0.2">
      <c r="A14" t="s">
        <v>68</v>
      </c>
      <c r="B14" s="1" t="s">
        <v>104</v>
      </c>
      <c r="C14" t="s">
        <v>105</v>
      </c>
      <c r="D14">
        <f>1.5+1.5+0.8</f>
        <v>3.8</v>
      </c>
      <c r="E14">
        <f>D14+4.9</f>
        <v>8.6999999999999993</v>
      </c>
      <c r="G14" t="s">
        <v>29</v>
      </c>
      <c r="H14" t="s">
        <v>30</v>
      </c>
      <c r="I14">
        <v>4.04</v>
      </c>
      <c r="J14">
        <f t="shared" si="0"/>
        <v>-7.0000000000000284E-2</v>
      </c>
      <c r="K14" s="5">
        <v>0.57799999999999996</v>
      </c>
      <c r="L14" s="5">
        <v>0.18099999999999999</v>
      </c>
      <c r="M14">
        <f t="shared" si="1"/>
        <v>5.8292682926829267</v>
      </c>
      <c r="O14" t="s">
        <v>31</v>
      </c>
      <c r="P14" t="s">
        <v>170</v>
      </c>
      <c r="Q14">
        <v>4.1100000000000003</v>
      </c>
      <c r="R14" s="5">
        <v>0.57399999999999995</v>
      </c>
      <c r="S14" s="5">
        <v>0.14899999999999999</v>
      </c>
      <c r="T14" t="s">
        <v>194</v>
      </c>
    </row>
    <row r="15" spans="1:20" x14ac:dyDescent="0.2">
      <c r="A15" t="s">
        <v>41</v>
      </c>
      <c r="B15" s="1" t="s">
        <v>106</v>
      </c>
      <c r="C15" t="s">
        <v>107</v>
      </c>
      <c r="D15">
        <f>65/20</f>
        <v>3.25</v>
      </c>
      <c r="E15">
        <f>D15+1+8/15*2</f>
        <v>5.3166666666666664</v>
      </c>
      <c r="G15" t="s">
        <v>31</v>
      </c>
      <c r="H15" t="s">
        <v>32</v>
      </c>
      <c r="I15">
        <v>4.09</v>
      </c>
      <c r="J15">
        <f t="shared" si="0"/>
        <v>-2.0000000000000462E-2</v>
      </c>
      <c r="K15" s="5">
        <v>0.57799999999999996</v>
      </c>
      <c r="L15" s="6">
        <v>0.15</v>
      </c>
      <c r="M15" t="str">
        <f t="shared" si="1"/>
        <v>6或9</v>
      </c>
      <c r="O15" t="s">
        <v>29</v>
      </c>
      <c r="P15" t="s">
        <v>171</v>
      </c>
      <c r="Q15">
        <v>4.1100000000000003</v>
      </c>
      <c r="R15" s="5">
        <v>0.56599999999999995</v>
      </c>
      <c r="S15" s="5">
        <v>0.17799999999999999</v>
      </c>
      <c r="T15">
        <v>5.8292682926829267</v>
      </c>
    </row>
    <row r="16" spans="1:20" ht="42.75" x14ac:dyDescent="0.2">
      <c r="A16" t="s">
        <v>15</v>
      </c>
      <c r="B16" s="1" t="s">
        <v>108</v>
      </c>
      <c r="C16" s="2" t="s">
        <v>109</v>
      </c>
      <c r="D16">
        <f>0.8+0.72</f>
        <v>1.52</v>
      </c>
      <c r="E16" t="s">
        <v>110</v>
      </c>
      <c r="G16" t="s">
        <v>33</v>
      </c>
      <c r="H16" t="s">
        <v>34</v>
      </c>
      <c r="I16">
        <v>4.0999999999999996</v>
      </c>
      <c r="J16">
        <f t="shared" si="0"/>
        <v>9.9999999999997868E-3</v>
      </c>
      <c r="K16" s="5">
        <v>0.57499999999999996</v>
      </c>
      <c r="L16" s="5">
        <v>0.151</v>
      </c>
      <c r="M16">
        <f t="shared" si="1"/>
        <v>6.9395121951219512</v>
      </c>
      <c r="O16" t="s">
        <v>39</v>
      </c>
      <c r="P16" t="s">
        <v>172</v>
      </c>
      <c r="Q16">
        <v>4.12</v>
      </c>
      <c r="R16" s="5">
        <v>0.57199999999999995</v>
      </c>
      <c r="S16" s="6">
        <v>0.15</v>
      </c>
      <c r="T16">
        <v>6.0723577235772357</v>
      </c>
    </row>
    <row r="17" spans="1:20" x14ac:dyDescent="0.2">
      <c r="A17" t="s">
        <v>23</v>
      </c>
      <c r="B17" s="1" t="s">
        <v>111</v>
      </c>
      <c r="C17" t="s">
        <v>112</v>
      </c>
      <c r="D17">
        <f>3+1+0.72</f>
        <v>4.72</v>
      </c>
      <c r="E17">
        <f>D17+2.7</f>
        <v>7.42</v>
      </c>
      <c r="G17" t="s">
        <v>35</v>
      </c>
      <c r="H17" t="s">
        <v>36</v>
      </c>
      <c r="I17">
        <v>4.13</v>
      </c>
      <c r="J17">
        <f t="shared" si="0"/>
        <v>-9.9999999999997868E-3</v>
      </c>
      <c r="K17" s="6">
        <v>0.56999999999999995</v>
      </c>
      <c r="L17" s="5">
        <v>0.14099999999999999</v>
      </c>
      <c r="M17">
        <f t="shared" si="1"/>
        <v>6.3999999999999995</v>
      </c>
      <c r="O17" t="s">
        <v>23</v>
      </c>
      <c r="P17" t="s">
        <v>173</v>
      </c>
      <c r="Q17">
        <v>4.12</v>
      </c>
      <c r="R17" s="5">
        <v>0.56499999999999995</v>
      </c>
      <c r="S17" s="6">
        <v>0.17</v>
      </c>
      <c r="T17">
        <v>7.42</v>
      </c>
    </row>
    <row r="18" spans="1:20" x14ac:dyDescent="0.2">
      <c r="A18" t="s">
        <v>9</v>
      </c>
      <c r="B18" s="1" t="s">
        <v>113</v>
      </c>
      <c r="C18" t="s">
        <v>114</v>
      </c>
      <c r="D18">
        <v>2</v>
      </c>
      <c r="E18" t="s">
        <v>115</v>
      </c>
      <c r="G18" t="s">
        <v>37</v>
      </c>
      <c r="H18" t="s">
        <v>38</v>
      </c>
      <c r="I18">
        <v>4.12</v>
      </c>
      <c r="J18">
        <f t="shared" si="0"/>
        <v>-9.9999999999997868E-3</v>
      </c>
      <c r="K18" s="5">
        <v>0.56899999999999995</v>
      </c>
      <c r="L18" s="5">
        <v>0.152</v>
      </c>
      <c r="M18">
        <f t="shared" si="1"/>
        <v>5.8</v>
      </c>
      <c r="O18" t="s">
        <v>41</v>
      </c>
      <c r="P18" t="s">
        <v>170</v>
      </c>
      <c r="Q18">
        <v>4.13</v>
      </c>
      <c r="R18" s="6">
        <v>0.56999999999999995</v>
      </c>
      <c r="S18" s="5">
        <v>0.14799999999999999</v>
      </c>
      <c r="T18">
        <v>5.3166666666666664</v>
      </c>
    </row>
    <row r="19" spans="1:20" x14ac:dyDescent="0.2">
      <c r="A19" t="s">
        <v>56</v>
      </c>
      <c r="B19" s="1" t="s">
        <v>116</v>
      </c>
      <c r="C19" t="s">
        <v>117</v>
      </c>
      <c r="D19">
        <f>2+2</f>
        <v>4</v>
      </c>
      <c r="E19" t="s">
        <v>86</v>
      </c>
      <c r="G19" t="s">
        <v>39</v>
      </c>
      <c r="H19" t="s">
        <v>40</v>
      </c>
      <c r="I19">
        <v>4.13</v>
      </c>
      <c r="J19">
        <f t="shared" si="0"/>
        <v>9.9999999999997868E-3</v>
      </c>
      <c r="K19" s="5">
        <v>0.56899999999999995</v>
      </c>
      <c r="L19" s="5">
        <v>0.154</v>
      </c>
      <c r="M19">
        <f t="shared" si="1"/>
        <v>6.0723577235772357</v>
      </c>
      <c r="O19" t="s">
        <v>37</v>
      </c>
      <c r="P19" t="s">
        <v>159</v>
      </c>
      <c r="Q19">
        <v>4.13</v>
      </c>
      <c r="R19" s="5">
        <v>0.56599999999999995</v>
      </c>
      <c r="S19" s="5">
        <v>0.154</v>
      </c>
      <c r="T19">
        <v>5.8</v>
      </c>
    </row>
    <row r="20" spans="1:20" x14ac:dyDescent="0.2">
      <c r="A20" t="s">
        <v>64</v>
      </c>
      <c r="B20" s="1" t="s">
        <v>118</v>
      </c>
      <c r="C20" t="s">
        <v>119</v>
      </c>
      <c r="D20">
        <f>1.5+1+1</f>
        <v>3.5</v>
      </c>
      <c r="E20" t="s">
        <v>86</v>
      </c>
      <c r="G20" t="s">
        <v>41</v>
      </c>
      <c r="H20" t="s">
        <v>42</v>
      </c>
      <c r="I20">
        <v>4.16</v>
      </c>
      <c r="J20">
        <f t="shared" si="0"/>
        <v>3.0000000000000249E-2</v>
      </c>
      <c r="K20" s="5">
        <v>0.56499999999999995</v>
      </c>
      <c r="L20" s="5">
        <v>0.14699999999999999</v>
      </c>
      <c r="M20">
        <f t="shared" si="1"/>
        <v>5.3166666666666664</v>
      </c>
      <c r="O20" t="s">
        <v>35</v>
      </c>
      <c r="P20" t="s">
        <v>174</v>
      </c>
      <c r="Q20">
        <v>4.1399999999999997</v>
      </c>
      <c r="R20" s="5">
        <v>0.56699999999999995</v>
      </c>
      <c r="S20" s="5">
        <v>0.14199999999999999</v>
      </c>
      <c r="T20">
        <v>6.3999999999999995</v>
      </c>
    </row>
    <row r="21" spans="1:20" x14ac:dyDescent="0.2">
      <c r="A21" t="s">
        <v>13</v>
      </c>
      <c r="B21" s="1" t="s">
        <v>120</v>
      </c>
      <c r="C21" t="s">
        <v>121</v>
      </c>
      <c r="D21">
        <f>5+1.5*1.5</f>
        <v>7.25</v>
      </c>
      <c r="E21">
        <f>D21</f>
        <v>7.25</v>
      </c>
      <c r="G21" t="s">
        <v>43</v>
      </c>
      <c r="H21" t="s">
        <v>44</v>
      </c>
      <c r="I21">
        <v>4.13</v>
      </c>
      <c r="J21">
        <f t="shared" si="0"/>
        <v>-6.0000000000000497E-2</v>
      </c>
      <c r="K21" s="5">
        <v>0.56399999999999995</v>
      </c>
      <c r="L21" s="5">
        <v>0.16300000000000001</v>
      </c>
      <c r="M21">
        <f t="shared" si="1"/>
        <v>7.2195121951219514</v>
      </c>
      <c r="O21" t="s">
        <v>52</v>
      </c>
      <c r="P21" t="s">
        <v>175</v>
      </c>
      <c r="Q21">
        <v>4.16</v>
      </c>
      <c r="R21" s="5">
        <v>0.56399999999999995</v>
      </c>
      <c r="S21" s="5">
        <v>0.14699999999999999</v>
      </c>
      <c r="T21">
        <v>6.4292682926829263</v>
      </c>
    </row>
    <row r="22" spans="1:20" x14ac:dyDescent="0.2">
      <c r="A22" t="s">
        <v>58</v>
      </c>
      <c r="B22" s="1" t="s">
        <v>122</v>
      </c>
      <c r="C22" t="s">
        <v>123</v>
      </c>
      <c r="D22">
        <f>600/123</f>
        <v>4.8780487804878048</v>
      </c>
      <c r="E22">
        <f>D22+12/7</f>
        <v>6.5923344947735192</v>
      </c>
      <c r="G22" t="s">
        <v>195</v>
      </c>
      <c r="H22" t="s">
        <v>45</v>
      </c>
      <c r="I22">
        <v>4.1900000000000004</v>
      </c>
      <c r="J22">
        <f t="shared" si="0"/>
        <v>1.0000000000000675E-2</v>
      </c>
      <c r="K22" s="6">
        <v>0.56000000000000005</v>
      </c>
      <c r="L22" s="5">
        <v>0.14099999999999999</v>
      </c>
      <c r="M22">
        <f t="shared" si="1"/>
        <v>6.7195121951219514</v>
      </c>
      <c r="O22" t="s">
        <v>138</v>
      </c>
      <c r="P22" t="s">
        <v>169</v>
      </c>
      <c r="Q22">
        <v>4.18</v>
      </c>
      <c r="R22" s="5">
        <v>0.56200000000000006</v>
      </c>
      <c r="S22" s="5">
        <v>0.14099999999999999</v>
      </c>
      <c r="T22">
        <v>6.7195121951219514</v>
      </c>
    </row>
    <row r="23" spans="1:20" x14ac:dyDescent="0.2">
      <c r="A23" t="s">
        <v>70</v>
      </c>
      <c r="B23" s="1" t="s">
        <v>124</v>
      </c>
      <c r="C23" t="s">
        <v>125</v>
      </c>
      <c r="D23">
        <f>25/20*2+100/123</f>
        <v>3.3130081300813008</v>
      </c>
      <c r="E23" t="s">
        <v>86</v>
      </c>
      <c r="G23" t="s">
        <v>46</v>
      </c>
      <c r="H23" t="s">
        <v>47</v>
      </c>
      <c r="I23">
        <v>4.1900000000000004</v>
      </c>
      <c r="J23">
        <f t="shared" si="0"/>
        <v>-6.9999999999999396E-2</v>
      </c>
      <c r="K23" s="5">
        <v>0.55400000000000005</v>
      </c>
      <c r="L23" s="5">
        <v>0.152</v>
      </c>
      <c r="M23">
        <f t="shared" si="1"/>
        <v>6.2195121951219514</v>
      </c>
      <c r="O23" t="s">
        <v>43</v>
      </c>
      <c r="P23" t="s">
        <v>176</v>
      </c>
      <c r="Q23">
        <v>4.1900000000000004</v>
      </c>
      <c r="R23" s="5">
        <v>0.55200000000000005</v>
      </c>
      <c r="S23" s="5">
        <v>0.156</v>
      </c>
      <c r="T23">
        <v>7.2195121951219514</v>
      </c>
    </row>
    <row r="24" spans="1:20" x14ac:dyDescent="0.2">
      <c r="A24" t="s">
        <v>43</v>
      </c>
      <c r="B24" s="1" t="s">
        <v>126</v>
      </c>
      <c r="C24" t="s">
        <v>127</v>
      </c>
      <c r="D24">
        <f>1.5+25/20+150/123</f>
        <v>3.9695121951219514</v>
      </c>
      <c r="E24">
        <f>D24+3.25</f>
        <v>7.2195121951219514</v>
      </c>
      <c r="G24" t="s">
        <v>48</v>
      </c>
      <c r="H24" t="s">
        <v>49</v>
      </c>
      <c r="I24">
        <v>4.2</v>
      </c>
      <c r="J24">
        <f t="shared" si="0"/>
        <v>0</v>
      </c>
      <c r="K24" s="5">
        <v>0.55400000000000005</v>
      </c>
      <c r="L24" s="5">
        <v>0.14499999999999999</v>
      </c>
      <c r="M24" t="str">
        <f t="shared" si="1"/>
        <v>x</v>
      </c>
      <c r="O24" t="s">
        <v>48</v>
      </c>
      <c r="P24" t="s">
        <v>177</v>
      </c>
      <c r="Q24">
        <v>4.2</v>
      </c>
      <c r="R24" s="5">
        <v>0.55400000000000005</v>
      </c>
      <c r="S24" s="5">
        <v>0.14599999999999999</v>
      </c>
      <c r="T24" t="s">
        <v>190</v>
      </c>
    </row>
    <row r="25" spans="1:20" x14ac:dyDescent="0.2">
      <c r="A25" t="s">
        <v>17</v>
      </c>
      <c r="B25" s="1" t="s">
        <v>128</v>
      </c>
      <c r="C25" t="s">
        <v>129</v>
      </c>
      <c r="D25">
        <f>150/123+0.72</f>
        <v>1.9395121951219512</v>
      </c>
      <c r="E25" t="s">
        <v>86</v>
      </c>
      <c r="G25" t="s">
        <v>50</v>
      </c>
      <c r="H25" t="s">
        <v>51</v>
      </c>
      <c r="I25">
        <v>4.22</v>
      </c>
      <c r="J25">
        <f t="shared" si="0"/>
        <v>-1.0000000000000675E-2</v>
      </c>
      <c r="K25" s="5">
        <v>0.55200000000000005</v>
      </c>
      <c r="L25" s="5">
        <v>0.14199999999999999</v>
      </c>
      <c r="M25" t="str">
        <f t="shared" si="1"/>
        <v>x</v>
      </c>
      <c r="O25" t="s">
        <v>50</v>
      </c>
      <c r="P25" t="s">
        <v>178</v>
      </c>
      <c r="Q25">
        <v>4.2300000000000004</v>
      </c>
      <c r="R25" s="5">
        <v>0.55100000000000005</v>
      </c>
      <c r="S25" s="5">
        <v>0.14299999999999999</v>
      </c>
      <c r="T25" t="s">
        <v>190</v>
      </c>
    </row>
    <row r="26" spans="1:20" x14ac:dyDescent="0.2">
      <c r="A26" t="s">
        <v>50</v>
      </c>
      <c r="B26" s="1" t="s">
        <v>130</v>
      </c>
      <c r="C26" t="s">
        <v>131</v>
      </c>
      <c r="D26">
        <f>3.5+0.3*1.5</f>
        <v>3.95</v>
      </c>
      <c r="E26" t="s">
        <v>86</v>
      </c>
      <c r="G26" t="s">
        <v>52</v>
      </c>
      <c r="H26" t="s">
        <v>53</v>
      </c>
      <c r="I26">
        <v>4.22</v>
      </c>
      <c r="J26">
        <f t="shared" si="0"/>
        <v>5.9999999999999609E-2</v>
      </c>
      <c r="K26" s="5">
        <v>0.55200000000000005</v>
      </c>
      <c r="L26" s="5">
        <v>0.14399999999999999</v>
      </c>
      <c r="M26">
        <f t="shared" si="1"/>
        <v>6.4292682926829263</v>
      </c>
      <c r="O26" t="s">
        <v>64</v>
      </c>
      <c r="P26" t="s">
        <v>179</v>
      </c>
      <c r="Q26">
        <v>4.25</v>
      </c>
      <c r="R26" s="6">
        <v>0.55000000000000004</v>
      </c>
      <c r="S26" s="5">
        <v>0.13400000000000001</v>
      </c>
      <c r="T26" t="s">
        <v>190</v>
      </c>
    </row>
    <row r="27" spans="1:20" x14ac:dyDescent="0.2">
      <c r="A27" t="s">
        <v>46</v>
      </c>
      <c r="B27" s="1" t="s">
        <v>132</v>
      </c>
      <c r="C27" t="s">
        <v>133</v>
      </c>
      <c r="D27">
        <f>1+1+150/123</f>
        <v>3.2195121951219514</v>
      </c>
      <c r="E27">
        <f>D27+6/2</f>
        <v>6.2195121951219514</v>
      </c>
      <c r="G27" t="s">
        <v>54</v>
      </c>
      <c r="H27" t="s">
        <v>55</v>
      </c>
      <c r="I27">
        <v>4.2699999999999996</v>
      </c>
      <c r="J27">
        <f t="shared" si="0"/>
        <v>-4.0000000000000036E-2</v>
      </c>
      <c r="K27" s="5">
        <v>0.54100000000000004</v>
      </c>
      <c r="L27" s="5">
        <v>0.13900000000000001</v>
      </c>
      <c r="M27">
        <f t="shared" si="1"/>
        <v>5.2857142857142856</v>
      </c>
      <c r="O27" t="s">
        <v>46</v>
      </c>
      <c r="P27" t="s">
        <v>180</v>
      </c>
      <c r="Q27">
        <v>4.26</v>
      </c>
      <c r="R27" s="5">
        <v>0.53800000000000003</v>
      </c>
      <c r="S27" s="5">
        <v>0.161</v>
      </c>
      <c r="T27">
        <v>6.2195121951219514</v>
      </c>
    </row>
    <row r="28" spans="1:20" x14ac:dyDescent="0.2">
      <c r="A28" t="s">
        <v>21</v>
      </c>
      <c r="B28" s="1" t="s">
        <v>134</v>
      </c>
      <c r="C28" t="s">
        <v>135</v>
      </c>
      <c r="D28">
        <f>1+2.5+150/123</f>
        <v>4.7195121951219514</v>
      </c>
      <c r="E28">
        <f>D28+3.25</f>
        <v>7.9695121951219514</v>
      </c>
      <c r="G28" t="s">
        <v>56</v>
      </c>
      <c r="H28" t="s">
        <v>57</v>
      </c>
      <c r="I28">
        <v>4.29</v>
      </c>
      <c r="J28">
        <f t="shared" si="0"/>
        <v>0</v>
      </c>
      <c r="K28" s="5">
        <v>0.53800000000000003</v>
      </c>
      <c r="L28" s="6">
        <v>0.14000000000000001</v>
      </c>
      <c r="M28" t="str">
        <f t="shared" si="1"/>
        <v>x</v>
      </c>
      <c r="O28" t="s">
        <v>58</v>
      </c>
      <c r="P28" t="s">
        <v>181</v>
      </c>
      <c r="Q28">
        <v>4.2699999999999996</v>
      </c>
      <c r="R28" s="5">
        <v>0.54200000000000004</v>
      </c>
      <c r="S28" s="5">
        <v>0.14199999999999999</v>
      </c>
      <c r="T28">
        <v>6.5923344947735192</v>
      </c>
    </row>
    <row r="29" spans="1:20" x14ac:dyDescent="0.2">
      <c r="A29" t="s">
        <v>71</v>
      </c>
      <c r="B29" s="1" t="s">
        <v>136</v>
      </c>
      <c r="C29" t="s">
        <v>137</v>
      </c>
      <c r="D29">
        <f>1.5+1.5+30/15*0.8</f>
        <v>4.5999999999999996</v>
      </c>
      <c r="E29">
        <f>D29+0.8*1.5/2</f>
        <v>5.1999999999999993</v>
      </c>
      <c r="G29" t="s">
        <v>58</v>
      </c>
      <c r="H29" t="s">
        <v>59</v>
      </c>
      <c r="I29">
        <v>4.29</v>
      </c>
      <c r="J29">
        <f t="shared" si="0"/>
        <v>2.0000000000000462E-2</v>
      </c>
      <c r="K29" s="5">
        <v>0.53700000000000003</v>
      </c>
      <c r="L29" s="5">
        <v>0.14099999999999999</v>
      </c>
      <c r="M29">
        <f t="shared" si="1"/>
        <v>6.5923344947735192</v>
      </c>
      <c r="O29" t="s">
        <v>56</v>
      </c>
      <c r="P29" t="s">
        <v>179</v>
      </c>
      <c r="Q29">
        <v>4.29</v>
      </c>
      <c r="R29" s="5">
        <v>0.53900000000000003</v>
      </c>
      <c r="S29" s="6">
        <v>0.14000000000000001</v>
      </c>
      <c r="T29" t="s">
        <v>190</v>
      </c>
    </row>
    <row r="30" spans="1:20" x14ac:dyDescent="0.2">
      <c r="A30" t="s">
        <v>138</v>
      </c>
      <c r="B30" s="1" t="s">
        <v>139</v>
      </c>
      <c r="C30" t="s">
        <v>140</v>
      </c>
      <c r="D30">
        <f>1+150/123</f>
        <v>2.2195121951219514</v>
      </c>
      <c r="E30">
        <f>D30+3.25+2.5/2</f>
        <v>6.7195121951219514</v>
      </c>
      <c r="G30" t="s">
        <v>60</v>
      </c>
      <c r="H30" t="s">
        <v>61</v>
      </c>
      <c r="I30">
        <v>4.3099999999999996</v>
      </c>
      <c r="J30">
        <f t="shared" si="0"/>
        <v>-1.0000000000000675E-2</v>
      </c>
      <c r="K30" s="5">
        <v>0.53500000000000003</v>
      </c>
      <c r="L30" s="5">
        <v>0.13500000000000001</v>
      </c>
      <c r="M30">
        <f t="shared" si="1"/>
        <v>6.6890243902439028</v>
      </c>
      <c r="O30" t="s">
        <v>54</v>
      </c>
      <c r="P30" t="s">
        <v>178</v>
      </c>
      <c r="Q30">
        <v>4.3099999999999996</v>
      </c>
      <c r="R30" s="5">
        <v>0.53500000000000003</v>
      </c>
      <c r="S30" s="5">
        <v>0.13700000000000001</v>
      </c>
      <c r="T30">
        <v>5.2857142857142856</v>
      </c>
    </row>
    <row r="31" spans="1:20" x14ac:dyDescent="0.2">
      <c r="A31" t="s">
        <v>37</v>
      </c>
      <c r="B31" s="1" t="s">
        <v>141</v>
      </c>
      <c r="C31" t="s">
        <v>142</v>
      </c>
      <c r="D31">
        <f>1.5+3.5+0.8</f>
        <v>5.8</v>
      </c>
      <c r="E31">
        <f>D31</f>
        <v>5.8</v>
      </c>
      <c r="G31" t="s">
        <v>62</v>
      </c>
      <c r="H31" t="s">
        <v>63</v>
      </c>
      <c r="I31">
        <v>4.3</v>
      </c>
      <c r="J31">
        <f t="shared" si="0"/>
        <v>-2.0000000000000462E-2</v>
      </c>
      <c r="K31" s="5">
        <v>0.53300000000000003</v>
      </c>
      <c r="L31" s="6">
        <v>0.14000000000000001</v>
      </c>
      <c r="M31">
        <f t="shared" si="1"/>
        <v>5.48</v>
      </c>
      <c r="O31" t="s">
        <v>60</v>
      </c>
      <c r="P31" t="s">
        <v>182</v>
      </c>
      <c r="Q31">
        <v>4.32</v>
      </c>
      <c r="R31" s="5">
        <v>0.53300000000000003</v>
      </c>
      <c r="S31" s="5">
        <v>0.13300000000000001</v>
      </c>
      <c r="T31">
        <v>6.6890243902439028</v>
      </c>
    </row>
    <row r="32" spans="1:20" x14ac:dyDescent="0.2">
      <c r="A32" t="s">
        <v>11</v>
      </c>
      <c r="B32" s="1" t="s">
        <v>143</v>
      </c>
      <c r="C32" t="s">
        <v>144</v>
      </c>
      <c r="D32">
        <f>1+0.8+1</f>
        <v>2.8</v>
      </c>
      <c r="E32" t="s">
        <v>145</v>
      </c>
      <c r="G32" t="s">
        <v>64</v>
      </c>
      <c r="H32" t="s">
        <v>65</v>
      </c>
      <c r="I32">
        <v>4.33</v>
      </c>
      <c r="J32">
        <f t="shared" si="0"/>
        <v>8.0000000000000071E-2</v>
      </c>
      <c r="K32" s="5">
        <v>0.53200000000000003</v>
      </c>
      <c r="L32" s="5">
        <v>0.13400000000000001</v>
      </c>
      <c r="M32" t="str">
        <f t="shared" si="1"/>
        <v>x</v>
      </c>
      <c r="O32" t="s">
        <v>62</v>
      </c>
      <c r="P32" t="s">
        <v>183</v>
      </c>
      <c r="Q32">
        <v>4.32</v>
      </c>
      <c r="R32" s="5">
        <v>0.52900000000000003</v>
      </c>
      <c r="S32" s="5">
        <v>0.14399999999999999</v>
      </c>
      <c r="T32">
        <v>5.48</v>
      </c>
    </row>
    <row r="33" spans="1:20" x14ac:dyDescent="0.2">
      <c r="A33" t="s">
        <v>29</v>
      </c>
      <c r="B33" s="1" t="s">
        <v>146</v>
      </c>
      <c r="C33" t="s">
        <v>147</v>
      </c>
      <c r="D33">
        <f>1.5+1.5+1</f>
        <v>4</v>
      </c>
      <c r="E33">
        <f>D33+0.25*1800/123/2</f>
        <v>5.8292682926829267</v>
      </c>
      <c r="G33" t="s">
        <v>66</v>
      </c>
      <c r="H33" t="s">
        <v>67</v>
      </c>
      <c r="I33">
        <v>4.3499999999999996</v>
      </c>
      <c r="J33">
        <f t="shared" si="0"/>
        <v>-1.0000000000000675E-2</v>
      </c>
      <c r="K33" s="5">
        <v>0.52900000000000003</v>
      </c>
      <c r="L33" s="5">
        <v>0.13400000000000001</v>
      </c>
      <c r="M33">
        <f t="shared" si="1"/>
        <v>5.48</v>
      </c>
      <c r="O33" t="s">
        <v>66</v>
      </c>
      <c r="P33" t="s">
        <v>184</v>
      </c>
      <c r="Q33">
        <v>4.3600000000000003</v>
      </c>
      <c r="R33" s="5">
        <v>0.52500000000000002</v>
      </c>
      <c r="S33" s="5">
        <v>0.13400000000000001</v>
      </c>
      <c r="T33">
        <v>5.48</v>
      </c>
    </row>
    <row r="34" spans="1:20" x14ac:dyDescent="0.2">
      <c r="A34" t="s">
        <v>73</v>
      </c>
      <c r="B34" s="1" t="s">
        <v>148</v>
      </c>
      <c r="C34" t="s">
        <v>149</v>
      </c>
      <c r="D34">
        <v>2</v>
      </c>
      <c r="E34">
        <f>D34+4.2</f>
        <v>6.2</v>
      </c>
      <c r="G34" t="s">
        <v>68</v>
      </c>
      <c r="H34" t="s">
        <v>69</v>
      </c>
      <c r="I34">
        <v>4.3600000000000003</v>
      </c>
      <c r="J34">
        <f t="shared" si="0"/>
        <v>-9.9999999999997868E-3</v>
      </c>
      <c r="K34" s="5">
        <v>0.52700000000000002</v>
      </c>
      <c r="L34" s="5">
        <v>0.127</v>
      </c>
      <c r="M34">
        <f t="shared" si="1"/>
        <v>8.6999999999999993</v>
      </c>
      <c r="O34" t="s">
        <v>68</v>
      </c>
      <c r="P34" t="s">
        <v>185</v>
      </c>
      <c r="Q34">
        <v>4.37</v>
      </c>
      <c r="R34" s="5">
        <v>0.52500000000000002</v>
      </c>
      <c r="S34" s="5">
        <v>0.13100000000000001</v>
      </c>
      <c r="T34">
        <v>8.6999999999999993</v>
      </c>
    </row>
    <row r="35" spans="1:20" ht="18.75" customHeight="1" x14ac:dyDescent="0.2">
      <c r="A35" t="s">
        <v>150</v>
      </c>
      <c r="B35" s="1" t="s">
        <v>151</v>
      </c>
      <c r="C35" t="s">
        <v>152</v>
      </c>
      <c r="D35">
        <f>3.5+35/20*0.72</f>
        <v>4.76</v>
      </c>
      <c r="E35">
        <v>5.48</v>
      </c>
      <c r="G35" t="s">
        <v>70</v>
      </c>
      <c r="H35" t="s">
        <v>69</v>
      </c>
      <c r="I35">
        <v>4.37</v>
      </c>
      <c r="J35">
        <f t="shared" si="0"/>
        <v>0</v>
      </c>
      <c r="K35" s="5">
        <v>0.52400000000000002</v>
      </c>
      <c r="L35" s="5">
        <v>0.13100000000000001</v>
      </c>
      <c r="M35" t="str">
        <f t="shared" si="1"/>
        <v>x</v>
      </c>
      <c r="O35" t="s">
        <v>70</v>
      </c>
      <c r="P35" t="s">
        <v>186</v>
      </c>
      <c r="Q35">
        <v>4.37</v>
      </c>
      <c r="R35" s="5">
        <v>0.52300000000000002</v>
      </c>
      <c r="S35" s="6">
        <v>0.13</v>
      </c>
      <c r="T35" t="s">
        <v>190</v>
      </c>
    </row>
    <row r="36" spans="1:20" ht="18.75" customHeight="1" x14ac:dyDescent="0.2">
      <c r="A36" t="s">
        <v>153</v>
      </c>
      <c r="B36" s="3" t="s">
        <v>154</v>
      </c>
      <c r="D36">
        <f>5.5+1.5</f>
        <v>7</v>
      </c>
      <c r="E36">
        <f>D36</f>
        <v>7</v>
      </c>
      <c r="G36" t="s">
        <v>71</v>
      </c>
      <c r="H36" t="s">
        <v>72</v>
      </c>
      <c r="I36">
        <v>4.37</v>
      </c>
      <c r="J36">
        <f t="shared" si="0"/>
        <v>-1.9999999999999574E-2</v>
      </c>
      <c r="K36" s="5">
        <v>0.51800000000000002</v>
      </c>
      <c r="L36" s="6">
        <v>0.15</v>
      </c>
      <c r="M36">
        <f t="shared" si="1"/>
        <v>5.1999999999999993</v>
      </c>
      <c r="O36" t="s">
        <v>71</v>
      </c>
      <c r="P36" t="s">
        <v>170</v>
      </c>
      <c r="Q36">
        <v>4.3899999999999997</v>
      </c>
      <c r="R36" s="5">
        <v>0.51400000000000001</v>
      </c>
      <c r="S36" s="5">
        <v>0.152</v>
      </c>
      <c r="T36">
        <v>5.1999999999999993</v>
      </c>
    </row>
    <row r="37" spans="1:20" ht="18.75" customHeight="1" x14ac:dyDescent="0.2">
      <c r="A37" t="s">
        <v>155</v>
      </c>
      <c r="B37" s="1" t="s">
        <v>156</v>
      </c>
      <c r="C37" t="s">
        <v>152</v>
      </c>
      <c r="D37">
        <f>3.5+35/20*0.72</f>
        <v>4.76</v>
      </c>
      <c r="E37">
        <v>5.48</v>
      </c>
      <c r="G37" t="s">
        <v>73</v>
      </c>
      <c r="H37" t="s">
        <v>74</v>
      </c>
      <c r="I37">
        <v>4.4400000000000004</v>
      </c>
      <c r="J37">
        <f t="shared" si="0"/>
        <v>3.0000000000000249E-2</v>
      </c>
      <c r="K37" s="5">
        <v>0.51100000000000001</v>
      </c>
      <c r="L37" s="5">
        <v>0.125</v>
      </c>
      <c r="M37">
        <f t="shared" si="1"/>
        <v>6.2</v>
      </c>
      <c r="O37" t="s">
        <v>73</v>
      </c>
      <c r="P37" t="s">
        <v>187</v>
      </c>
      <c r="Q37">
        <v>4.41</v>
      </c>
      <c r="R37" s="5">
        <v>0.51900000000000002</v>
      </c>
      <c r="S37" s="5">
        <v>0.125</v>
      </c>
      <c r="T37">
        <v>6.2</v>
      </c>
    </row>
    <row r="38" spans="1:20" ht="18.75" customHeight="1" x14ac:dyDescent="0.2"/>
    <row r="39" spans="1:20" ht="18" x14ac:dyDescent="0.25">
      <c r="A39" s="7" t="s">
        <v>196</v>
      </c>
      <c r="B39" s="7"/>
      <c r="C39" s="8" t="s">
        <v>197</v>
      </c>
      <c r="D39" s="9" t="s">
        <v>205</v>
      </c>
      <c r="E39" s="9"/>
    </row>
    <row r="40" spans="1:20" x14ac:dyDescent="0.2">
      <c r="A40" s="7" t="s">
        <v>198</v>
      </c>
      <c r="B40" s="7"/>
      <c r="C40" s="8"/>
      <c r="D40" s="8" t="s">
        <v>206</v>
      </c>
      <c r="E40" s="8"/>
      <c r="F40" s="8"/>
      <c r="G40" s="8"/>
      <c r="H40" s="8"/>
      <c r="I40" s="8"/>
      <c r="J40" s="8"/>
      <c r="K40" s="8"/>
    </row>
    <row r="41" spans="1:20" x14ac:dyDescent="0.2">
      <c r="A41" s="7" t="s">
        <v>199</v>
      </c>
      <c r="B41" s="7"/>
      <c r="C41" s="8"/>
      <c r="D41" s="8"/>
      <c r="E41" s="8"/>
      <c r="F41" s="8"/>
      <c r="G41" s="8"/>
      <c r="H41" s="8"/>
      <c r="I41" s="8"/>
      <c r="J41" s="8"/>
      <c r="K41" s="8"/>
    </row>
    <row r="42" spans="1:20" x14ac:dyDescent="0.2">
      <c r="A42" s="7" t="s">
        <v>200</v>
      </c>
      <c r="B42" s="7"/>
      <c r="C42" s="8"/>
      <c r="D42" s="8"/>
      <c r="E42" s="8"/>
      <c r="F42" s="8"/>
      <c r="G42" s="8"/>
      <c r="H42" s="8"/>
      <c r="I42" s="8"/>
      <c r="J42" s="8"/>
      <c r="K42" s="8"/>
    </row>
    <row r="43" spans="1:20" x14ac:dyDescent="0.2">
      <c r="B43" s="1"/>
      <c r="C43" s="8"/>
      <c r="D43" s="8"/>
      <c r="E43" s="8"/>
      <c r="F43" s="8"/>
      <c r="G43" s="8"/>
      <c r="H43" s="8"/>
      <c r="I43" s="8"/>
      <c r="J43" s="8"/>
      <c r="K43" s="8"/>
    </row>
    <row r="44" spans="1:20" x14ac:dyDescent="0.2">
      <c r="A44" s="7" t="s">
        <v>201</v>
      </c>
      <c r="B44" s="7"/>
      <c r="C44" s="8"/>
      <c r="D44" s="8"/>
      <c r="E44" s="8"/>
      <c r="F44" s="8"/>
      <c r="G44" s="8"/>
      <c r="H44" s="8"/>
      <c r="I44" s="8"/>
      <c r="J44" s="8"/>
      <c r="K44" s="8"/>
    </row>
    <row r="45" spans="1:20" x14ac:dyDescent="0.2">
      <c r="B45" s="1"/>
      <c r="C45" s="8"/>
      <c r="D45" s="8"/>
      <c r="E45" s="8"/>
      <c r="F45" s="8"/>
      <c r="G45" s="8"/>
      <c r="H45" s="8"/>
      <c r="I45" s="8"/>
      <c r="J45" s="8"/>
      <c r="K45" s="8"/>
    </row>
    <row r="46" spans="1:20" x14ac:dyDescent="0.2">
      <c r="B46" s="1"/>
      <c r="C46" s="8"/>
      <c r="D46" s="8"/>
      <c r="E46" s="8"/>
      <c r="F46" s="8"/>
      <c r="G46" s="8"/>
      <c r="H46" s="8"/>
      <c r="I46" s="8"/>
      <c r="J46" s="8"/>
      <c r="K46" s="8"/>
    </row>
    <row r="47" spans="1:20" x14ac:dyDescent="0.2">
      <c r="B47" s="1"/>
      <c r="C47" s="8"/>
      <c r="D47" s="8"/>
      <c r="E47" s="8"/>
      <c r="F47" s="8"/>
      <c r="G47" s="8"/>
      <c r="H47" s="8"/>
      <c r="I47" s="8"/>
      <c r="J47" s="8"/>
      <c r="K47" s="8"/>
    </row>
    <row r="48" spans="1:20" x14ac:dyDescent="0.2">
      <c r="B48" s="1"/>
      <c r="C48" s="8"/>
      <c r="D48" s="8"/>
      <c r="E48" s="8"/>
      <c r="F48" s="8"/>
      <c r="G48" s="8"/>
      <c r="H48" s="8"/>
      <c r="I48" s="8"/>
      <c r="J48" s="8"/>
      <c r="K48" s="8"/>
    </row>
    <row r="49" spans="2:11" x14ac:dyDescent="0.2">
      <c r="B49" s="1"/>
      <c r="C49" s="8"/>
      <c r="D49" s="8"/>
      <c r="E49" s="8"/>
      <c r="F49" s="8"/>
      <c r="G49" s="8"/>
      <c r="H49" s="8"/>
      <c r="I49" s="8"/>
      <c r="J49" s="8"/>
      <c r="K49" s="8"/>
    </row>
    <row r="50" spans="2:11" x14ac:dyDescent="0.2">
      <c r="B50" s="1"/>
      <c r="C50" s="8"/>
      <c r="D50" s="8"/>
      <c r="E50" s="8"/>
      <c r="F50" s="8"/>
      <c r="G50" s="8"/>
      <c r="H50" s="8"/>
      <c r="I50" s="8"/>
      <c r="J50" s="8"/>
      <c r="K50" s="8"/>
    </row>
    <row r="51" spans="2:11" x14ac:dyDescent="0.2">
      <c r="B51" s="1"/>
      <c r="C51" s="8"/>
      <c r="D51" s="8"/>
      <c r="E51" s="8"/>
      <c r="F51" s="8"/>
      <c r="G51" s="8"/>
      <c r="H51" s="8"/>
      <c r="I51" s="8"/>
      <c r="J51" s="8"/>
      <c r="K51" s="8"/>
    </row>
    <row r="52" spans="2:11" x14ac:dyDescent="0.2">
      <c r="B52" s="1"/>
      <c r="C52" s="8"/>
      <c r="D52" s="8"/>
      <c r="E52" s="8"/>
      <c r="F52" s="8"/>
      <c r="G52" s="8"/>
      <c r="H52" s="8"/>
      <c r="I52" s="8"/>
      <c r="J52" s="8"/>
      <c r="K52" s="8"/>
    </row>
    <row r="53" spans="2:11" x14ac:dyDescent="0.2">
      <c r="B53" s="1"/>
      <c r="C53" s="8"/>
      <c r="D53" s="8"/>
      <c r="E53" s="8"/>
      <c r="F53" s="8"/>
      <c r="G53" s="8"/>
      <c r="H53" s="8"/>
      <c r="I53" s="8"/>
      <c r="J53" s="8"/>
      <c r="K53" s="8"/>
    </row>
    <row r="54" spans="2:11" x14ac:dyDescent="0.2">
      <c r="B54" s="1"/>
      <c r="C54" s="8"/>
      <c r="D54" s="8"/>
      <c r="E54" s="8"/>
      <c r="F54" s="8"/>
      <c r="G54" s="8"/>
      <c r="H54" s="8"/>
      <c r="I54" s="8"/>
      <c r="J54" s="8"/>
      <c r="K54" s="8"/>
    </row>
    <row r="55" spans="2:11" x14ac:dyDescent="0.2">
      <c r="B55" s="1"/>
      <c r="C55" s="8"/>
      <c r="D55" s="8"/>
      <c r="E55" s="8"/>
      <c r="F55" s="8"/>
      <c r="G55" s="8"/>
      <c r="H55" s="8"/>
      <c r="I55" s="8"/>
      <c r="J55" s="8"/>
      <c r="K55" s="8"/>
    </row>
    <row r="56" spans="2:11" x14ac:dyDescent="0.2">
      <c r="B56" s="1"/>
      <c r="C56" s="8"/>
      <c r="D56" s="8"/>
      <c r="E56" s="8"/>
      <c r="F56" s="8"/>
      <c r="G56" s="8"/>
      <c r="H56" s="8"/>
      <c r="I56" s="8"/>
      <c r="J56" s="8"/>
      <c r="K56" s="8"/>
    </row>
    <row r="57" spans="2:11" x14ac:dyDescent="0.2">
      <c r="B57" s="1"/>
      <c r="C57" s="8"/>
      <c r="D57" s="8"/>
      <c r="E57" s="8"/>
      <c r="F57" s="8"/>
      <c r="G57" s="8"/>
      <c r="H57" s="8"/>
      <c r="I57" s="8"/>
      <c r="J57" s="8"/>
      <c r="K57" s="8"/>
    </row>
    <row r="58" spans="2:11" x14ac:dyDescent="0.2">
      <c r="B58" s="1"/>
      <c r="C58" s="8"/>
      <c r="D58" s="8"/>
      <c r="E58" s="8"/>
      <c r="F58" s="8"/>
      <c r="G58" s="8"/>
      <c r="H58" s="8"/>
      <c r="I58" s="8"/>
      <c r="J58" s="8"/>
      <c r="K58" s="8"/>
    </row>
    <row r="59" spans="2:11" x14ac:dyDescent="0.2">
      <c r="B59" s="1"/>
      <c r="C59" s="8"/>
      <c r="D59" s="8"/>
      <c r="E59" s="8"/>
      <c r="F59" s="8"/>
      <c r="G59" s="8"/>
      <c r="H59" s="8"/>
      <c r="I59" s="8"/>
      <c r="J59" s="8"/>
      <c r="K59" s="8"/>
    </row>
    <row r="60" spans="2:11" x14ac:dyDescent="0.2">
      <c r="B60" s="1"/>
      <c r="C60" s="8"/>
      <c r="D60" s="8"/>
      <c r="E60" s="8"/>
      <c r="F60" s="8"/>
      <c r="G60" s="8"/>
      <c r="H60" s="8"/>
      <c r="I60" s="8"/>
      <c r="J60" s="8"/>
      <c r="K60" s="8"/>
    </row>
    <row r="61" spans="2:11" x14ac:dyDescent="0.2">
      <c r="B61" s="1"/>
      <c r="C61" s="8"/>
    </row>
    <row r="62" spans="2:11" x14ac:dyDescent="0.2">
      <c r="B62" s="1"/>
      <c r="C62" s="8"/>
    </row>
    <row r="63" spans="2:11" x14ac:dyDescent="0.2">
      <c r="B63" s="1"/>
      <c r="C63" s="8"/>
    </row>
    <row r="64" spans="2:11" x14ac:dyDescent="0.2">
      <c r="B64" s="1"/>
      <c r="C64" s="8"/>
    </row>
    <row r="65" spans="2:3" x14ac:dyDescent="0.2">
      <c r="B65" s="1"/>
      <c r="C65" s="8"/>
    </row>
    <row r="66" spans="2:3" x14ac:dyDescent="0.2">
      <c r="B66" s="1"/>
      <c r="C66" s="8"/>
    </row>
    <row r="67" spans="2:3" x14ac:dyDescent="0.2">
      <c r="B67" s="1"/>
      <c r="C67" s="8"/>
    </row>
    <row r="68" spans="2:3" x14ac:dyDescent="0.2">
      <c r="B68" s="1"/>
      <c r="C68" s="8"/>
    </row>
    <row r="69" spans="2:3" x14ac:dyDescent="0.2">
      <c r="B69" s="1"/>
      <c r="C69" s="8"/>
    </row>
    <row r="70" spans="2:3" x14ac:dyDescent="0.2">
      <c r="B70" s="1"/>
      <c r="C70" s="8"/>
    </row>
  </sheetData>
  <mergeCells count="8">
    <mergeCell ref="D40:K60"/>
    <mergeCell ref="D39:E39"/>
    <mergeCell ref="A39:B39"/>
    <mergeCell ref="C39:C70"/>
    <mergeCell ref="A40:B40"/>
    <mergeCell ref="A41:B41"/>
    <mergeCell ref="A42:B42"/>
    <mergeCell ref="A44:B4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OYXJ</dc:creator>
  <cp:lastModifiedBy>MP24149</cp:lastModifiedBy>
  <dcterms:created xsi:type="dcterms:W3CDTF">2015-06-05T18:19:34Z</dcterms:created>
  <dcterms:modified xsi:type="dcterms:W3CDTF">2025-07-07T14:46:44Z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851E2387-5493-48C3-8436-35A9352AB63F</vt:lpwstr>
  </property>
</Properties>
</file>