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AcestRegistruDeLucru" defaultThemeVersion="166925"/>
  <mc:AlternateContent xmlns:mc="http://schemas.openxmlformats.org/markup-compatibility/2006">
    <mc:Choice Requires="x15">
      <x15ac:absPath xmlns:x15ac="http://schemas.microsoft.com/office/spreadsheetml/2010/11/ac" url="C:\Users\ceL3_\Desktop\"/>
    </mc:Choice>
  </mc:AlternateContent>
  <xr:revisionPtr revIDLastSave="0" documentId="13_ncr:1_{E510A14E-93D7-4C5E-88D8-0C2BE3BCF691}" xr6:coauthVersionLast="45" xr6:coauthVersionMax="45" xr10:uidLastSave="{00000000-0000-0000-0000-000000000000}"/>
  <bookViews>
    <workbookView xWindow="-96" yWindow="-96" windowWidth="23232" windowHeight="13992" activeTab="1" xr2:uid="{451E6AD6-B610-4ED0-89BF-23745A412DE4}"/>
  </bookViews>
  <sheets>
    <sheet name="Interfata" sheetId="4" r:id="rId1"/>
    <sheet name="MailMerge" sheetId="11" r:id="rId2"/>
    <sheet name="Deviz - Oferta" sheetId="9" r:id="rId3"/>
    <sheet name="Preturi" sheetId="6" r:id="rId4"/>
    <sheet name="Dropuri" sheetId="1" r:id="rId5"/>
    <sheet name="Txt" sheetId="10" r:id="rId6"/>
  </sheets>
  <definedNames>
    <definedName name="DateExterne_1" localSheetId="0" hidden="1">Interfata!$O$4:$Q$6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J14" i="9" s="1"/>
  <c r="F10" i="6"/>
  <c r="G10" i="6"/>
  <c r="H10" i="6"/>
  <c r="F4" i="6"/>
  <c r="G4" i="6"/>
  <c r="H4" i="6"/>
  <c r="F5" i="6"/>
  <c r="G5" i="6"/>
  <c r="H5" i="6"/>
  <c r="B4" i="6"/>
  <c r="F6" i="4"/>
  <c r="F9" i="6"/>
  <c r="G9" i="6"/>
  <c r="H9" i="6"/>
  <c r="F9" i="4"/>
  <c r="E9" i="4"/>
  <c r="I15" i="9" s="1"/>
  <c r="F10" i="4"/>
  <c r="E10" i="4"/>
  <c r="I19" i="9" s="1"/>
  <c r="E5" i="4"/>
  <c r="E6" i="4"/>
  <c r="I13" i="9" s="1"/>
  <c r="F7" i="4"/>
  <c r="E7" i="4"/>
  <c r="I16" i="9" s="1"/>
  <c r="F8" i="6"/>
  <c r="G8" i="6"/>
  <c r="H8" i="6"/>
  <c r="F8" i="4"/>
  <c r="E8" i="4"/>
  <c r="I28" i="4" s="1"/>
  <c r="F11" i="4"/>
  <c r="J20" i="9" s="1"/>
  <c r="F7" i="6"/>
  <c r="G7" i="6"/>
  <c r="H7" i="6"/>
  <c r="G12" i="4"/>
  <c r="K21" i="9" s="1"/>
  <c r="J14" i="10"/>
  <c r="J12" i="10"/>
  <c r="H14" i="10"/>
  <c r="H12" i="10"/>
  <c r="M11" i="10"/>
  <c r="L11" i="10" s="1"/>
  <c r="B30" i="9" s="1"/>
  <c r="E12" i="4"/>
  <c r="I21" i="9" s="1"/>
  <c r="F12" i="4"/>
  <c r="J21" i="9" s="1"/>
  <c r="M11" i="4"/>
  <c r="K3" i="6"/>
  <c r="L3" i="6"/>
  <c r="E11" i="4"/>
  <c r="P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B4" i="9"/>
  <c r="B3" i="9"/>
  <c r="A8" i="9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20" i="4"/>
  <c r="J24" i="4"/>
  <c r="L12" i="10" s="1"/>
  <c r="B3" i="10"/>
  <c r="C3" i="10"/>
  <c r="C4" i="10" s="1"/>
  <c r="D3" i="10"/>
  <c r="D4" i="10" s="1"/>
  <c r="E3" i="10"/>
  <c r="E4" i="10" s="1"/>
  <c r="F3" i="10"/>
  <c r="F4" i="10" s="1"/>
  <c r="B7" i="10"/>
  <c r="B8" i="10" s="1"/>
  <c r="C7" i="10"/>
  <c r="C8" i="10" s="1"/>
  <c r="D7" i="10"/>
  <c r="D8" i="10" s="1"/>
  <c r="E7" i="10"/>
  <c r="E8" i="10" s="1"/>
  <c r="F7" i="10"/>
  <c r="F8" i="10" s="1"/>
  <c r="D12" i="4"/>
  <c r="D11" i="4"/>
  <c r="D9" i="4"/>
  <c r="H15" i="9" s="1"/>
  <c r="D8" i="4"/>
  <c r="D7" i="4"/>
  <c r="H16" i="9" s="1"/>
  <c r="D6" i="4"/>
  <c r="H13" i="9" s="1"/>
  <c r="D5" i="4"/>
  <c r="H14" i="9" s="1"/>
  <c r="B21" i="9"/>
  <c r="B20" i="9"/>
  <c r="C10" i="4"/>
  <c r="B19" i="9"/>
  <c r="B16" i="9"/>
  <c r="B15" i="9"/>
  <c r="B14" i="9"/>
  <c r="B13" i="9"/>
  <c r="B12" i="9"/>
  <c r="I20" i="9"/>
  <c r="H21" i="9"/>
  <c r="H20" i="9"/>
  <c r="D10" i="4"/>
  <c r="H19" i="9"/>
  <c r="H12" i="9"/>
  <c r="C21" i="9"/>
  <c r="C20" i="9"/>
  <c r="C19" i="9"/>
  <c r="C16" i="9"/>
  <c r="C15" i="9"/>
  <c r="C14" i="9"/>
  <c r="C13" i="9"/>
  <c r="C12" i="9"/>
  <c r="A7" i="9"/>
  <c r="H6" i="6"/>
  <c r="H3" i="6"/>
  <c r="G6" i="6"/>
  <c r="G3" i="6"/>
  <c r="F6" i="6"/>
  <c r="F3" i="6"/>
  <c r="C9" i="6"/>
  <c r="C8" i="6"/>
  <c r="C7" i="6"/>
  <c r="C6" i="6"/>
  <c r="C5" i="6"/>
  <c r="C3" i="6"/>
  <c r="B9" i="6"/>
  <c r="B8" i="6"/>
  <c r="B7" i="6"/>
  <c r="B6" i="6"/>
  <c r="B5" i="6"/>
  <c r="B3" i="6"/>
  <c r="C13" i="4"/>
  <c r="B14" i="4"/>
  <c r="B13" i="4"/>
  <c r="B12" i="4"/>
  <c r="B11" i="4"/>
  <c r="B10" i="4"/>
  <c r="B9" i="4"/>
  <c r="B8" i="4"/>
  <c r="B7" i="4"/>
  <c r="B6" i="4"/>
  <c r="B5" i="4"/>
  <c r="G5" i="4" l="1"/>
  <c r="I14" i="9"/>
  <c r="G10" i="4"/>
  <c r="K19" i="9" s="1"/>
  <c r="G6" i="4"/>
  <c r="K13" i="9" s="1"/>
  <c r="G11" i="4"/>
  <c r="K20" i="9" s="1"/>
  <c r="J19" i="9"/>
  <c r="H16" i="10"/>
  <c r="B33" i="9" s="1"/>
  <c r="G7" i="4"/>
  <c r="K16" i="9" s="1"/>
  <c r="G9" i="4"/>
  <c r="I12" i="9"/>
  <c r="I24" i="4"/>
  <c r="G8" i="4"/>
  <c r="K12" i="9" s="1"/>
  <c r="J15" i="9"/>
  <c r="B4" i="10"/>
  <c r="J12" i="9"/>
  <c r="C4" i="6"/>
  <c r="J16" i="10"/>
  <c r="J16" i="9"/>
  <c r="L10" i="10"/>
  <c r="B29" i="9" s="1"/>
  <c r="J13" i="9"/>
  <c r="K24" i="9" l="1"/>
  <c r="K15" i="9"/>
  <c r="G16" i="4"/>
  <c r="K14" i="9"/>
  <c r="K23" i="9" l="1"/>
  <c r="K25" i="9" s="1"/>
  <c r="L24" i="4"/>
  <c r="M24" i="4" s="1"/>
  <c r="M28" i="4" s="1"/>
  <c r="L28" i="4" s="1"/>
  <c r="C33" i="4"/>
  <c r="K24" i="4"/>
  <c r="K25" i="4" s="1"/>
  <c r="C35" i="4" l="1"/>
  <c r="Q3" i="11" s="1"/>
  <c r="O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iBijoux</author>
  </authors>
  <commentList>
    <comment ref="I16" authorId="0" shapeId="0" xr:uid="{7FE9CE6C-352E-4DBF-8EED-783FEC462462}">
      <text>
        <r>
          <rPr>
            <b/>
            <sz val="9"/>
            <color indexed="81"/>
            <rFont val="Segoe UI"/>
            <family val="2"/>
          </rPr>
          <t>iBijoux:</t>
        </r>
        <r>
          <rPr>
            <sz val="9"/>
            <color indexed="81"/>
            <rFont val="Segoe UI"/>
            <family val="2"/>
          </rPr>
          <t xml:space="preserve">
Pierderi</t>
        </r>
      </text>
    </comment>
    <comment ref="J16" authorId="0" shapeId="0" xr:uid="{CE41EC62-6718-4AC3-9D6F-05273E181544}">
      <text>
        <r>
          <rPr>
            <b/>
            <sz val="9"/>
            <color indexed="81"/>
            <rFont val="Segoe UI"/>
            <family val="2"/>
          </rPr>
          <t>iBijoux:</t>
        </r>
        <r>
          <rPr>
            <sz val="9"/>
            <color indexed="81"/>
            <rFont val="Segoe UI"/>
            <family val="2"/>
          </rPr>
          <t xml:space="preserve">
Pierderi</t>
        </r>
      </text>
    </comment>
    <comment ref="K16" authorId="0" shapeId="0" xr:uid="{AF66BA85-12C2-48AB-A1E1-A3D117EE3D4E}">
      <text>
        <r>
          <rPr>
            <b/>
            <sz val="9"/>
            <color indexed="81"/>
            <rFont val="Segoe UI"/>
            <family val="2"/>
          </rPr>
          <t>iBijoux:</t>
        </r>
        <r>
          <rPr>
            <sz val="9"/>
            <color indexed="81"/>
            <rFont val="Segoe UI"/>
            <family val="2"/>
          </rPr>
          <t xml:space="preserve">
1 rola la 100 mp</t>
        </r>
      </text>
    </comment>
    <comment ref="L16" authorId="0" shapeId="0" xr:uid="{7A9C7BCD-E10B-4430-B0AB-B9B0EAC2A904}">
      <text>
        <r>
          <rPr>
            <b/>
            <sz val="9"/>
            <color indexed="81"/>
            <rFont val="Segoe UI"/>
            <family val="2"/>
          </rPr>
          <t>iBijoux:</t>
        </r>
        <r>
          <rPr>
            <sz val="9"/>
            <color indexed="81"/>
            <rFont val="Segoe UI"/>
            <family val="2"/>
          </rPr>
          <t xml:space="preserve">
1 cutie la 500 mp</t>
        </r>
      </text>
    </comment>
    <comment ref="M16" authorId="0" shapeId="0" xr:uid="{9600CEAF-186C-45CB-B18C-6FE7DF899ADD}">
      <text>
        <r>
          <rPr>
            <b/>
            <sz val="9"/>
            <color indexed="81"/>
            <rFont val="Segoe UI"/>
            <family val="2"/>
          </rPr>
          <t>iBijoux:</t>
        </r>
        <r>
          <rPr>
            <sz val="9"/>
            <color indexed="81"/>
            <rFont val="Segoe UI"/>
            <family val="2"/>
          </rPr>
          <t xml:space="preserve">
1 rola la 42 mp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6F3793-7008-46E0-B11D-3DC798111E18}" keepAlive="1" name="Interogare - Curs BNR" description="Conexiune la interogarea „Curs BNR” din registrul de lucru." type="5" refreshedVersion="6" background="1" refreshOnLoad="1" saveData="1">
    <dbPr connection="Provider=Microsoft.Mashup.OleDb.1;Data Source=$Workbook$;Location=Curs BNR;Extended Properties=&quot;&quot;" command="SELECT * FROM [Curs BNR]"/>
  </connection>
</connections>
</file>

<file path=xl/sharedStrings.xml><?xml version="1.0" encoding="utf-8"?>
<sst xmlns="http://schemas.openxmlformats.org/spreadsheetml/2006/main" count="217" uniqueCount="146">
  <si>
    <t>MP</t>
  </si>
  <si>
    <t>Densitate (kg/mc)</t>
  </si>
  <si>
    <t>Grosime (cm)</t>
  </si>
  <si>
    <t>Lucrari adiacente</t>
  </si>
  <si>
    <t>Capse</t>
  </si>
  <si>
    <t>Celuloza</t>
  </si>
  <si>
    <t>Transport</t>
  </si>
  <si>
    <t>Manopera</t>
  </si>
  <si>
    <t>Reduceri</t>
  </si>
  <si>
    <t>Carotare</t>
  </si>
  <si>
    <t>Bariera de vapori Clima Activ Plus</t>
  </si>
  <si>
    <t>Banda adeziva AIRSTOP Elasto 50 mm</t>
  </si>
  <si>
    <t>Banda adeziva PE1600MM</t>
  </si>
  <si>
    <t>OFERTĂ TEHNICĂ ȘI FINANCIARĂ</t>
  </si>
  <si>
    <t>Capse TIP 80/10</t>
  </si>
  <si>
    <t>Fibre de celuloza ISOGREEN FCH 100</t>
  </si>
  <si>
    <t>Prestari servicii livrare</t>
  </si>
  <si>
    <t>Discount</t>
  </si>
  <si>
    <t>Da</t>
  </si>
  <si>
    <t>Bariera de vapori multistrat Knaufinsulation LDS 35</t>
  </si>
  <si>
    <t>Banda de etansare Knaufinsulation LDS-1 60 mm</t>
  </si>
  <si>
    <t>Nu</t>
  </si>
  <si>
    <t>UM</t>
  </si>
  <si>
    <t>rola</t>
  </si>
  <si>
    <t>ML</t>
  </si>
  <si>
    <t>cutie</t>
  </si>
  <si>
    <t>kg</t>
  </si>
  <si>
    <t>mp</t>
  </si>
  <si>
    <t>buc</t>
  </si>
  <si>
    <t>kg/mc</t>
  </si>
  <si>
    <t>Densitate</t>
  </si>
  <si>
    <t>cm</t>
  </si>
  <si>
    <t>Grosime</t>
  </si>
  <si>
    <t>Materiale si Servicii</t>
  </si>
  <si>
    <t>Denumire</t>
  </si>
  <si>
    <t>U.M.</t>
  </si>
  <si>
    <t>Cantitate</t>
  </si>
  <si>
    <t>Pret unitar</t>
  </si>
  <si>
    <t>Total</t>
  </si>
  <si>
    <t>Suprafata (mp)</t>
  </si>
  <si>
    <t>Deplasare (km)</t>
  </si>
  <si>
    <t>Folie</t>
  </si>
  <si>
    <t>Pret km (lei)</t>
  </si>
  <si>
    <t>Nr. de muncitori</t>
  </si>
  <si>
    <t>Cost/muncitor</t>
  </si>
  <si>
    <t>Nr. zile lucrare</t>
  </si>
  <si>
    <t>Contributii</t>
  </si>
  <si>
    <t>Folie %</t>
  </si>
  <si>
    <t>Banda %</t>
  </si>
  <si>
    <t>Petece</t>
  </si>
  <si>
    <t>Banda de imbinare</t>
  </si>
  <si>
    <t>Manopera (mp)</t>
  </si>
  <si>
    <t>Banda</t>
  </si>
  <si>
    <t>Nume firma</t>
  </si>
  <si>
    <t>J</t>
  </si>
  <si>
    <t>CUI</t>
  </si>
  <si>
    <t>Email</t>
  </si>
  <si>
    <t>Telefon</t>
  </si>
  <si>
    <t>Cont bancar</t>
  </si>
  <si>
    <t>Banca</t>
  </si>
  <si>
    <t>Functie</t>
  </si>
  <si>
    <t>Pret</t>
  </si>
  <si>
    <t>Avans</t>
  </si>
  <si>
    <t>Rest de plata</t>
  </si>
  <si>
    <t>Denumire materiale receptionate</t>
  </si>
  <si>
    <t>U.M</t>
  </si>
  <si>
    <t>Pret unitar fara TVA</t>
  </si>
  <si>
    <t>Valoare</t>
  </si>
  <si>
    <t>Valoare cu TVA</t>
  </si>
  <si>
    <t>Pret unitar cu TVA</t>
  </si>
  <si>
    <t>Nr.</t>
  </si>
  <si>
    <t>Materiale</t>
  </si>
  <si>
    <t>Prestari servicii montaj</t>
  </si>
  <si>
    <t>Total materiale</t>
  </si>
  <si>
    <t>Total prestari servicii montaj</t>
  </si>
  <si>
    <t>Total general izolatie</t>
  </si>
  <si>
    <t>- se monteaza bariera de vapori multistrat cu prindere pe capriori in capse de dulgherie 10 mm
- se injecteaza celuloza ISOGREEN FCH100 cu densitatea mentionata in oferta
- se etanseaza perforatiile cu banda flexibila</t>
  </si>
  <si>
    <t>- se caroteaza structura in vederea crearii gurilor de injectare
- se injecteaza celuloza ISOGREEN FCH100 cu densitatea mentionata in oferta
- se etanseaza perforatiile cu banda flexibila</t>
  </si>
  <si>
    <t>- se monteaza bariera de vapori multistrat cu prindere pe capriori in capse de dulgherie 10 mm
- se caroteaza structura in vederea crearii gurilor de injectare
- se injecteaza celuloza ISOGREEN FCH100 cu densitatea mentionata in oferta
- se etanseaza perforatiile cu banda flexibila</t>
  </si>
  <si>
    <t>var 1 o</t>
  </si>
  <si>
    <t>var 2 o</t>
  </si>
  <si>
    <t>var 3 o</t>
  </si>
  <si>
    <t>var 4 o</t>
  </si>
  <si>
    <t>var 5 o</t>
  </si>
  <si>
    <t>var 1 d</t>
  </si>
  <si>
    <t>var 2 d</t>
  </si>
  <si>
    <t>var 3 d</t>
  </si>
  <si>
    <t>var 4 d</t>
  </si>
  <si>
    <t>var 5 d</t>
  </si>
  <si>
    <t>- s-a montat bariera de vapori multistrat cu prindere pe capriori in capse de dulgherie 10 mm
- s-a injectat celuloza ISOGREEN FCH100 cu densitatea mentionata in oferta
- s-au etansat perforatiile cu banda flexibila</t>
  </si>
  <si>
    <t>- s-a carotat structura in vederea crearii gurilor de injectare
- s-a injectat celuloza ISOGREEN FCH100 cu densitatea mentionata in oferta
- s-au etansat perforatiile cu banda flexibila</t>
  </si>
  <si>
    <t>- s-a montat bariera de vapori multistrat cu prindere pe capriori in capse de dulgherie 10 mm
- s-a carotat structura in vederea crearii gurilor de injectare
- s-a injectat celuloza ISOGREEN FCH100 cu densitatea mentionata in oferta
- s-au etansat perforatiile cu banda flexibila</t>
  </si>
  <si>
    <t>nr. de saci</t>
  </si>
  <si>
    <t>mc material</t>
  </si>
  <si>
    <t>pret mp</t>
  </si>
  <si>
    <t>TOTAL</t>
  </si>
  <si>
    <t>total cheltuieli</t>
  </si>
  <si>
    <t>Total cost muncitori</t>
  </si>
  <si>
    <t>impozit</t>
  </si>
  <si>
    <t>pret intare</t>
  </si>
  <si>
    <t>pret iesire</t>
  </si>
  <si>
    <t>diferenta</t>
  </si>
  <si>
    <t>profit final</t>
  </si>
  <si>
    <t>profit celuloza</t>
  </si>
  <si>
    <t>Nota:</t>
  </si>
  <si>
    <t>conditie</t>
  </si>
  <si>
    <t>Etape de executie:</t>
  </si>
  <si>
    <t>Administrator,</t>
  </si>
  <si>
    <t>Florin Nicolae VASILE</t>
  </si>
  <si>
    <t>SC ECO THERM SOLUTIONS SRL
Prelungirea Bucuresti, Nr. 156, Calarasi, Jud. CALARASI
+40 767 788 610
office@izolatieceluloza.ro, www.izolatieceluloza.ro, facebook: Isogreen Romania</t>
  </si>
  <si>
    <t>Moneda</t>
  </si>
  <si>
    <t>Data</t>
  </si>
  <si>
    <t>Curs</t>
  </si>
  <si>
    <t>EUR</t>
  </si>
  <si>
    <t>Nume</t>
  </si>
  <si>
    <t>Adresa lucare</t>
  </si>
  <si>
    <t>Adresa sediu</t>
  </si>
  <si>
    <t>Contract de prestari servicii - Firma</t>
  </si>
  <si>
    <t>Contract de prestari servicii - PF</t>
  </si>
  <si>
    <t>Pv de receptie - Firma</t>
  </si>
  <si>
    <t>Pv de receptie - PF</t>
  </si>
  <si>
    <t>Oferta - Deviz</t>
  </si>
  <si>
    <t>Adiacente (ml)</t>
  </si>
  <si>
    <t>Manopera (ml)</t>
  </si>
  <si>
    <t>ml</t>
  </si>
  <si>
    <t>procent profit</t>
  </si>
  <si>
    <t>DEVIZ LUCRARI DE TERMOIZOLAȚIE</t>
  </si>
  <si>
    <t>Numarul</t>
  </si>
  <si>
    <t>Administrator</t>
  </si>
  <si>
    <t>Buftea - Ilfov</t>
  </si>
  <si>
    <t>LEGO-FUNGHI GRUP SRL</t>
  </si>
  <si>
    <t>J23/1289/2010</t>
  </si>
  <si>
    <t>RO76 BTRL  0430 1202 C425 07XX</t>
  </si>
  <si>
    <t>RO26858041</t>
  </si>
  <si>
    <t>Transilvania</t>
  </si>
  <si>
    <t>Livrare material</t>
  </si>
  <si>
    <t>Manopera inchidere perimetral</t>
  </si>
  <si>
    <t>Manopera montaj sistem termoizolatie cu celuloza</t>
  </si>
  <si>
    <t>Bariera de vapori activa Knaufinsulation Homeseal LDS 5</t>
  </si>
  <si>
    <t>22.07.2020</t>
  </si>
  <si>
    <t>ECOTS-O 115</t>
  </si>
  <si>
    <t>GEORGE ILIE</t>
  </si>
  <si>
    <t>0726301871</t>
  </si>
  <si>
    <t>geoalbi@yahoo.com</t>
  </si>
  <si>
    <t>4.8729</t>
  </si>
  <si>
    <t>4.8730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</si>
</sst>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\ [$lei-418]_-;\-* #,##0.00\ [$lei-418]_-;_-* &quot;-&quot;??\ [$lei-418]_-;_-@_-"/>
    <numFmt numFmtId="165" formatCode="_([$€-2]\ * #,##0.00_);_([$€-2]\ * \(#,##0.00\);_([$€-2]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2"/>
    <xf numFmtId="0" fontId="3" fillId="0" borderId="0" xfId="2" applyAlignment="1">
      <alignment horizontal="left" vertical="center"/>
    </xf>
    <xf numFmtId="0" fontId="3" fillId="0" borderId="0" xfId="2" applyAlignment="1">
      <alignment vertical="center"/>
    </xf>
    <xf numFmtId="0" fontId="3" fillId="0" borderId="0" xfId="2" applyAlignment="1"/>
    <xf numFmtId="0" fontId="0" fillId="0" borderId="0" xfId="0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/>
    </xf>
    <xf numFmtId="0" fontId="5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2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8" fillId="0" borderId="0" xfId="0" applyFont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2" fontId="0" fillId="0" borderId="0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6" xfId="0" applyNumberFormat="1" applyBorder="1"/>
    <xf numFmtId="164" fontId="0" fillId="0" borderId="7" xfId="0" applyNumberFormat="1" applyBorder="1"/>
    <xf numFmtId="2" fontId="0" fillId="0" borderId="8" xfId="0" applyNumberFormat="1" applyBorder="1"/>
    <xf numFmtId="164" fontId="0" fillId="0" borderId="1" xfId="0" applyNumberFormat="1" applyBorder="1"/>
    <xf numFmtId="164" fontId="0" fillId="0" borderId="10" xfId="0" applyNumberFormat="1" applyBorder="1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" xfId="0" applyNumberFormat="1" applyBorder="1"/>
    <xf numFmtId="0" fontId="0" fillId="0" borderId="9" xfId="0" applyBorder="1" applyAlignment="1">
      <alignment horizontal="center" vertical="center"/>
    </xf>
    <xf numFmtId="164" fontId="2" fillId="0" borderId="2" xfId="0" applyNumberFormat="1" applyFont="1" applyBorder="1"/>
    <xf numFmtId="164" fontId="2" fillId="0" borderId="5" xfId="0" applyNumberFormat="1" applyFont="1" applyBorder="1"/>
    <xf numFmtId="0" fontId="2" fillId="0" borderId="8" xfId="0" applyFont="1" applyBorder="1"/>
    <xf numFmtId="164" fontId="2" fillId="0" borderId="1" xfId="0" applyNumberFormat="1" applyFont="1" applyBorder="1"/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2" applyFont="1" applyFill="1" applyAlignment="1">
      <alignment horizontal="center" vertical="center"/>
    </xf>
    <xf numFmtId="164" fontId="0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center" vertical="center"/>
    </xf>
    <xf numFmtId="0" fontId="9" fillId="0" borderId="0" xfId="0" applyFont="1"/>
    <xf numFmtId="164" fontId="9" fillId="0" borderId="0" xfId="0" applyNumberFormat="1" applyFont="1"/>
    <xf numFmtId="9" fontId="9" fillId="0" borderId="0" xfId="1" applyNumberFormat="1" applyFont="1"/>
    <xf numFmtId="9" fontId="9" fillId="0" borderId="0" xfId="1" applyFont="1"/>
    <xf numFmtId="164" fontId="0" fillId="0" borderId="0" xfId="0" applyNumberFormat="1" applyAlignment="1">
      <alignment horizontal="right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  <xf numFmtId="10" fontId="0" fillId="0" borderId="0" xfId="1" applyNumberFormat="1" applyFont="1"/>
    <xf numFmtId="0" fontId="0" fillId="2" borderId="0" xfId="0" applyFill="1" applyBorder="1"/>
    <xf numFmtId="164" fontId="0" fillId="2" borderId="0" xfId="0" applyNumberFormat="1" applyFill="1" applyBorder="1"/>
    <xf numFmtId="0" fontId="0" fillId="0" borderId="0" xfId="0" applyBorder="1"/>
    <xf numFmtId="165" fontId="0" fillId="2" borderId="0" xfId="0" applyNumberFormat="1" applyFill="1" applyBorder="1"/>
    <xf numFmtId="164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2" fontId="0" fillId="2" borderId="0" xfId="0" applyNumberFormat="1" applyFill="1" applyBorder="1"/>
    <xf numFmtId="10" fontId="0" fillId="2" borderId="0" xfId="1" applyNumberFormat="1" applyFont="1" applyFill="1" applyBorder="1"/>
    <xf numFmtId="0" fontId="0" fillId="2" borderId="0" xfId="0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10" fillId="0" borderId="0" xfId="5" applyAlignment="1">
      <alignment horizontal="right"/>
    </xf>
    <xf numFmtId="0" fontId="0" fillId="0" borderId="0" xfId="0" applyAlignment="1">
      <alignment horizontal="center"/>
    </xf>
    <xf numFmtId="0" fontId="3" fillId="0" borderId="0" xfId="2" applyFill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6">
    <cellStyle name="Hyperlink" xfId="5" builtinId="8"/>
    <cellStyle name="Hyperlink 2" xfId="3" xr:uid="{B58D8641-D8DA-4CD2-A0AF-134AB5D4B9A4}"/>
    <cellStyle name="Normal" xfId="0" builtinId="0"/>
    <cellStyle name="Normal 2" xfId="2" xr:uid="{91E01188-3317-42D1-ADA1-B9FF0038242A}"/>
    <cellStyle name="Percent" xfId="1" builtinId="5"/>
    <cellStyle name="Virgulă 2" xfId="4" xr:uid="{75E15358-42F6-46AB-8E20-E95530CE56E3}"/>
  </cellStyles>
  <dxfs count="1">
    <dxf>
      <numFmt numFmtId="19" formatCode="m/d/yyyy"/>
    </dxf>
  </dxfs>
  <tableStyles count="0" defaultTableStyle="TableStyleMedium2" defaultPivotStyle="PivotStyleLight16"/>
  <colors>
    <mruColors>
      <color rgb="FFEF31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41</xdr:row>
      <xdr:rowOff>85725</xdr:rowOff>
    </xdr:from>
    <xdr:to>
      <xdr:col>10</xdr:col>
      <xdr:colOff>685800</xdr:colOff>
      <xdr:row>50</xdr:row>
      <xdr:rowOff>52387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C90398B6-DC37-4BF2-8D76-5FFE4D99A97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2988" y="7586663"/>
          <a:ext cx="1771650" cy="1595437"/>
        </a:xfrm>
        <a:prstGeom prst="rect">
          <a:avLst/>
        </a:prstGeom>
      </xdr:spPr>
    </xdr:pic>
    <xdr:clientData/>
  </xdr:twoCellAnchor>
  <xdr:twoCellAnchor editAs="oneCell">
    <xdr:from>
      <xdr:col>9</xdr:col>
      <xdr:colOff>51367</xdr:colOff>
      <xdr:row>0</xdr:row>
      <xdr:rowOff>71439</xdr:rowOff>
    </xdr:from>
    <xdr:to>
      <xdr:col>10</xdr:col>
      <xdr:colOff>872478</xdr:colOff>
      <xdr:row>3</xdr:row>
      <xdr:rowOff>19050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195F3663-35F1-45BC-BE17-C9B288305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2955" y="71439"/>
          <a:ext cx="1678361" cy="490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refreshOnLoad="1" connectionId="1" xr16:uid="{47B4EDB5-6729-4BD9-B7DB-B8D34EE850E5}" autoFormatId="16" applyNumberFormats="0" applyBorderFormats="0" applyFontFormats="0" applyPatternFormats="0" applyAlignmentFormats="0" applyWidthHeightFormats="0">
  <queryTableRefresh nextId="4">
    <queryTableFields count="3">
      <queryTableField id="1" name="Moneda" tableColumnId="1"/>
      <queryTableField id="2" name="Data" tableColumnId="2"/>
      <queryTableField id="3" name="Cur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BDA51C-DA27-4E2B-A951-C0679330C0E0}" name="Curs_BNR" displayName="Curs_BNR" ref="O4:Q6" tableType="queryTable" totalsRowShown="0">
  <autoFilter ref="O4:Q6" xr:uid="{1605FC48-D2FD-4CA2-B0C1-2159CCEB7E2B}"/>
  <tableColumns count="3">
    <tableColumn id="1" xr3:uid="{D6737338-A2A1-433D-88DB-807822105974}" uniqueName="1" name="Moneda" queryTableFieldId="1"/>
    <tableColumn id="2" xr3:uid="{69A7BBCB-2413-4ECB-A66C-48E4CEE8E407}" uniqueName="2" name="Data" queryTableFieldId="2" dataDxfId="0"/>
    <tableColumn id="3" xr3:uid="{E3250A4A-26E9-4B7B-9C92-E55D38C77C15}" uniqueName="3" name="Cur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oalbi@yahoo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67C8-A789-42BE-BA7C-190E24116671}">
  <sheetPr codeName="Foaie1"/>
  <dimension ref="B2:Q35"/>
  <sheetViews>
    <sheetView showZeros="0" workbookViewId="0">
      <selection activeCell="C34" sqref="C34"/>
    </sheetView>
  </sheetViews>
  <sheetFormatPr defaultRowHeight="14.4" x14ac:dyDescent="0.55000000000000004"/>
  <cols>
    <col min="1" max="1" width="2.68359375" customWidth="1"/>
    <col min="2" max="2" width="23.5234375" customWidth="1"/>
    <col min="3" max="3" width="46.83984375" customWidth="1"/>
    <col min="5" max="5" width="9.5234375" bestFit="1" customWidth="1"/>
    <col min="6" max="7" width="12.68359375" customWidth="1"/>
    <col min="8" max="8" width="2.68359375" customWidth="1"/>
    <col min="9" max="9" width="15.3125" bestFit="1" customWidth="1"/>
    <col min="10" max="10" width="12.47265625" bestFit="1" customWidth="1"/>
    <col min="11" max="11" width="13.3125" bestFit="1" customWidth="1"/>
    <col min="12" max="12" width="13.5234375" bestFit="1" customWidth="1"/>
    <col min="13" max="13" width="17.05078125" bestFit="1" customWidth="1"/>
    <col min="15" max="15" width="11.89453125" bestFit="1" customWidth="1"/>
    <col min="16" max="16" width="10.15625" bestFit="1" customWidth="1"/>
    <col min="17" max="17" width="6.47265625" bestFit="1" customWidth="1"/>
  </cols>
  <sheetData>
    <row r="2" spans="2:17" x14ac:dyDescent="0.55000000000000004">
      <c r="B2" s="61"/>
      <c r="C2" s="68" t="s">
        <v>13</v>
      </c>
    </row>
    <row r="4" spans="2:17" x14ac:dyDescent="0.55000000000000004">
      <c r="B4" s="6" t="s">
        <v>33</v>
      </c>
      <c r="C4" s="6" t="s">
        <v>34</v>
      </c>
      <c r="D4" s="6" t="s">
        <v>35</v>
      </c>
      <c r="E4" s="6" t="s">
        <v>36</v>
      </c>
      <c r="F4" s="8" t="s">
        <v>37</v>
      </c>
      <c r="G4" s="6" t="s">
        <v>38</v>
      </c>
      <c r="I4" s="6" t="s">
        <v>1</v>
      </c>
      <c r="J4" s="6" t="s">
        <v>2</v>
      </c>
      <c r="K4" s="6" t="s">
        <v>39</v>
      </c>
      <c r="L4" s="6" t="s">
        <v>51</v>
      </c>
      <c r="M4" s="6" t="s">
        <v>40</v>
      </c>
      <c r="O4" s="49" t="s">
        <v>110</v>
      </c>
      <c r="P4" t="s">
        <v>111</v>
      </c>
      <c r="Q4" t="s">
        <v>112</v>
      </c>
    </row>
    <row r="5" spans="2:17" x14ac:dyDescent="0.55000000000000004">
      <c r="B5" s="11" t="str">
        <f>Dropuri!B6</f>
        <v>Folie</v>
      </c>
      <c r="C5" t="s">
        <v>19</v>
      </c>
      <c r="D5" s="5" t="str">
        <f>IF(C5&lt;&gt;"",Dropuri!G7,"")</f>
        <v>rola</v>
      </c>
      <c r="E5" s="16">
        <f>IF(C5&lt;&gt;"",K5/Dropuri!H7*(1+I16),"")</f>
        <v>4.8533333333333335</v>
      </c>
      <c r="F5" s="13">
        <f>IFERROR(VLOOKUP(C5,Preturi!$B:$H,7,0),"")</f>
        <v>194.49359999999999</v>
      </c>
      <c r="G5" s="13">
        <f>IF(C5&lt;&gt;"",F5*E5,"")</f>
        <v>943.942272</v>
      </c>
      <c r="I5" s="62">
        <v>55</v>
      </c>
      <c r="J5" s="62">
        <v>12</v>
      </c>
      <c r="K5" s="62">
        <v>280</v>
      </c>
      <c r="L5" s="63">
        <v>22.5</v>
      </c>
      <c r="M5" s="62">
        <v>270</v>
      </c>
      <c r="O5" t="s">
        <v>113</v>
      </c>
      <c r="P5" s="58">
        <v>44155</v>
      </c>
      <c r="Q5" t="s">
        <v>145</v>
      </c>
    </row>
    <row r="6" spans="2:17" x14ac:dyDescent="0.55000000000000004">
      <c r="B6" s="10" t="str">
        <f>Dropuri!J6</f>
        <v>Petece</v>
      </c>
      <c r="C6" t="s">
        <v>12</v>
      </c>
      <c r="D6" s="5" t="str">
        <f>IF(C6&lt;&gt;"",Dropuri!M7,"")</f>
        <v>rola</v>
      </c>
      <c r="E6" s="16">
        <f>IF(C6&lt;&gt;"",K5/K16,"")</f>
        <v>2.8</v>
      </c>
      <c r="F6" s="13">
        <f>IFERROR(VLOOKUP(C6,Preturi!$B:$H,7,0),"")</f>
        <v>53.906999999999996</v>
      </c>
      <c r="G6" s="13">
        <f>IF(C6&lt;&gt;"",F6*E6,"")</f>
        <v>150.93959999999998</v>
      </c>
      <c r="O6" t="s">
        <v>113</v>
      </c>
      <c r="P6" s="58">
        <v>44154</v>
      </c>
      <c r="Q6" t="s">
        <v>144</v>
      </c>
    </row>
    <row r="7" spans="2:17" x14ac:dyDescent="0.55000000000000004">
      <c r="B7" s="11" t="str">
        <f>Dropuri!P6</f>
        <v>Banda de imbinare</v>
      </c>
      <c r="D7" s="5" t="str">
        <f>IF(C7&lt;&gt;"",Dropuri!U7,"")</f>
        <v/>
      </c>
      <c r="E7" s="16" t="str">
        <f>IF(C7&lt;&gt;"",K5/M16*(1+J16),"")</f>
        <v/>
      </c>
      <c r="F7" s="13" t="str">
        <f>IFERROR(VLOOKUP(C7,Preturi!$B:$H,7,0),"")</f>
        <v/>
      </c>
      <c r="G7" s="13" t="str">
        <f>IF(C7&lt;&gt;"",F7*E7,"")</f>
        <v/>
      </c>
      <c r="K7" s="9" t="s">
        <v>122</v>
      </c>
      <c r="L7" s="9" t="s">
        <v>123</v>
      </c>
      <c r="M7" s="12" t="s">
        <v>42</v>
      </c>
    </row>
    <row r="8" spans="2:17" x14ac:dyDescent="0.55000000000000004">
      <c r="B8" s="10" t="str">
        <f>Dropuri!B11</f>
        <v>Celuloza</v>
      </c>
      <c r="C8" t="s">
        <v>15</v>
      </c>
      <c r="D8" s="5" t="str">
        <f>IF(C8&lt;&gt;"",Dropuri!G12,"")</f>
        <v>kg</v>
      </c>
      <c r="E8" s="16">
        <f>IF(C8&lt;&gt;"",(K5*J5/100)*I5,"")</f>
        <v>1848</v>
      </c>
      <c r="F8" s="13">
        <f>IFERROR(VLOOKUP(C8,Preturi!$B:$H,7,0),"")</f>
        <v>2.9750000000000001</v>
      </c>
      <c r="G8" s="13">
        <f>IF(C8&lt;&gt;"",F8*E8,"")</f>
        <v>5497.8</v>
      </c>
      <c r="K8" s="62"/>
      <c r="L8" s="63"/>
      <c r="M8" s="63">
        <v>1.8</v>
      </c>
    </row>
    <row r="9" spans="2:17" x14ac:dyDescent="0.55000000000000004">
      <c r="B9" s="11" t="str">
        <f>Dropuri!J11</f>
        <v>Capse</v>
      </c>
      <c r="C9" t="s">
        <v>14</v>
      </c>
      <c r="D9" s="5" t="str">
        <f>IF(C9&lt;&gt;"",Dropuri!M12,"")</f>
        <v>cutie</v>
      </c>
      <c r="E9" s="16">
        <f>IF(C9&lt;&gt;"",K5/L16,"")</f>
        <v>0.56000000000000005</v>
      </c>
      <c r="F9" s="13">
        <f>IFERROR(VLOOKUP(C9,Preturi!$B:$H,7,0),"")</f>
        <v>77.933099999999996</v>
      </c>
      <c r="G9" s="13">
        <f>IF(C9&lt;&gt;"",F9*E9,"")</f>
        <v>43.642536</v>
      </c>
    </row>
    <row r="10" spans="2:17" x14ac:dyDescent="0.55000000000000004">
      <c r="B10" s="11" t="str">
        <f>Dropuri!P11</f>
        <v>Manopera</v>
      </c>
      <c r="C10" t="str">
        <f>Dropuri!P12</f>
        <v>Manopera montaj sistem termoizolatie cu celuloza</v>
      </c>
      <c r="D10" s="5" t="str">
        <f>Dropuri!U12</f>
        <v>mp</v>
      </c>
      <c r="E10" s="16">
        <f>K5</f>
        <v>280</v>
      </c>
      <c r="F10" s="13">
        <f>L5</f>
        <v>22.5</v>
      </c>
      <c r="G10" s="13">
        <f>F10*E10</f>
        <v>6300</v>
      </c>
      <c r="I10" s="6" t="s">
        <v>43</v>
      </c>
      <c r="J10" s="6" t="s">
        <v>44</v>
      </c>
      <c r="K10" s="7" t="s">
        <v>45</v>
      </c>
      <c r="L10" s="6" t="s">
        <v>46</v>
      </c>
      <c r="M10" s="49" t="s">
        <v>97</v>
      </c>
    </row>
    <row r="11" spans="2:17" x14ac:dyDescent="0.55000000000000004">
      <c r="B11" s="11" t="str">
        <f>Dropuri!B15</f>
        <v>Transport</v>
      </c>
      <c r="C11" t="s">
        <v>16</v>
      </c>
      <c r="D11" s="5" t="str">
        <f>IF(C11&lt;&gt;"",Dropuri!G16,"")</f>
        <v>buc</v>
      </c>
      <c r="E11" s="16">
        <f>IF(C11&lt;&gt;"",1,"")</f>
        <v>1</v>
      </c>
      <c r="F11" s="13">
        <f>IF(C11&lt;&gt;"",M5*M8*2,"")</f>
        <v>972</v>
      </c>
      <c r="G11" s="13">
        <f>IF(C11&lt;&gt;"",F11*E11,"")</f>
        <v>972</v>
      </c>
      <c r="I11" s="62">
        <v>6</v>
      </c>
      <c r="J11" s="63">
        <v>250</v>
      </c>
      <c r="K11" s="62">
        <v>1</v>
      </c>
      <c r="L11" s="50">
        <v>80</v>
      </c>
      <c r="M11" s="13">
        <f>(I11*(J11+L11))*K11</f>
        <v>1980</v>
      </c>
    </row>
    <row r="12" spans="2:17" x14ac:dyDescent="0.55000000000000004">
      <c r="B12" s="11" t="str">
        <f>Dropuri!J15</f>
        <v>Lucrari adiacente</v>
      </c>
      <c r="D12" s="5" t="str">
        <f>IF(C12&lt;&gt;"",Dropuri!M16,"")</f>
        <v/>
      </c>
      <c r="E12" s="16" t="str">
        <f>IF(C12&lt;&gt;"",K8,"")</f>
        <v/>
      </c>
      <c r="F12" s="13" t="str">
        <f>IF(C12&lt;&gt;"",L8,"")</f>
        <v/>
      </c>
      <c r="G12" s="13" t="str">
        <f>IF(C12&lt;&gt;"",F12*E12,"")</f>
        <v/>
      </c>
    </row>
    <row r="13" spans="2:17" x14ac:dyDescent="0.55000000000000004">
      <c r="B13" s="11" t="str">
        <f>Dropuri!P15</f>
        <v>Reduceri</v>
      </c>
      <c r="C13" t="str">
        <f>Dropuri!P16</f>
        <v>Discount</v>
      </c>
    </row>
    <row r="14" spans="2:17" x14ac:dyDescent="0.55000000000000004">
      <c r="B14" s="11" t="str">
        <f>Dropuri!P19</f>
        <v>Carotare</v>
      </c>
      <c r="C14" t="s">
        <v>21</v>
      </c>
    </row>
    <row r="15" spans="2:17" x14ac:dyDescent="0.55000000000000004">
      <c r="F15" s="9"/>
      <c r="G15" s="9" t="s">
        <v>95</v>
      </c>
      <c r="I15" s="9" t="s">
        <v>47</v>
      </c>
      <c r="J15" s="9" t="s">
        <v>48</v>
      </c>
      <c r="K15" s="9" t="s">
        <v>49</v>
      </c>
      <c r="L15" s="9" t="s">
        <v>4</v>
      </c>
      <c r="M15" s="9" t="s">
        <v>52</v>
      </c>
    </row>
    <row r="16" spans="2:17" x14ac:dyDescent="0.55000000000000004">
      <c r="G16" s="67">
        <f>SUM(G5:G12)</f>
        <v>13908.324408</v>
      </c>
      <c r="I16" s="64">
        <v>0.3</v>
      </c>
      <c r="J16" s="65">
        <v>0.1</v>
      </c>
      <c r="K16">
        <v>100</v>
      </c>
      <c r="L16">
        <v>500</v>
      </c>
      <c r="M16">
        <v>42</v>
      </c>
    </row>
    <row r="18" spans="2:13" x14ac:dyDescent="0.55000000000000004">
      <c r="C18" s="72"/>
    </row>
    <row r="19" spans="2:13" x14ac:dyDescent="0.55000000000000004">
      <c r="B19" s="61"/>
      <c r="C19" s="78" t="s">
        <v>121</v>
      </c>
    </row>
    <row r="20" spans="2:13" x14ac:dyDescent="0.55000000000000004">
      <c r="B20" s="60" t="str">
        <f>INDEX(Dropuri!Y7:AC7,,MATCH(Interfata!$C$19,Dropuri!$Y$6:$AC$6,0))</f>
        <v>Numarul</v>
      </c>
      <c r="C20" s="59" t="s">
        <v>140</v>
      </c>
      <c r="F20" s="13"/>
      <c r="G20" s="13"/>
    </row>
    <row r="21" spans="2:13" x14ac:dyDescent="0.55000000000000004">
      <c r="B21" s="60" t="str">
        <f>INDEX(Dropuri!Y8:AC8,,MATCH(Interfata!$C$19,Dropuri!$Y$6:$AC$6,0))</f>
        <v>Data</v>
      </c>
      <c r="C21" s="59" t="s">
        <v>139</v>
      </c>
      <c r="K21">
        <v>42.36</v>
      </c>
    </row>
    <row r="22" spans="2:13" x14ac:dyDescent="0.55000000000000004">
      <c r="B22" s="60" t="str">
        <f>INDEX(Dropuri!Y9:AC9,,MATCH(Interfata!$C$19,Dropuri!$Y$6:$AC$6,0))</f>
        <v>Nume</v>
      </c>
      <c r="C22" s="59" t="s">
        <v>141</v>
      </c>
      <c r="I22" s="72"/>
      <c r="J22" s="72"/>
      <c r="K22" s="72"/>
      <c r="L22" s="72"/>
      <c r="M22" s="72"/>
    </row>
    <row r="23" spans="2:13" x14ac:dyDescent="0.55000000000000004">
      <c r="B23" s="60" t="str">
        <f>INDEX(Dropuri!Y10:AC10,,MATCH(Interfata!$C$19,Dropuri!$Y$6:$AC$6,0))</f>
        <v>Telefon</v>
      </c>
      <c r="C23" s="79" t="s">
        <v>142</v>
      </c>
      <c r="H23" s="72"/>
      <c r="I23" s="75" t="s">
        <v>92</v>
      </c>
      <c r="J23" s="75" t="s">
        <v>93</v>
      </c>
      <c r="K23" s="75" t="s">
        <v>94</v>
      </c>
      <c r="L23" s="75" t="s">
        <v>98</v>
      </c>
      <c r="M23" s="75" t="s">
        <v>96</v>
      </c>
    </row>
    <row r="24" spans="2:13" x14ac:dyDescent="0.55000000000000004">
      <c r="B24" s="60" t="str">
        <f>INDEX(Dropuri!Y11:AC11,,MATCH(Interfata!$C$19,Dropuri!$Y$6:$AC$6,0))</f>
        <v>Email</v>
      </c>
      <c r="C24" s="80" t="s">
        <v>143</v>
      </c>
      <c r="G24" s="13"/>
      <c r="H24" s="72"/>
      <c r="I24" s="76">
        <f>E8/15</f>
        <v>123.2</v>
      </c>
      <c r="J24" s="70">
        <f>K5*J5/100</f>
        <v>33.6</v>
      </c>
      <c r="K24" s="71">
        <f>G16/K5</f>
        <v>49.672587171428574</v>
      </c>
      <c r="L24" s="71">
        <f>G16*1%</f>
        <v>139.08324408000001</v>
      </c>
      <c r="M24" s="71">
        <f>G16+M11+L24-G10</f>
        <v>9727.4076520800008</v>
      </c>
    </row>
    <row r="25" spans="2:13" x14ac:dyDescent="0.55000000000000004">
      <c r="B25" s="60">
        <f>INDEX(Dropuri!Y12:AC12,,MATCH(Interfata!$C$19,Dropuri!$Y$6:$AC$6,0))</f>
        <v>0</v>
      </c>
      <c r="C25" s="59" t="s">
        <v>128</v>
      </c>
      <c r="F25" s="13"/>
      <c r="H25" s="72"/>
      <c r="I25" s="18"/>
      <c r="J25" s="72"/>
      <c r="K25" s="73">
        <f>K24/Q6</f>
        <v>10.193639756906274</v>
      </c>
      <c r="L25" s="74"/>
      <c r="M25" s="74"/>
    </row>
    <row r="26" spans="2:13" x14ac:dyDescent="0.55000000000000004">
      <c r="B26" s="60">
        <f>INDEX(Dropuri!Y13:AC13,,MATCH(Interfata!$C$19,Dropuri!$Y$6:$AC$6,0))</f>
        <v>0</v>
      </c>
      <c r="C26" s="59" t="s">
        <v>129</v>
      </c>
      <c r="F26" s="13"/>
      <c r="H26" s="72"/>
      <c r="I26" s="72"/>
      <c r="J26" s="72"/>
      <c r="K26" s="72"/>
      <c r="L26" s="72"/>
      <c r="M26" s="72"/>
    </row>
    <row r="27" spans="2:13" x14ac:dyDescent="0.55000000000000004">
      <c r="B27" s="60">
        <f>INDEX(Dropuri!Y14:AC14,,MATCH(Interfata!$C$19,Dropuri!$Y$6:$AC$6,0))</f>
        <v>0</v>
      </c>
      <c r="C27" s="59" t="s">
        <v>130</v>
      </c>
      <c r="H27" s="72"/>
      <c r="I27" s="75" t="s">
        <v>103</v>
      </c>
      <c r="J27" s="72"/>
      <c r="K27" s="72"/>
      <c r="L27" s="75" t="s">
        <v>125</v>
      </c>
      <c r="M27" s="75" t="s">
        <v>102</v>
      </c>
    </row>
    <row r="28" spans="2:13" x14ac:dyDescent="0.55000000000000004">
      <c r="B28" s="60">
        <f>INDEX(Dropuri!Y15:AC15,,MATCH(Interfata!$C$19,Dropuri!$Y$6:$AC$6,0))</f>
        <v>0</v>
      </c>
      <c r="C28" s="59" t="s">
        <v>129</v>
      </c>
      <c r="E28" s="13"/>
      <c r="H28" s="72"/>
      <c r="I28" s="71">
        <f>Preturi!L3*E8</f>
        <v>554.39999999999964</v>
      </c>
      <c r="J28" s="72"/>
      <c r="K28" s="72"/>
      <c r="L28" s="77">
        <f>(M28*100/G16)*1%</f>
        <v>0.34046637229688631</v>
      </c>
      <c r="M28" s="71">
        <f>G16-M24+I28</f>
        <v>4735.3167559199992</v>
      </c>
    </row>
    <row r="29" spans="2:13" x14ac:dyDescent="0.55000000000000004">
      <c r="B29" s="60">
        <f>INDEX(Dropuri!Y16:AC16,,MATCH(Interfata!$C$19,Dropuri!$Y$6:$AC$6,0))</f>
        <v>0</v>
      </c>
      <c r="C29" s="59" t="s">
        <v>131</v>
      </c>
    </row>
    <row r="30" spans="2:13" x14ac:dyDescent="0.55000000000000004">
      <c r="B30" s="60">
        <f>INDEX(Dropuri!Y17:AC17,,MATCH(Interfata!$C$19,Dropuri!$Y$6:$AC$6,0))</f>
        <v>0</v>
      </c>
      <c r="C30" s="59" t="s">
        <v>133</v>
      </c>
      <c r="F30" s="13"/>
      <c r="J30" s="53"/>
    </row>
    <row r="31" spans="2:13" x14ac:dyDescent="0.55000000000000004">
      <c r="B31" s="60">
        <f>INDEX(Dropuri!Y18:AC18,,MATCH(Interfata!$C$19,Dropuri!$Y$6:$AC$6,0))</f>
        <v>0</v>
      </c>
      <c r="C31" s="59" t="s">
        <v>132</v>
      </c>
      <c r="F31" s="13"/>
      <c r="I31" s="69"/>
    </row>
    <row r="32" spans="2:13" x14ac:dyDescent="0.55000000000000004">
      <c r="B32" s="60">
        <f>INDEX(Dropuri!Y19:AC19,,MATCH(Interfata!$C$19,Dropuri!$Y$6:$AC$6,0))</f>
        <v>0</v>
      </c>
      <c r="C32" s="59" t="s">
        <v>134</v>
      </c>
      <c r="F32" s="13"/>
      <c r="I32" s="13"/>
    </row>
    <row r="33" spans="2:6" x14ac:dyDescent="0.55000000000000004">
      <c r="B33" s="60">
        <f>INDEX(Dropuri!Y20:AC20,,MATCH(Interfata!$C$19,Dropuri!$Y$6:$AC$6,0))</f>
        <v>0</v>
      </c>
      <c r="C33" s="66">
        <f>G16</f>
        <v>13908.324408</v>
      </c>
      <c r="F33" s="13"/>
    </row>
    <row r="34" spans="2:6" x14ac:dyDescent="0.55000000000000004">
      <c r="B34" s="60">
        <f>INDEX(Dropuri!Y21:AC21,,MATCH(Interfata!$C$19,Dropuri!$Y$6:$AC$6,0))</f>
        <v>0</v>
      </c>
      <c r="C34" s="66">
        <v>0</v>
      </c>
    </row>
    <row r="35" spans="2:6" x14ac:dyDescent="0.55000000000000004">
      <c r="B35" s="60">
        <f>INDEX(Dropuri!Y22:AC22,,MATCH(Interfata!$C$19,Dropuri!$Y$6:$AC$6,0))</f>
        <v>0</v>
      </c>
      <c r="C35" s="66">
        <f>C33-C34</f>
        <v>13908.324408</v>
      </c>
    </row>
  </sheetData>
  <hyperlinks>
    <hyperlink ref="C24" r:id="rId1" xr:uid="{49699C02-8CD4-49A9-9AA1-85E0715554E0}"/>
  </hyperlinks>
  <pageMargins left="0.7" right="0.7" top="0.75" bottom="0.75" header="0.3" footer="0.3"/>
  <pageSetup orientation="portrait" r:id="rId2"/>
  <ignoredErrors>
    <ignoredError sqref="G10" formula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8C7406F2-3E5E-4A1E-B42E-AB0D54656C50}">
          <x14:formula1>
            <xm:f>Dropuri!$B$3:$B$4</xm:f>
          </x14:formula1>
          <xm:sqref>C2</xm:sqref>
        </x14:dataValidation>
        <x14:dataValidation type="list" allowBlank="1" showInputMessage="1" showErrorMessage="1" xr:uid="{AF924275-EA24-4549-9620-D82EC3E5EA53}">
          <x14:formula1>
            <xm:f>Dropuri!$B$7:$B$9</xm:f>
          </x14:formula1>
          <xm:sqref>C5</xm:sqref>
        </x14:dataValidation>
        <x14:dataValidation type="list" allowBlank="1" showInputMessage="1" showErrorMessage="1" xr:uid="{55D7F8B8-8B69-40DD-AB8A-A0B83D541AD4}">
          <x14:formula1>
            <xm:f>Dropuri!$J$7:$J$8</xm:f>
          </x14:formula1>
          <xm:sqref>C6</xm:sqref>
        </x14:dataValidation>
        <x14:dataValidation type="list" allowBlank="1" showInputMessage="1" showErrorMessage="1" xr:uid="{89EC898D-B6BF-473A-A72D-ED08D66D60FC}">
          <x14:formula1>
            <xm:f>Dropuri!$P$7:$P$9</xm:f>
          </x14:formula1>
          <xm:sqref>C7</xm:sqref>
        </x14:dataValidation>
        <x14:dataValidation type="list" allowBlank="1" showInputMessage="1" showErrorMessage="1" xr:uid="{6ADBA028-DEA4-43EB-86D4-0832761D4B90}">
          <x14:formula1>
            <xm:f>Dropuri!$B$12:$B$13</xm:f>
          </x14:formula1>
          <xm:sqref>C8</xm:sqref>
        </x14:dataValidation>
        <x14:dataValidation type="list" allowBlank="1" showInputMessage="1" showErrorMessage="1" xr:uid="{BA41E75E-5E45-4D2F-B7FC-89C1110C6E0B}">
          <x14:formula1>
            <xm:f>Dropuri!$J$12:$J$13</xm:f>
          </x14:formula1>
          <xm:sqref>C9</xm:sqref>
        </x14:dataValidation>
        <x14:dataValidation type="list" allowBlank="1" showInputMessage="1" showErrorMessage="1" xr:uid="{8AE3A4DF-5A4F-4A90-A7FC-C0BE54191384}">
          <x14:formula1>
            <xm:f>Dropuri!$B$16:$B$17</xm:f>
          </x14:formula1>
          <xm:sqref>C11</xm:sqref>
        </x14:dataValidation>
        <x14:dataValidation type="list" allowBlank="1" showInputMessage="1" showErrorMessage="1" xr:uid="{66467D91-4498-4B60-9F8F-688CCD5F7ACB}">
          <x14:formula1>
            <xm:f>Dropuri!$J$16:$J$17</xm:f>
          </x14:formula1>
          <xm:sqref>C12</xm:sqref>
        </x14:dataValidation>
        <x14:dataValidation type="list" allowBlank="1" showInputMessage="1" showErrorMessage="1" xr:uid="{3AE7161E-BDC8-4362-B1AC-0DE921DBF504}">
          <x14:formula1>
            <xm:f>Dropuri!$P$20:$P$21</xm:f>
          </x14:formula1>
          <xm:sqref>C14</xm:sqref>
        </x14:dataValidation>
        <x14:dataValidation type="list" allowBlank="1" showInputMessage="1" showErrorMessage="1" xr:uid="{7ED8DBBD-8C59-4161-9FBA-E21BEACC36AF}">
          <x14:formula1>
            <xm:f>Dropuri!$B$20:$B$24</xm:f>
          </x14:formula1>
          <xm:sqref>I5</xm:sqref>
        </x14:dataValidation>
        <x14:dataValidation type="list" allowBlank="1" showInputMessage="1" showErrorMessage="1" xr:uid="{14A1B061-2ABC-4F90-92B2-57E36A030CE6}">
          <x14:formula1>
            <xm:f>Dropuri!$J$20:$J$26</xm:f>
          </x14:formula1>
          <xm:sqref>J5</xm:sqref>
        </x14:dataValidation>
        <x14:dataValidation type="list" allowBlank="1" showInputMessage="1" showErrorMessage="1" xr:uid="{B596059A-4329-4176-AC63-177A42CC2474}">
          <x14:formula1>
            <xm:f>Dropuri!$P$24:$P$28</xm:f>
          </x14:formula1>
          <xm:sqref>I16</xm:sqref>
        </x14:dataValidation>
        <x14:dataValidation type="list" allowBlank="1" showInputMessage="1" showErrorMessage="1" xr:uid="{5487FEEB-C4D6-449E-8466-C5F97A45EA9F}">
          <x14:formula1>
            <xm:f>Dropuri!$Q$24:$Q$28</xm:f>
          </x14:formula1>
          <xm:sqref>J16</xm:sqref>
        </x14:dataValidation>
        <x14:dataValidation type="list" allowBlank="1" showInputMessage="1" showErrorMessage="1" xr:uid="{B6DCE908-BECD-4BC6-B530-732C5B8A6E65}">
          <x14:formula1>
            <xm:f>Dropuri!$Y$6:$AC$6</xm:f>
          </x14:formula1>
          <xm:sqref>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1970-1184-49DE-84F7-DABC1ECE5AB7}">
  <dimension ref="B2:Q3"/>
  <sheetViews>
    <sheetView tabSelected="1" workbookViewId="0">
      <selection activeCell="B3" sqref="B3"/>
    </sheetView>
  </sheetViews>
  <sheetFormatPr defaultRowHeight="14.4" x14ac:dyDescent="0.55000000000000004"/>
  <cols>
    <col min="2" max="2" width="13.9453125" customWidth="1"/>
    <col min="3" max="3" width="11.89453125" customWidth="1"/>
    <col min="4" max="4" width="10.5234375" bestFit="1" customWidth="1"/>
    <col min="6" max="6" width="17.1015625" bestFit="1" customWidth="1"/>
    <col min="7" max="7" width="11.578125" bestFit="1" customWidth="1"/>
    <col min="8" max="8" width="11.83984375" bestFit="1" customWidth="1"/>
    <col min="9" max="9" width="10.1015625" bestFit="1" customWidth="1"/>
    <col min="10" max="10" width="10.734375" bestFit="1" customWidth="1"/>
    <col min="13" max="13" width="10.20703125" bestFit="1" customWidth="1"/>
    <col min="15" max="15" width="12" bestFit="1" customWidth="1"/>
    <col min="17" max="17" width="12" bestFit="1" customWidth="1"/>
  </cols>
  <sheetData>
    <row r="2" spans="2:17" x14ac:dyDescent="0.55000000000000004">
      <c r="B2" s="1" t="s">
        <v>127</v>
      </c>
      <c r="C2" s="1" t="s">
        <v>111</v>
      </c>
      <c r="D2" s="1" t="s">
        <v>114</v>
      </c>
      <c r="E2" s="1" t="s">
        <v>57</v>
      </c>
      <c r="F2" s="1" t="s">
        <v>56</v>
      </c>
      <c r="G2" s="1" t="s">
        <v>60</v>
      </c>
      <c r="H2" s="1" t="s">
        <v>115</v>
      </c>
      <c r="I2" s="1" t="s">
        <v>53</v>
      </c>
      <c r="J2" s="1" t="s">
        <v>116</v>
      </c>
      <c r="K2" s="1" t="s">
        <v>54</v>
      </c>
      <c r="L2" s="1" t="s">
        <v>55</v>
      </c>
      <c r="M2" s="1" t="s">
        <v>58</v>
      </c>
      <c r="N2" s="1" t="s">
        <v>59</v>
      </c>
      <c r="O2" s="1" t="s">
        <v>61</v>
      </c>
      <c r="P2" s="1" t="s">
        <v>62</v>
      </c>
      <c r="Q2" s="1" t="s">
        <v>63</v>
      </c>
    </row>
    <row r="3" spans="2:17" x14ac:dyDescent="0.55000000000000004">
      <c r="B3" t="str">
        <f>Interfata!C20</f>
        <v>ECOTS-O 115</v>
      </c>
      <c r="C3" t="str">
        <f>Interfata!C21</f>
        <v>22.07.2020</v>
      </c>
      <c r="D3" t="str">
        <f>Interfata!C22</f>
        <v>GEORGE ILIE</v>
      </c>
      <c r="E3" t="str">
        <f>Interfata!C23</f>
        <v>0726301871</v>
      </c>
      <c r="F3" t="str">
        <f>Interfata!C24</f>
        <v>geoalbi@yahoo.com</v>
      </c>
      <c r="G3" t="str">
        <f>Interfata!C25</f>
        <v>Administrator</v>
      </c>
      <c r="H3" t="str">
        <f>Interfata!C26</f>
        <v>Buftea - Ilfov</v>
      </c>
      <c r="I3" t="str">
        <f>Interfata!C27</f>
        <v>LEGO-FUNGHI GRUP SRL</v>
      </c>
      <c r="J3" t="str">
        <f>Interfata!C28</f>
        <v>Buftea - Ilfov</v>
      </c>
      <c r="K3" t="str">
        <f>Interfata!C29</f>
        <v>J23/1289/2010</v>
      </c>
      <c r="L3" t="str">
        <f>Interfata!C30</f>
        <v>RO26858041</v>
      </c>
      <c r="M3" t="str">
        <f>Interfata!C31</f>
        <v>RO76 BTRL  0430 1202 C425 07XX</v>
      </c>
      <c r="N3" t="str">
        <f>Interfata!C32</f>
        <v>Transilvania</v>
      </c>
      <c r="O3" s="13">
        <f>Interfata!C33</f>
        <v>13908.324408</v>
      </c>
      <c r="P3" s="13">
        <f>Interfata!C34</f>
        <v>0</v>
      </c>
      <c r="Q3" s="13">
        <f>Interfata!C35</f>
        <v>13908.324408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66B3-3FE8-4135-916F-0686312AC912}">
  <dimension ref="A3:K54"/>
  <sheetViews>
    <sheetView showZeros="0" topLeftCell="A16" zoomScaleNormal="100" workbookViewId="0">
      <selection activeCell="B18" sqref="B18:K18"/>
    </sheetView>
  </sheetViews>
  <sheetFormatPr defaultRowHeight="14.4" x14ac:dyDescent="0.55000000000000004"/>
  <cols>
    <col min="1" max="1" width="3.41796875" customWidth="1"/>
    <col min="2" max="2" width="4.47265625" customWidth="1"/>
    <col min="7" max="7" width="12" customWidth="1"/>
    <col min="8" max="8" width="6.05078125" customWidth="1"/>
    <col min="9" max="9" width="8.9453125" bestFit="1" customWidth="1"/>
    <col min="10" max="10" width="12" customWidth="1"/>
    <col min="11" max="11" width="13.3125" customWidth="1"/>
    <col min="12" max="12" width="9" customWidth="1"/>
  </cols>
  <sheetData>
    <row r="3" spans="1:11" x14ac:dyDescent="0.55000000000000004">
      <c r="B3" t="str">
        <f>"Catre: "&amp;Interfata!C22&amp;""</f>
        <v>Catre: GEORGE ILIE</v>
      </c>
    </row>
    <row r="4" spans="1:11" x14ac:dyDescent="0.55000000000000004">
      <c r="B4" t="str">
        <f>"Telefon: "&amp;Interfata!C23&amp;""</f>
        <v>Telefon: 0726301871</v>
      </c>
    </row>
    <row r="7" spans="1:11" x14ac:dyDescent="0.55000000000000004">
      <c r="A7" s="102" t="str">
        <f>Interfata!C2</f>
        <v>OFERTĂ TEHNICĂ ȘI FINANCIARĂ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</row>
    <row r="8" spans="1:11" x14ac:dyDescent="0.55000000000000004">
      <c r="A8" s="92" t="str">
        <f>"Nr: "&amp;Interfata!C20&amp;"            Din data: "&amp;Interfata!C21&amp;""</f>
        <v>Nr: ECOTS-O 115            Din data: 22.07.2020</v>
      </c>
      <c r="B8" s="92"/>
      <c r="C8" s="92"/>
      <c r="D8" s="92"/>
      <c r="E8" s="92"/>
      <c r="F8" s="92"/>
      <c r="G8" s="92"/>
      <c r="H8" s="92"/>
      <c r="I8" s="92"/>
      <c r="J8" s="92"/>
      <c r="K8" s="92"/>
    </row>
    <row r="9" spans="1:11" ht="14.7" thickBot="1" x14ac:dyDescent="0.6"/>
    <row r="10" spans="1:11" ht="14.7" thickBot="1" x14ac:dyDescent="0.6">
      <c r="B10" s="33" t="s">
        <v>70</v>
      </c>
      <c r="C10" s="99" t="s">
        <v>34</v>
      </c>
      <c r="D10" s="100"/>
      <c r="E10" s="100"/>
      <c r="F10" s="100"/>
      <c r="G10" s="101"/>
      <c r="H10" s="34" t="s">
        <v>35</v>
      </c>
      <c r="I10" s="35" t="s">
        <v>36</v>
      </c>
      <c r="J10" s="34" t="s">
        <v>37</v>
      </c>
      <c r="K10" s="35" t="s">
        <v>38</v>
      </c>
    </row>
    <row r="11" spans="1:11" ht="14.7" thickBot="1" x14ac:dyDescent="0.6">
      <c r="B11" s="93" t="s">
        <v>71</v>
      </c>
      <c r="C11" s="94"/>
      <c r="D11" s="94"/>
      <c r="E11" s="94"/>
      <c r="F11" s="94"/>
      <c r="G11" s="94"/>
      <c r="H11" s="94"/>
      <c r="I11" s="94"/>
      <c r="J11" s="94"/>
      <c r="K11" s="95"/>
    </row>
    <row r="12" spans="1:11" ht="14.7" thickBot="1" x14ac:dyDescent="0.6">
      <c r="B12" s="24">
        <f>IF(Interfata!C8&lt;&gt;"",1,"")</f>
        <v>1</v>
      </c>
      <c r="C12" s="25" t="str">
        <f>Interfata!C8</f>
        <v>Fibre de celuloza ISOGREEN FCH 100</v>
      </c>
      <c r="D12" s="26"/>
      <c r="E12" s="26"/>
      <c r="F12" s="26"/>
      <c r="G12" s="27"/>
      <c r="H12" s="24" t="str">
        <f>Interfata!D8</f>
        <v>kg</v>
      </c>
      <c r="I12" s="30">
        <f>Interfata!E8</f>
        <v>1848</v>
      </c>
      <c r="J12" s="31">
        <f>Interfata!F8</f>
        <v>2.9750000000000001</v>
      </c>
      <c r="K12" s="32">
        <f>Interfata!G8</f>
        <v>5497.8</v>
      </c>
    </row>
    <row r="13" spans="1:11" ht="14.7" thickBot="1" x14ac:dyDescent="0.6">
      <c r="B13" s="22">
        <f>IF(Interfata!C6&lt;&gt;"",2,"")</f>
        <v>2</v>
      </c>
      <c r="C13" s="25" t="str">
        <f>Interfata!C6</f>
        <v>Banda adeziva PE1600MM</v>
      </c>
      <c r="D13" s="26"/>
      <c r="E13" s="26"/>
      <c r="F13" s="26"/>
      <c r="G13" s="27"/>
      <c r="H13" s="22" t="str">
        <f>Interfata!D6</f>
        <v>rola</v>
      </c>
      <c r="I13" s="18">
        <f>Interfata!E6</f>
        <v>2.8</v>
      </c>
      <c r="J13" s="28">
        <f>Interfata!F6</f>
        <v>53.906999999999996</v>
      </c>
      <c r="K13" s="19">
        <f>Interfata!G6</f>
        <v>150.93959999999998</v>
      </c>
    </row>
    <row r="14" spans="1:11" ht="14.7" thickBot="1" x14ac:dyDescent="0.6">
      <c r="B14" s="24">
        <f>IF(Interfata!C5&lt;&gt;"",3,"")</f>
        <v>3</v>
      </c>
      <c r="C14" s="25" t="str">
        <f>Interfata!C5</f>
        <v>Bariera de vapori multistrat Knaufinsulation LDS 35</v>
      </c>
      <c r="D14" s="26"/>
      <c r="E14" s="26"/>
      <c r="F14" s="26"/>
      <c r="G14" s="27"/>
      <c r="H14" s="24" t="str">
        <f>Interfata!D5</f>
        <v>rola</v>
      </c>
      <c r="I14" s="30">
        <f>Interfata!E5</f>
        <v>4.8533333333333335</v>
      </c>
      <c r="J14" s="31">
        <f>Interfata!F5</f>
        <v>194.49359999999999</v>
      </c>
      <c r="K14" s="32">
        <f>Interfata!G5</f>
        <v>943.942272</v>
      </c>
    </row>
    <row r="15" spans="1:11" ht="14.7" thickBot="1" x14ac:dyDescent="0.6">
      <c r="B15" s="22">
        <f>IF(Interfata!C9&lt;&gt;"",4,"")</f>
        <v>4</v>
      </c>
      <c r="C15" s="25" t="str">
        <f>Interfata!C9</f>
        <v>Capse TIP 80/10</v>
      </c>
      <c r="D15" s="26"/>
      <c r="E15" s="26"/>
      <c r="F15" s="26"/>
      <c r="G15" s="27"/>
      <c r="H15" s="22" t="str">
        <f>Interfata!D9</f>
        <v>cutie</v>
      </c>
      <c r="I15" s="30">
        <f>Interfata!E9</f>
        <v>0.56000000000000005</v>
      </c>
      <c r="J15" s="31">
        <f>Interfata!F9</f>
        <v>77.933099999999996</v>
      </c>
      <c r="K15" s="32">
        <f>Interfata!G9</f>
        <v>43.642536</v>
      </c>
    </row>
    <row r="16" spans="1:11" ht="14.7" thickBot="1" x14ac:dyDescent="0.6">
      <c r="B16" s="24" t="str">
        <f>IF(Interfata!C7&lt;&gt;"",5,"")</f>
        <v/>
      </c>
      <c r="C16" s="25">
        <f>Interfata!C7</f>
        <v>0</v>
      </c>
      <c r="D16" s="26"/>
      <c r="E16" s="26"/>
      <c r="F16" s="26"/>
      <c r="G16" s="27"/>
      <c r="H16" s="24" t="str">
        <f>Interfata!D7</f>
        <v/>
      </c>
      <c r="I16" s="30" t="str">
        <f>Interfata!E7</f>
        <v/>
      </c>
      <c r="J16" s="31" t="str">
        <f>Interfata!F7</f>
        <v/>
      </c>
      <c r="K16" s="32" t="str">
        <f>Interfata!G7</f>
        <v/>
      </c>
    </row>
    <row r="17" spans="2:11" ht="14.7" thickBot="1" x14ac:dyDescent="0.6">
      <c r="B17" s="23"/>
      <c r="C17" s="25"/>
      <c r="D17" s="26"/>
      <c r="E17" s="26"/>
      <c r="F17" s="26"/>
      <c r="G17" s="27"/>
      <c r="H17" s="23"/>
      <c r="I17" s="20"/>
      <c r="J17" s="29"/>
      <c r="K17" s="21"/>
    </row>
    <row r="18" spans="2:11" ht="14.7" thickBot="1" x14ac:dyDescent="0.6">
      <c r="B18" s="96" t="s">
        <v>72</v>
      </c>
      <c r="C18" s="97"/>
      <c r="D18" s="97"/>
      <c r="E18" s="97"/>
      <c r="F18" s="97"/>
      <c r="G18" s="97"/>
      <c r="H18" s="97"/>
      <c r="I18" s="97"/>
      <c r="J18" s="97"/>
      <c r="K18" s="98"/>
    </row>
    <row r="19" spans="2:11" ht="14.7" thickBot="1" x14ac:dyDescent="0.6">
      <c r="B19" s="36">
        <f>IF(Interfata!C10&lt;&gt;"",1,"")</f>
        <v>1</v>
      </c>
      <c r="C19" s="25" t="str">
        <f>Interfata!C10</f>
        <v>Manopera montaj sistem termoizolatie cu celuloza</v>
      </c>
      <c r="D19" s="26"/>
      <c r="E19" s="26"/>
      <c r="F19" s="26"/>
      <c r="G19" s="27"/>
      <c r="H19" s="38" t="str">
        <f>Interfata!D10</f>
        <v>mp</v>
      </c>
      <c r="I19" s="37">
        <f>Interfata!E10</f>
        <v>280</v>
      </c>
      <c r="J19" s="31">
        <f>Interfata!F10</f>
        <v>22.5</v>
      </c>
      <c r="K19" s="32">
        <f>Interfata!G10</f>
        <v>6300</v>
      </c>
    </row>
    <row r="20" spans="2:11" ht="14.7" thickBot="1" x14ac:dyDescent="0.6">
      <c r="B20" s="36">
        <f>IF(Interfata!C11&lt;&gt;"",2,"")</f>
        <v>2</v>
      </c>
      <c r="C20" s="25" t="str">
        <f>Interfata!C11</f>
        <v>Prestari servicii livrare</v>
      </c>
      <c r="D20" s="26"/>
      <c r="E20" s="26"/>
      <c r="F20" s="26"/>
      <c r="G20" s="27"/>
      <c r="H20" s="38" t="str">
        <f>Interfata!D11</f>
        <v>buc</v>
      </c>
      <c r="I20" s="37">
        <f>Interfata!E11</f>
        <v>1</v>
      </c>
      <c r="J20" s="31">
        <f>Interfata!F11</f>
        <v>972</v>
      </c>
      <c r="K20" s="32">
        <f>Interfata!G11</f>
        <v>972</v>
      </c>
    </row>
    <row r="21" spans="2:11" ht="14.7" thickBot="1" x14ac:dyDescent="0.6">
      <c r="B21" s="36" t="str">
        <f>IF(Interfata!C12&lt;&gt;"",3,"")</f>
        <v/>
      </c>
      <c r="C21" s="25">
        <f>Interfata!C12</f>
        <v>0</v>
      </c>
      <c r="D21" s="26"/>
      <c r="E21" s="26"/>
      <c r="F21" s="26"/>
      <c r="G21" s="27"/>
      <c r="H21" s="38" t="str">
        <f>Interfata!D12</f>
        <v/>
      </c>
      <c r="I21" s="37" t="str">
        <f>Interfata!E12</f>
        <v/>
      </c>
      <c r="J21" s="31" t="str">
        <f>Interfata!F12</f>
        <v/>
      </c>
      <c r="K21" s="32" t="str">
        <f>Interfata!G12</f>
        <v/>
      </c>
    </row>
    <row r="22" spans="2:11" ht="14.7" thickBot="1" x14ac:dyDescent="0.6">
      <c r="B22" s="5"/>
      <c r="I22" s="16"/>
      <c r="J22" s="13"/>
      <c r="K22" s="13"/>
    </row>
    <row r="23" spans="2:11" ht="14.7" thickBot="1" x14ac:dyDescent="0.6">
      <c r="G23" s="41" t="s">
        <v>73</v>
      </c>
      <c r="H23" s="26"/>
      <c r="I23" s="26"/>
      <c r="J23" s="27"/>
      <c r="K23" s="39">
        <f>SUM(K12:K16)</f>
        <v>6636.3244080000004</v>
      </c>
    </row>
    <row r="24" spans="2:11" ht="14.7" thickBot="1" x14ac:dyDescent="0.6">
      <c r="G24" s="41" t="s">
        <v>74</v>
      </c>
      <c r="H24" s="26"/>
      <c r="I24" s="26"/>
      <c r="J24" s="27"/>
      <c r="K24" s="42">
        <f>SUM(K19:K21)</f>
        <v>7272</v>
      </c>
    </row>
    <row r="25" spans="2:11" ht="14.7" thickBot="1" x14ac:dyDescent="0.6">
      <c r="G25" s="87" t="s">
        <v>75</v>
      </c>
      <c r="H25" s="88"/>
      <c r="I25" s="88"/>
      <c r="J25" s="89"/>
      <c r="K25" s="40">
        <f>K23+K24</f>
        <v>13908.324408</v>
      </c>
    </row>
    <row r="26" spans="2:11" x14ac:dyDescent="0.55000000000000004">
      <c r="G26" s="56"/>
      <c r="H26" s="56"/>
      <c r="I26" s="56"/>
      <c r="J26" s="56"/>
      <c r="K26" s="57"/>
    </row>
    <row r="28" spans="2:11" x14ac:dyDescent="0.55000000000000004">
      <c r="B28" t="s">
        <v>104</v>
      </c>
    </row>
    <row r="29" spans="2:11" ht="28.5" customHeight="1" x14ac:dyDescent="0.55000000000000004">
      <c r="B29" s="90" t="str">
        <f>IF(Interfata!C2=Txt!L13,Txt!L12,Txt!L10)</f>
        <v>Stratul de izolatie ofertat este de 12 cm grosime cu un volum injectat de 33.6 mc.
Densitatea stratului de izolatie este de minim 55 kg / mc.</v>
      </c>
      <c r="C29" s="90"/>
      <c r="D29" s="90"/>
      <c r="E29" s="90"/>
      <c r="F29" s="90"/>
      <c r="G29" s="90"/>
      <c r="H29" s="90"/>
      <c r="I29" s="90"/>
      <c r="J29" s="90"/>
      <c r="K29" s="55"/>
    </row>
    <row r="30" spans="2:11" x14ac:dyDescent="0.55000000000000004">
      <c r="B30" t="str">
        <f>IF(Interfata!C5&lt;&gt;"",Txt!L11,"")</f>
        <v>Suprafata foliei utilizate se ajusteaza cu 30% avand in vedere pierderile inerente.</v>
      </c>
    </row>
    <row r="32" spans="2:11" x14ac:dyDescent="0.55000000000000004">
      <c r="B32" t="s">
        <v>106</v>
      </c>
    </row>
    <row r="33" spans="2:10" x14ac:dyDescent="0.55000000000000004">
      <c r="B33" s="91" t="str">
        <f>IF(Interfata!C2=Txt!L13,Txt!J16,Txt!H16)</f>
        <v>- se monteaza bariera de vapori multistrat cu prindere pe capriori in capse de dulgherie 10 mm
- se injecteaza celuloza ISOGREEN FCH100 cu densitatea mentionata in oferta
- se etanseaza perforatiile cu banda flexibila</v>
      </c>
      <c r="C33" s="91"/>
      <c r="D33" s="91"/>
      <c r="E33" s="91"/>
      <c r="F33" s="91"/>
      <c r="G33" s="91"/>
      <c r="H33" s="91"/>
      <c r="I33" s="91"/>
      <c r="J33" s="91"/>
    </row>
    <row r="34" spans="2:10" x14ac:dyDescent="0.55000000000000004">
      <c r="B34" s="91"/>
      <c r="C34" s="91"/>
      <c r="D34" s="91"/>
      <c r="E34" s="91"/>
      <c r="F34" s="91"/>
      <c r="G34" s="91"/>
      <c r="H34" s="91"/>
      <c r="I34" s="91"/>
      <c r="J34" s="91"/>
    </row>
    <row r="35" spans="2:10" x14ac:dyDescent="0.55000000000000004">
      <c r="B35" s="91"/>
      <c r="C35" s="91"/>
      <c r="D35" s="91"/>
      <c r="E35" s="91"/>
      <c r="F35" s="91"/>
      <c r="G35" s="91"/>
      <c r="H35" s="91"/>
      <c r="I35" s="91"/>
      <c r="J35" s="91"/>
    </row>
    <row r="36" spans="2:10" x14ac:dyDescent="0.55000000000000004">
      <c r="B36" s="91"/>
      <c r="C36" s="91"/>
      <c r="D36" s="91"/>
      <c r="E36" s="91"/>
      <c r="F36" s="91"/>
      <c r="G36" s="91"/>
      <c r="H36" s="91"/>
      <c r="I36" s="91"/>
      <c r="J36" s="91"/>
    </row>
    <row r="37" spans="2:10" x14ac:dyDescent="0.55000000000000004">
      <c r="B37" s="91"/>
      <c r="C37" s="91"/>
      <c r="D37" s="91"/>
      <c r="E37" s="91"/>
      <c r="F37" s="91"/>
      <c r="G37" s="91"/>
      <c r="H37" s="91"/>
      <c r="I37" s="91"/>
      <c r="J37" s="91"/>
    </row>
    <row r="38" spans="2:10" x14ac:dyDescent="0.55000000000000004">
      <c r="B38" s="91"/>
      <c r="C38" s="91"/>
      <c r="D38" s="91"/>
      <c r="E38" s="91"/>
      <c r="F38" s="91"/>
      <c r="G38" s="91"/>
      <c r="H38" s="91"/>
      <c r="I38" s="91"/>
      <c r="J38" s="91"/>
    </row>
    <row r="40" spans="2:10" x14ac:dyDescent="0.55000000000000004">
      <c r="I40" s="83" t="s">
        <v>107</v>
      </c>
      <c r="J40" s="83"/>
    </row>
    <row r="41" spans="2:10" x14ac:dyDescent="0.55000000000000004">
      <c r="I41" s="84" t="s">
        <v>108</v>
      </c>
      <c r="J41" s="84"/>
    </row>
    <row r="51" spans="1:11" ht="14.25" customHeight="1" x14ac:dyDescent="0.55000000000000004">
      <c r="A51" s="85" t="s">
        <v>109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</row>
    <row r="52" spans="1:11" x14ac:dyDescent="0.55000000000000004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</row>
    <row r="53" spans="1:11" x14ac:dyDescent="0.55000000000000004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</row>
    <row r="54" spans="1:11" x14ac:dyDescent="0.55000000000000004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</row>
  </sheetData>
  <mergeCells count="11">
    <mergeCell ref="A8:K8"/>
    <mergeCell ref="B11:K11"/>
    <mergeCell ref="B18:K18"/>
    <mergeCell ref="C10:G10"/>
    <mergeCell ref="A7:K7"/>
    <mergeCell ref="I40:J40"/>
    <mergeCell ref="I41:J41"/>
    <mergeCell ref="A51:K54"/>
    <mergeCell ref="G25:J25"/>
    <mergeCell ref="B29:J29"/>
    <mergeCell ref="B33:J38"/>
  </mergeCells>
  <pageMargins left="0.25" right="0.25" top="0.2" bottom="0.2" header="0.1" footer="0.1"/>
  <pageSetup paperSize="9" orientation="portrait" r:id="rId1"/>
  <headerFooter>
    <oddHeader>&amp;C&amp;G</oddHeader>
  </headerFooter>
  <ignoredErrors>
    <ignoredError sqref="I15" formula="1"/>
  </ignoredError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F5FB-3F70-4494-BF30-E41105F28CAD}">
  <dimension ref="B2:L21"/>
  <sheetViews>
    <sheetView workbookViewId="0">
      <selection activeCell="K27" sqref="E14:K27"/>
    </sheetView>
  </sheetViews>
  <sheetFormatPr defaultRowHeight="14.4" x14ac:dyDescent="0.55000000000000004"/>
  <cols>
    <col min="1" max="1" width="2.68359375" customWidth="1"/>
    <col min="2" max="2" width="45.734375" customWidth="1"/>
    <col min="4" max="4" width="8.9453125" bestFit="1" customWidth="1"/>
    <col min="5" max="5" width="17.68359375" customWidth="1"/>
    <col min="6" max="6" width="12.47265625" customWidth="1"/>
    <col min="7" max="7" width="14.20703125" bestFit="1" customWidth="1"/>
    <col min="8" max="8" width="15.5234375" bestFit="1" customWidth="1"/>
    <col min="10" max="10" width="9.41796875" bestFit="1" customWidth="1"/>
    <col min="11" max="11" width="9" bestFit="1" customWidth="1"/>
  </cols>
  <sheetData>
    <row r="2" spans="2:12" x14ac:dyDescent="0.55000000000000004">
      <c r="B2" s="15" t="s">
        <v>64</v>
      </c>
      <c r="C2" s="15" t="s">
        <v>65</v>
      </c>
      <c r="D2" s="15" t="s">
        <v>36</v>
      </c>
      <c r="E2" s="15" t="s">
        <v>66</v>
      </c>
      <c r="F2" s="15" t="s">
        <v>67</v>
      </c>
      <c r="G2" s="15" t="s">
        <v>68</v>
      </c>
      <c r="H2" s="15" t="s">
        <v>69</v>
      </c>
      <c r="J2" s="15" t="s">
        <v>99</v>
      </c>
      <c r="K2" s="15" t="s">
        <v>100</v>
      </c>
      <c r="L2" s="15" t="s">
        <v>101</v>
      </c>
    </row>
    <row r="3" spans="2:12" x14ac:dyDescent="0.55000000000000004">
      <c r="B3" t="str">
        <f>Dropuri!B7</f>
        <v>Bariera de vapori Clima Activ Plus</v>
      </c>
      <c r="C3" s="5" t="str">
        <f>Dropuri!G7</f>
        <v>rola</v>
      </c>
      <c r="D3">
        <v>5</v>
      </c>
      <c r="E3" s="13">
        <v>238</v>
      </c>
      <c r="F3" s="13">
        <f>D3*E3</f>
        <v>1190</v>
      </c>
      <c r="G3" s="13">
        <f>F3*1.19</f>
        <v>1416.1</v>
      </c>
      <c r="H3" s="13">
        <f>G3/D3</f>
        <v>283.21999999999997</v>
      </c>
      <c r="J3" s="13">
        <v>2.2000000000000002</v>
      </c>
      <c r="K3" s="13">
        <f>E8</f>
        <v>2.5</v>
      </c>
      <c r="L3" s="13">
        <f>K3-J3</f>
        <v>0.29999999999999982</v>
      </c>
    </row>
    <row r="4" spans="2:12" x14ac:dyDescent="0.55000000000000004">
      <c r="B4" t="str">
        <f>Dropuri!B8</f>
        <v>Bariera de vapori multistrat Knaufinsulation LDS 35</v>
      </c>
      <c r="C4" s="5" t="str">
        <f>Interfata!D6</f>
        <v>rola</v>
      </c>
      <c r="D4">
        <v>8</v>
      </c>
      <c r="E4" s="13">
        <v>163.44</v>
      </c>
      <c r="F4" s="13">
        <f t="shared" ref="F4:F10" si="0">D4*E4</f>
        <v>1307.52</v>
      </c>
      <c r="G4" s="13">
        <f t="shared" ref="G4:G10" si="1">F4*1.19</f>
        <v>1555.9487999999999</v>
      </c>
      <c r="H4" s="13">
        <f t="shared" ref="H4:H10" si="2">G4/D4</f>
        <v>194.49359999999999</v>
      </c>
    </row>
    <row r="5" spans="2:12" x14ac:dyDescent="0.55000000000000004">
      <c r="B5" t="str">
        <f>Dropuri!J7</f>
        <v>Banda adeziva PE1600MM</v>
      </c>
      <c r="C5" s="5" t="str">
        <f>Dropuri!M7</f>
        <v>rola</v>
      </c>
      <c r="D5">
        <v>10</v>
      </c>
      <c r="E5" s="13">
        <v>45.3</v>
      </c>
      <c r="F5" s="13">
        <f t="shared" si="0"/>
        <v>453</v>
      </c>
      <c r="G5" s="13">
        <f t="shared" si="1"/>
        <v>539.06999999999994</v>
      </c>
      <c r="H5" s="13">
        <f t="shared" si="2"/>
        <v>53.906999999999996</v>
      </c>
    </row>
    <row r="6" spans="2:12" x14ac:dyDescent="0.55000000000000004">
      <c r="B6" t="str">
        <f>Dropuri!P7</f>
        <v>Banda adeziva AIRSTOP Elasto 50 mm</v>
      </c>
      <c r="C6" s="5" t="str">
        <f>Dropuri!U7</f>
        <v>rola</v>
      </c>
      <c r="D6">
        <v>1</v>
      </c>
      <c r="E6" s="13">
        <v>63.024999999999999</v>
      </c>
      <c r="F6" s="13">
        <f t="shared" si="0"/>
        <v>63.024999999999999</v>
      </c>
      <c r="G6" s="13">
        <f t="shared" si="1"/>
        <v>74.999749999999992</v>
      </c>
      <c r="H6" s="13">
        <f t="shared" si="2"/>
        <v>74.999749999999992</v>
      </c>
    </row>
    <row r="7" spans="2:12" x14ac:dyDescent="0.55000000000000004">
      <c r="B7" t="str">
        <f>Dropuri!P8</f>
        <v>Banda de etansare Knaufinsulation LDS-1 60 mm</v>
      </c>
      <c r="C7" s="5" t="str">
        <f>Dropuri!U8</f>
        <v>rola</v>
      </c>
      <c r="D7">
        <v>6</v>
      </c>
      <c r="E7" s="13">
        <v>60.75</v>
      </c>
      <c r="F7" s="13">
        <f t="shared" si="0"/>
        <v>364.5</v>
      </c>
      <c r="G7" s="13">
        <f t="shared" si="1"/>
        <v>433.755</v>
      </c>
      <c r="H7" s="13">
        <f t="shared" si="2"/>
        <v>72.292500000000004</v>
      </c>
    </row>
    <row r="8" spans="2:12" x14ac:dyDescent="0.55000000000000004">
      <c r="B8" t="str">
        <f>Dropuri!B12</f>
        <v>Fibre de celuloza ISOGREEN FCH 100</v>
      </c>
      <c r="C8" s="5" t="str">
        <f>Dropuri!G12</f>
        <v>kg</v>
      </c>
      <c r="D8">
        <v>750</v>
      </c>
      <c r="E8" s="13">
        <v>2.5</v>
      </c>
      <c r="F8" s="13">
        <f t="shared" si="0"/>
        <v>1875</v>
      </c>
      <c r="G8" s="13">
        <f t="shared" si="1"/>
        <v>2231.25</v>
      </c>
      <c r="H8" s="13">
        <f t="shared" si="2"/>
        <v>2.9750000000000001</v>
      </c>
    </row>
    <row r="9" spans="2:12" x14ac:dyDescent="0.55000000000000004">
      <c r="B9" t="str">
        <f>Dropuri!J12</f>
        <v>Capse TIP 80/10</v>
      </c>
      <c r="C9" s="5" t="str">
        <f>Dropuri!M12</f>
        <v>cutie</v>
      </c>
      <c r="D9">
        <v>1</v>
      </c>
      <c r="E9" s="13">
        <v>65.489999999999995</v>
      </c>
      <c r="F9" s="13">
        <f t="shared" si="0"/>
        <v>65.489999999999995</v>
      </c>
      <c r="G9" s="13">
        <f t="shared" si="1"/>
        <v>77.933099999999996</v>
      </c>
      <c r="H9" s="13">
        <f t="shared" si="2"/>
        <v>77.933099999999996</v>
      </c>
    </row>
    <row r="10" spans="2:12" x14ac:dyDescent="0.55000000000000004">
      <c r="B10" s="82" t="s">
        <v>138</v>
      </c>
      <c r="C10" s="81" t="s">
        <v>23</v>
      </c>
      <c r="D10">
        <v>1</v>
      </c>
      <c r="E10" s="13">
        <v>245</v>
      </c>
      <c r="F10" s="13">
        <f t="shared" si="0"/>
        <v>245</v>
      </c>
      <c r="G10" s="13">
        <f t="shared" si="1"/>
        <v>291.55</v>
      </c>
      <c r="H10" s="13">
        <f t="shared" si="2"/>
        <v>291.55</v>
      </c>
    </row>
    <row r="21" spans="5:5" x14ac:dyDescent="0.55000000000000004">
      <c r="E21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57CE-0A7F-4A69-B709-5E8D898AB926}">
  <sheetPr codeName="Foaie4"/>
  <dimension ref="B2:AC28"/>
  <sheetViews>
    <sheetView zoomScaleNormal="100" workbookViewId="0">
      <selection activeCell="B9" sqref="B9"/>
    </sheetView>
  </sheetViews>
  <sheetFormatPr defaultRowHeight="14.4" x14ac:dyDescent="0.55000000000000004"/>
  <cols>
    <col min="1" max="1" width="2.68359375" customWidth="1"/>
    <col min="6" max="6" width="10.41796875" customWidth="1"/>
    <col min="9" max="9" width="2.68359375" customWidth="1"/>
    <col min="12" max="12" width="11.578125" customWidth="1"/>
    <col min="15" max="15" width="2.68359375" customWidth="1"/>
    <col min="24" max="24" width="9" customWidth="1"/>
    <col min="25" max="25" width="12.83984375" customWidth="1"/>
    <col min="26" max="26" width="29.83984375" bestFit="1" customWidth="1"/>
    <col min="27" max="27" width="27.05078125" bestFit="1" customWidth="1"/>
    <col min="28" max="28" width="18.734375" bestFit="1" customWidth="1"/>
    <col min="29" max="29" width="16.20703125" bestFit="1" customWidth="1"/>
  </cols>
  <sheetData>
    <row r="2" spans="2:29" x14ac:dyDescent="0.55000000000000004">
      <c r="B2" s="1" t="s">
        <v>121</v>
      </c>
    </row>
    <row r="3" spans="2:29" x14ac:dyDescent="0.55000000000000004">
      <c r="B3" s="1" t="s">
        <v>13</v>
      </c>
    </row>
    <row r="4" spans="2:29" x14ac:dyDescent="0.55000000000000004">
      <c r="B4" s="1" t="s">
        <v>126</v>
      </c>
    </row>
    <row r="6" spans="2:29" x14ac:dyDescent="0.55000000000000004">
      <c r="B6" s="1" t="s">
        <v>41</v>
      </c>
      <c r="G6" s="5" t="s">
        <v>22</v>
      </c>
      <c r="H6" s="5" t="s">
        <v>0</v>
      </c>
      <c r="I6" s="5"/>
      <c r="J6" s="4" t="s">
        <v>49</v>
      </c>
      <c r="K6" s="4"/>
      <c r="L6" s="4"/>
      <c r="M6" s="5" t="s">
        <v>22</v>
      </c>
      <c r="N6" s="5" t="s">
        <v>24</v>
      </c>
      <c r="O6" s="5"/>
      <c r="P6" s="4" t="s">
        <v>50</v>
      </c>
      <c r="Q6" s="4"/>
      <c r="R6" s="4"/>
      <c r="S6" s="4"/>
      <c r="U6" s="5" t="s">
        <v>22</v>
      </c>
      <c r="V6" s="5" t="s">
        <v>24</v>
      </c>
      <c r="X6" s="5"/>
      <c r="Y6" s="5" t="s">
        <v>121</v>
      </c>
      <c r="Z6" s="5" t="s">
        <v>117</v>
      </c>
      <c r="AA6" s="5" t="s">
        <v>118</v>
      </c>
      <c r="AB6" s="5" t="s">
        <v>119</v>
      </c>
      <c r="AC6" s="5" t="s">
        <v>120</v>
      </c>
    </row>
    <row r="7" spans="2:29" x14ac:dyDescent="0.55000000000000004">
      <c r="B7" s="1" t="s">
        <v>10</v>
      </c>
      <c r="G7" s="5" t="s">
        <v>23</v>
      </c>
      <c r="H7" s="5">
        <v>75</v>
      </c>
      <c r="I7" s="5"/>
      <c r="J7" s="1" t="s">
        <v>12</v>
      </c>
      <c r="M7" s="5" t="s">
        <v>23</v>
      </c>
      <c r="N7" s="5">
        <v>25</v>
      </c>
      <c r="O7" s="5"/>
      <c r="P7" s="1" t="s">
        <v>11</v>
      </c>
      <c r="U7" s="5" t="s">
        <v>23</v>
      </c>
      <c r="V7" s="5">
        <v>25</v>
      </c>
      <c r="Y7" s="43" t="s">
        <v>127</v>
      </c>
      <c r="Z7" s="43" t="s">
        <v>127</v>
      </c>
      <c r="AB7" s="43" t="s">
        <v>127</v>
      </c>
    </row>
    <row r="8" spans="2:29" x14ac:dyDescent="0.55000000000000004">
      <c r="B8" s="1" t="s">
        <v>19</v>
      </c>
      <c r="G8" s="5" t="s">
        <v>23</v>
      </c>
      <c r="H8" s="5">
        <v>75</v>
      </c>
      <c r="I8" s="5"/>
      <c r="M8" s="5"/>
      <c r="N8" s="5"/>
      <c r="O8" s="5"/>
      <c r="P8" s="1" t="s">
        <v>20</v>
      </c>
      <c r="U8" s="5" t="s">
        <v>23</v>
      </c>
      <c r="V8" s="5">
        <v>25</v>
      </c>
      <c r="Y8" s="43" t="s">
        <v>111</v>
      </c>
      <c r="Z8" s="43" t="s">
        <v>111</v>
      </c>
      <c r="AB8" s="43" t="s">
        <v>111</v>
      </c>
    </row>
    <row r="9" spans="2:29" x14ac:dyDescent="0.55000000000000004">
      <c r="B9" s="82" t="s">
        <v>138</v>
      </c>
      <c r="G9" s="5" t="s">
        <v>23</v>
      </c>
      <c r="H9" s="5">
        <v>75</v>
      </c>
      <c r="Y9" s="43" t="s">
        <v>114</v>
      </c>
      <c r="Z9" s="43" t="s">
        <v>114</v>
      </c>
      <c r="AB9" s="43" t="s">
        <v>114</v>
      </c>
    </row>
    <row r="10" spans="2:29" x14ac:dyDescent="0.55000000000000004">
      <c r="Y10" s="43" t="s">
        <v>57</v>
      </c>
      <c r="Z10" s="43" t="s">
        <v>57</v>
      </c>
      <c r="AB10" s="43" t="s">
        <v>57</v>
      </c>
    </row>
    <row r="11" spans="2:29" x14ac:dyDescent="0.55000000000000004">
      <c r="B11" s="1" t="s">
        <v>5</v>
      </c>
      <c r="G11" s="5" t="s">
        <v>22</v>
      </c>
      <c r="J11" s="1" t="s">
        <v>4</v>
      </c>
      <c r="M11" s="5" t="s">
        <v>22</v>
      </c>
      <c r="N11" s="5"/>
      <c r="P11" s="1" t="s">
        <v>7</v>
      </c>
      <c r="U11" s="5" t="s">
        <v>22</v>
      </c>
      <c r="Y11" s="43" t="s">
        <v>56</v>
      </c>
      <c r="Z11" s="43" t="s">
        <v>56</v>
      </c>
      <c r="AB11" s="43" t="s">
        <v>56</v>
      </c>
    </row>
    <row r="12" spans="2:29" x14ac:dyDescent="0.55000000000000004">
      <c r="B12" s="1" t="s">
        <v>15</v>
      </c>
      <c r="G12" s="5" t="s">
        <v>26</v>
      </c>
      <c r="J12" s="3" t="s">
        <v>14</v>
      </c>
      <c r="M12" s="5" t="s">
        <v>25</v>
      </c>
      <c r="P12" s="1" t="s">
        <v>137</v>
      </c>
      <c r="U12" s="5" t="s">
        <v>27</v>
      </c>
      <c r="Z12" s="43" t="s">
        <v>60</v>
      </c>
      <c r="AB12" s="43" t="s">
        <v>60</v>
      </c>
    </row>
    <row r="13" spans="2:29" x14ac:dyDescent="0.55000000000000004">
      <c r="Z13" s="43" t="s">
        <v>115</v>
      </c>
      <c r="AB13" s="43" t="s">
        <v>115</v>
      </c>
    </row>
    <row r="14" spans="2:29" x14ac:dyDescent="0.55000000000000004">
      <c r="Z14" s="43" t="s">
        <v>53</v>
      </c>
      <c r="AB14" s="43" t="s">
        <v>53</v>
      </c>
    </row>
    <row r="15" spans="2:29" x14ac:dyDescent="0.55000000000000004">
      <c r="B15" s="1" t="s">
        <v>6</v>
      </c>
      <c r="G15" s="5" t="s">
        <v>22</v>
      </c>
      <c r="J15" s="2" t="s">
        <v>3</v>
      </c>
      <c r="M15" s="5" t="s">
        <v>22</v>
      </c>
      <c r="P15" s="1" t="s">
        <v>8</v>
      </c>
      <c r="Z15" s="43" t="s">
        <v>116</v>
      </c>
      <c r="AB15" s="43" t="s">
        <v>116</v>
      </c>
    </row>
    <row r="16" spans="2:29" x14ac:dyDescent="0.55000000000000004">
      <c r="B16" s="1" t="s">
        <v>135</v>
      </c>
      <c r="G16" s="5" t="s">
        <v>28</v>
      </c>
      <c r="J16" s="1" t="s">
        <v>136</v>
      </c>
      <c r="M16" s="5" t="s">
        <v>124</v>
      </c>
      <c r="P16" s="1" t="s">
        <v>17</v>
      </c>
      <c r="Z16" s="43" t="s">
        <v>54</v>
      </c>
      <c r="AB16" s="43" t="s">
        <v>54</v>
      </c>
    </row>
    <row r="17" spans="2:28" x14ac:dyDescent="0.55000000000000004">
      <c r="Z17" s="43" t="s">
        <v>55</v>
      </c>
      <c r="AB17" s="43" t="s">
        <v>55</v>
      </c>
    </row>
    <row r="18" spans="2:28" x14ac:dyDescent="0.55000000000000004">
      <c r="Z18" s="43" t="s">
        <v>58</v>
      </c>
    </row>
    <row r="19" spans="2:28" x14ac:dyDescent="0.55000000000000004">
      <c r="B19" s="1" t="s">
        <v>30</v>
      </c>
      <c r="G19" s="5" t="s">
        <v>22</v>
      </c>
      <c r="J19" s="1" t="s">
        <v>32</v>
      </c>
      <c r="M19" s="5" t="s">
        <v>22</v>
      </c>
      <c r="P19" s="1" t="s">
        <v>9</v>
      </c>
      <c r="Z19" s="43" t="s">
        <v>59</v>
      </c>
    </row>
    <row r="20" spans="2:28" x14ac:dyDescent="0.55000000000000004">
      <c r="B20" s="1">
        <v>20</v>
      </c>
      <c r="G20" s="5" t="s">
        <v>29</v>
      </c>
      <c r="J20" s="1">
        <v>7</v>
      </c>
      <c r="M20" s="5" t="s">
        <v>31</v>
      </c>
      <c r="P20" s="1" t="s">
        <v>18</v>
      </c>
      <c r="Z20" s="43" t="s">
        <v>61</v>
      </c>
    </row>
    <row r="21" spans="2:28" x14ac:dyDescent="0.55000000000000004">
      <c r="B21" s="1">
        <v>25</v>
      </c>
      <c r="J21" s="1">
        <v>10</v>
      </c>
      <c r="P21" s="1" t="s">
        <v>21</v>
      </c>
      <c r="Z21" s="43" t="s">
        <v>62</v>
      </c>
    </row>
    <row r="22" spans="2:28" x14ac:dyDescent="0.55000000000000004">
      <c r="B22" s="1">
        <v>50</v>
      </c>
      <c r="J22" s="1">
        <v>12</v>
      </c>
      <c r="Z22" s="43" t="s">
        <v>63</v>
      </c>
    </row>
    <row r="23" spans="2:28" x14ac:dyDescent="0.55000000000000004">
      <c r="B23" s="1">
        <v>55</v>
      </c>
      <c r="J23" s="1">
        <v>15</v>
      </c>
      <c r="P23" t="s">
        <v>41</v>
      </c>
      <c r="Q23" t="s">
        <v>52</v>
      </c>
    </row>
    <row r="24" spans="2:28" x14ac:dyDescent="0.55000000000000004">
      <c r="B24" s="1">
        <v>60</v>
      </c>
      <c r="J24" s="1">
        <v>18</v>
      </c>
      <c r="P24" s="14">
        <v>0.1</v>
      </c>
      <c r="Q24" s="14">
        <v>0.1</v>
      </c>
    </row>
    <row r="25" spans="2:28" x14ac:dyDescent="0.55000000000000004">
      <c r="J25" s="1">
        <v>20</v>
      </c>
      <c r="P25" s="14">
        <v>0.15</v>
      </c>
      <c r="Q25" s="14">
        <v>0.15</v>
      </c>
    </row>
    <row r="26" spans="2:28" x14ac:dyDescent="0.55000000000000004">
      <c r="J26" s="1">
        <v>25</v>
      </c>
      <c r="P26" s="14">
        <v>0.2</v>
      </c>
      <c r="Q26" s="14">
        <v>0.2</v>
      </c>
    </row>
    <row r="27" spans="2:28" x14ac:dyDescent="0.55000000000000004">
      <c r="P27" s="14">
        <v>0.25</v>
      </c>
      <c r="Q27" s="14">
        <v>0.25</v>
      </c>
    </row>
    <row r="28" spans="2:28" x14ac:dyDescent="0.55000000000000004">
      <c r="P28" s="14">
        <v>0.3</v>
      </c>
      <c r="Q28" s="14">
        <v>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2449-09D7-4DE6-A653-58755CBFDECE}">
  <dimension ref="B2:M16"/>
  <sheetViews>
    <sheetView topLeftCell="D4" workbookViewId="0">
      <selection activeCell="J15" sqref="J15"/>
    </sheetView>
  </sheetViews>
  <sheetFormatPr defaultRowHeight="14.4" x14ac:dyDescent="0.55000000000000004"/>
  <cols>
    <col min="1" max="1" width="3" customWidth="1"/>
    <col min="2" max="2" width="9.05078125" customWidth="1"/>
    <col min="7" max="7" width="3.05078125" customWidth="1"/>
    <col min="8" max="8" width="75.26171875" customWidth="1"/>
    <col min="9" max="9" width="3.3125" customWidth="1"/>
    <col min="10" max="10" width="76.20703125" bestFit="1" customWidth="1"/>
    <col min="11" max="11" width="3.3125" customWidth="1"/>
    <col min="12" max="12" width="67" customWidth="1"/>
  </cols>
  <sheetData>
    <row r="2" spans="2:13" x14ac:dyDescent="0.55000000000000004">
      <c r="B2" s="17" t="s">
        <v>79</v>
      </c>
      <c r="C2" s="17" t="s">
        <v>80</v>
      </c>
      <c r="D2" s="17" t="s">
        <v>81</v>
      </c>
      <c r="E2" s="17" t="s">
        <v>82</v>
      </c>
      <c r="F2" s="17" t="s">
        <v>83</v>
      </c>
    </row>
    <row r="3" spans="2:13" x14ac:dyDescent="0.55000000000000004">
      <c r="B3" s="43" t="str">
        <f>IF((AND(Interfata!C5&lt;&gt;"",Interfata!C7="",Interfata!C14="Nu")),"1","")</f>
        <v>1</v>
      </c>
      <c r="C3" s="43" t="str">
        <f>IF((AND(Interfata!C5="",Interfata!C7="",Interfata!C14="Da")),"2","")</f>
        <v/>
      </c>
      <c r="D3" s="43" t="str">
        <f>IF((AND(Interfata!C5&lt;&gt;"",Interfata!C7&lt;&gt;"",Interfata!C14="Nu")),"3","")</f>
        <v/>
      </c>
      <c r="E3" s="43" t="str">
        <f>IF((AND(Interfata!C5&lt;&gt;"",Interfata!C7="",Interfata!C14="Da")),"4","")</f>
        <v/>
      </c>
      <c r="F3" s="43" t="str">
        <f>IF((AND(Interfata!C5&lt;&gt;"",Interfata!C7&lt;&gt;"",Interfata!C14="Da")),"5","")</f>
        <v/>
      </c>
    </row>
    <row r="4" spans="2:13" x14ac:dyDescent="0.55000000000000004">
      <c r="B4" s="43" t="str">
        <f>B3</f>
        <v>1</v>
      </c>
      <c r="C4" s="43" t="str">
        <f>C3</f>
        <v/>
      </c>
      <c r="D4" s="43" t="str">
        <f>D3</f>
        <v/>
      </c>
      <c r="E4" s="43" t="str">
        <f>E3</f>
        <v/>
      </c>
      <c r="F4" s="43" t="str">
        <f>F3</f>
        <v/>
      </c>
      <c r="L4" s="51"/>
    </row>
    <row r="5" spans="2:13" x14ac:dyDescent="0.55000000000000004">
      <c r="L5" s="52"/>
    </row>
    <row r="6" spans="2:13" x14ac:dyDescent="0.55000000000000004">
      <c r="B6" s="17" t="s">
        <v>84</v>
      </c>
      <c r="C6" s="17" t="s">
        <v>85</v>
      </c>
      <c r="D6" s="17" t="s">
        <v>86</v>
      </c>
      <c r="E6" s="17" t="s">
        <v>87</v>
      </c>
      <c r="F6" s="17" t="s">
        <v>88</v>
      </c>
    </row>
    <row r="7" spans="2:13" x14ac:dyDescent="0.55000000000000004">
      <c r="B7" s="5" t="str">
        <f>IF((AND(Interfata!C5&lt;&gt;"",Interfata!C7="",Interfata!C14="Nu")),"1","")</f>
        <v>1</v>
      </c>
      <c r="C7" s="5" t="str">
        <f>IF((AND(Interfata!C5="",Interfata!C7="",Interfata!C14="Da")),"2","")</f>
        <v/>
      </c>
      <c r="D7" s="5" t="str">
        <f>IF((AND(Interfata!C5&lt;&gt;"",Interfata!C7&lt;&gt;"",Interfata!C14="Nu")),"3","")</f>
        <v/>
      </c>
      <c r="E7" s="5" t="str">
        <f>IF((AND(Interfata!C5&lt;&gt;"",Interfata!C7="",Interfata!C14="Da")),"4","")</f>
        <v/>
      </c>
      <c r="F7" s="5" t="str">
        <f>IF((AND(Interfata!C5&lt;&gt;"",Interfata!C7&lt;&gt;"",Interfata!C14="Da")),"5","")</f>
        <v/>
      </c>
    </row>
    <row r="8" spans="2:13" x14ac:dyDescent="0.55000000000000004">
      <c r="B8" s="5" t="str">
        <f>B7</f>
        <v>1</v>
      </c>
      <c r="C8" s="5" t="str">
        <f>C7</f>
        <v/>
      </c>
      <c r="D8" s="5" t="str">
        <f>D7</f>
        <v/>
      </c>
      <c r="E8" s="5" t="str">
        <f>E7</f>
        <v/>
      </c>
      <c r="F8" s="5" t="str">
        <f>F7</f>
        <v/>
      </c>
    </row>
    <row r="9" spans="2:13" x14ac:dyDescent="0.55000000000000004">
      <c r="B9" s="5"/>
      <c r="C9" s="5"/>
      <c r="D9" s="5"/>
      <c r="E9" s="5"/>
      <c r="F9" s="5"/>
    </row>
    <row r="10" spans="2:13" ht="42" customHeight="1" x14ac:dyDescent="0.55000000000000004">
      <c r="G10" s="5">
        <v>1</v>
      </c>
      <c r="H10" s="44" t="s">
        <v>76</v>
      </c>
      <c r="J10" s="44" t="s">
        <v>89</v>
      </c>
      <c r="L10" s="45" t="str">
        <f>"Stratul de izolatie ofertat este de "&amp;Interfata!J5&amp;" cm grosime cu un volum injectat de "&amp;Interfata!J24&amp;" mc.
Densitatea stratului de izolatie este de minim "&amp;Interfata!I5&amp;" kg / mc."</f>
        <v>Stratul de izolatie ofertat este de 12 cm grosime cu un volum injectat de 33.6 mc.
Densitatea stratului de izolatie este de minim 55 kg / mc.</v>
      </c>
      <c r="M10" s="5"/>
    </row>
    <row r="11" spans="2:13" ht="44.65" customHeight="1" x14ac:dyDescent="0.55000000000000004">
      <c r="G11" s="5">
        <v>2</v>
      </c>
      <c r="H11" s="44" t="s">
        <v>77</v>
      </c>
      <c r="J11" s="44" t="s">
        <v>90</v>
      </c>
      <c r="L11" s="47" t="str">
        <f>"Suprafata foliei utilizate se ajusteaza cu "&amp;M11&amp;" avand in vedere pierderile inerente."</f>
        <v>Suprafata foliei utilizate se ajusteaza cu 30% avand in vedere pierderile inerente.</v>
      </c>
      <c r="M11" s="54" t="str">
        <f>TEXT(Interfata!I16,"0%")</f>
        <v>30%</v>
      </c>
    </row>
    <row r="12" spans="2:13" ht="71.25" customHeight="1" x14ac:dyDescent="0.55000000000000004">
      <c r="G12" s="5">
        <v>3</v>
      </c>
      <c r="H12" s="45" t="str">
        <f>"- se monteaza bariera de vapori multistrat cu prindere pe capriori in capse de dulgherie 10 mm
- se etanseaza suprapunerile de folie cu "&amp;Interfata!$C$7&amp;" cu rol de fixare, etansare si ventilatie controlata si uniforma
- se injecteaza celuloza ISOGREEN FCH100 cu densitatea mentionata in oferta
- se etanseaza perforatiile cu banda flexibila"</f>
        <v>- se monteaza bariera de vapori multistrat cu prindere pe capriori in capse de dulgherie 10 mm
- se etanseaza suprapunerile de folie cu  cu rol de fixare, etansare si ventilatie controlata si uniforma
- se injecteaza celuloza ISOGREEN FCH100 cu densitatea mentionata in oferta
- se etanseaza perforatiile cu banda flexibila</v>
      </c>
      <c r="J12" s="45" t="str">
        <f>"- s-a montat bariera de vapori multistrat cu prindere pe capriori in capse de dulgherie 10 mm
- s-au etansat suprapunerile de folie cu "&amp;Interfata!$C$7&amp;" cu rol de fixare, etansare si ventilatie controlata si uniforma
- s-a injectat celuloza ISOGREEN FCH100 cu densitatea mentionata in oferta
- s-au etansat perforatiile cu banda flexibila"</f>
        <v>- s-a montat bariera de vapori multistrat cu prindere pe capriori in capse de dulgherie 10 mm
- s-au etansat suprapunerile de folie cu  cu rol de fixare, etansare si ventilatie controlata si uniforma
- s-a injectat celuloza ISOGREEN FCH100 cu densitatea mentionata in oferta
- s-au etansat perforatiile cu banda flexibila</v>
      </c>
      <c r="L12" s="48" t="str">
        <f>"Stratul de izolatie este de "&amp;Interfata!J5&amp;" cm grosime cu un volum injectat de "&amp;Interfata!J24&amp;" mc.
Densitatea stratului de izolatie este de minim "&amp;Interfata!I5&amp;" kg / mc."</f>
        <v>Stratul de izolatie este de 12 cm grosime cu un volum injectat de 33.6 mc.
Densitatea stratului de izolatie este de minim 55 kg / mc.</v>
      </c>
      <c r="M12" s="5"/>
    </row>
    <row r="13" spans="2:13" ht="58.15" customHeight="1" x14ac:dyDescent="0.55000000000000004">
      <c r="G13" s="5">
        <v>4</v>
      </c>
      <c r="H13" s="46" t="s">
        <v>78</v>
      </c>
      <c r="J13" s="46" t="s">
        <v>91</v>
      </c>
      <c r="L13" s="48" t="s">
        <v>126</v>
      </c>
      <c r="M13" s="5" t="s">
        <v>105</v>
      </c>
    </row>
    <row r="14" spans="2:13" ht="86.65" customHeight="1" x14ac:dyDescent="0.55000000000000004">
      <c r="G14" s="5">
        <v>5</v>
      </c>
      <c r="H14" s="48" t="str">
        <f>"- se monteaza bariera de vapori multistrat cu prindere pe capriori in capse de dulgherie 10 mm
- se caroteaza structura in vederea crearii gurilor de injectare
- se etanseaza suprapunerile de folie cu "&amp;Interfata!$C$7&amp;" cu rol de fixare, etansare si ventilatie controlata si uniforma
- se injecteaza celuloza ISOGREEN FCH100 cu densitatea mentionata in oferta
- se etanseaza perforatiile cu banda flexibila"</f>
        <v>- se monteaza bariera de vapori multistrat cu prindere pe capriori in capse de dulgherie 10 mm
- se caroteaza structura in vederea crearii gurilor de injectare
- se etanseaza suprapunerile de folie cu  cu rol de fixare, etansare si ventilatie controlata si uniforma
- se injecteaza celuloza ISOGREEN FCH100 cu densitatea mentionata in oferta
- se etanseaza perforatiile cu banda flexibila</v>
      </c>
      <c r="J14" s="48" t="str">
        <f>"- s-a montat bariera de vapori multistrat cu prindere pe capriori in capse de dulgherie 10 mm
- s-a carotat structura in vederea crearii gurilor de injectare
- s-au etansat suprapunerile de folie cu "&amp;Interfata!$C$7&amp;" cu rol de fixare, etansare si ventilatie controlata si uniforma
- s-a injectat celuloza ISOGREEN FCH100 cu densitatea mentionata in oferta
- s-au etansat perforatiile cu banda flexibila"</f>
        <v>- s-a montat bariera de vapori multistrat cu prindere pe capriori in capse de dulgherie 10 mm
- s-a carotat structura in vederea crearii gurilor de injectare
- s-au etansat suprapunerile de folie cu  cu rol de fixare, etansare si ventilatie controlata si uniforma
- s-a injectat celuloza ISOGREEN FCH100 cu densitatea mentionata in oferta
- s-au etansat perforatiile cu banda flexibila</v>
      </c>
      <c r="L14" s="48"/>
      <c r="M14" s="5"/>
    </row>
    <row r="16" spans="2:13" ht="99" customHeight="1" x14ac:dyDescent="0.55000000000000004">
      <c r="H16" s="48" t="str">
        <f>_xlfn.IFS(B3&lt;&gt;"",H10,C3&lt;&gt;"",H11,D3&lt;&gt;"",H12,E3&lt;&gt;"",H13,F3&lt;&gt;"",H14)</f>
        <v>- se monteaza bariera de vapori multistrat cu prindere pe capriori in capse de dulgherie 10 mm
- se injecteaza celuloza ISOGREEN FCH100 cu densitatea mentionata in oferta
- se etanseaza perforatiile cu banda flexibila</v>
      </c>
      <c r="J16" s="48" t="str">
        <f>_xlfn.IFS(B7&lt;&gt;"",J10,C7&lt;&gt;"",J11,D7&lt;&gt;"",J12,E7&lt;&gt;"",J13,F7&lt;&gt;"",J14)</f>
        <v>- s-a montat bariera de vapori multistrat cu prindere pe capriori in capse de dulgherie 10 mm
- s-a injectat celuloza ISOGREEN FCH100 cu densitatea mentionata in oferta
- s-au etansat perforatiile cu banda flexibila</v>
      </c>
    </row>
  </sheetData>
  <pageMargins left="0.7" right="0.7" top="0.75" bottom="0.75" header="0.3" footer="0.3"/>
  <ignoredErrors>
    <ignoredError sqref="L1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7 a 5 0 7 b - 6 0 0 9 - 4 7 f 0 - 9 f c 8 - 9 3 5 f 7 3 6 8 7 2 5 f "   x m l n s = " h t t p : / / s c h e m a s . m i c r o s o f t . c o m / D a t a M a s h u p " > A A A A A I 4 F A A B Q S w M E F A A C A A g A q F R 3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q F R 3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U d 1 H n A o N 6 i A I A A D I H A A A T A B w A R m 9 y b X V s Y X M v U 2 V j d G l v b j E u b S C i G A A o o B Q A A A A A A A A A A A A A A A A A A A A A A A A A A A C d l E t u 2 z A Q h v c G f A d C 2 c i A I E d F 0 U W C L l I n A b p o W s j u A z W M g r L o h A U f A k n F T g y v f J N e p T l Y h 5 R s P S K 7 a b U x P T O c / x t y h p r M D Z U C j Y v f 6 L z f 6 / f 0 H V Y k R S f e K F c a v b u J P f Q W M W L 6 P Q T f G I x P W 7 B 8 4 y y c 4 I Q R 7 X 8 l S T i S w h B h t O / d G Z P p s + F w u V y G i V C h k k O R q M V K Y U N 0 d J r i B x 2 u O P M G g 6 B I 6 b J E k L L I v Y 4 2 U 2 e a l f 4 T b 0 I z x G V K F 3 S O j c V x / n C i s N A L q f h I s p y L y U M G M E W 2 Y L 3 2 x n n y E w r z A m T A g w x Z m U 2 A 1 t 5 H R W + h N k X E / K H h 3 A z 2 i q M 8 I Q h s V O h K 7 2 q V Y Z G 6 d a H o t 9 E C 5 H Z 6 V i a G e q 3 h w h h F k 9 y Q s 9 R a H I I N C n c B 7 k 8 7 q o n i Y l / E U w f f 5 S 6 F 1 t 4 V I x w u 6 W w C A U 2 0 e X U e N S v P m a E Z o 0 S 1 s M N 2 p s r T n b P L X 8 9 e K 1 c y i Q X U w C i n w p L v 6 4 0 J l / d l q d r v O J m g f u n t e / 4 P B p g D I n J O m x A C 8 z r E M 1 7 b e 1 1 3 C g i X 2 O D 2 U X Y f 2 A c p S A q x N S q 7 G W G B G X 0 k 9 O A U 1 J l q / B b K q Q e I 4 P k d u r T S 1 0 p y 3 6 4 m l J P v o F h Y f s B o F m N h u e s I 8 e 9 f I s 0 V R Q v K j G p c z p g w O P d Y L i 1 A E 7 W U 9 K d F U T P Y 4 1 1 9 j q s X Y E c M D 0 u G l a H z n G F F H 7 E B A 0 6 f t v m t X V Z a F 2 m 6 b / j n S O 6 q l d 7 J f s E s J + E l v a c p 8 W 9 y n h D l y r S t 6 0 9 P D j X 1 b B B E p / D V I B u z H v 3 l H X p h T U W z O N r 3 w r x 5 H d r d m 2 P z E B 0 e i B Z g U K Y + 2 t n R P 7 R 2 V P X 2 g V f A q n X K S Z X K 9 j S D j a h j X e t K K C d h N z 1 7 m U r l k 4 L 2 Z b B x 1 w r Z 0 1 a 3 2 v O a K m 1 u / E 6 k 4 N W g 3 6 P i B e n O / w B Q S w E C L Q A U A A I A C A C o V H d R c w A x I q Q A A A D 1 A A A A E g A A A A A A A A A A A A A A A A A A A A A A Q 2 9 u Z m l n L 1 B h Y 2 t h Z 2 U u e G 1 s U E s B A i 0 A F A A C A A g A q F R 3 U Q / K 6 a u k A A A A 6 Q A A A B M A A A A A A A A A A A A A A A A A 8 A A A A F t D b 2 5 0 Z W 5 0 X 1 R 5 c G V z X S 5 4 b W x Q S w E C L Q A U A A I A C A C o V H d R 5 w K D e o g C A A A y B w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E Q A A A A A A A N E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J z J T I w Q k 5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y Z S I g L z 4 8 R W 5 0 c n k g V H l w Z T 0 i U m V j b 3 Z l c n l U Y X J n Z X R T a G V l d C I g V m F s d W U 9 I n N J b n R l c m Z h d G E i I C 8 + P E V u d H J 5 I F R 5 c G U 9 I l J l Y 2 9 2 Z X J 5 V G F y Z 2 V 0 Q 2 9 s d W 1 u I i B W Y W x 1 Z T 0 i b D E 1 I i A v P j x F b n R y e S B U e X B l P S J S Z W N v d m V y e V R h c m d l d F J v d y I g V m F s d W U 9 I m w 0 I i A v P j x F b n R y e S B U e X B l P S J G a W x s V G F y Z 2 V 0 I i B W Y W x 1 Z T 0 i c 0 N 1 c n N f Q k 5 S I i A v P j x F b n R y e S B U e X B l P S J G a W x s Z W R D b 2 1 w b G V 0 Z V J l c 3 V s d F R v V 2 9 y a 3 N o Z W V 0 I i B W Y W x 1 Z T 0 i b D E i I C 8 + P E V u d H J 5 I F R 5 c G U 9 I l F 1 Z X J 5 S U Q i I F Z h b H V l P S J z O W I 1 Z j h i M 2 Q t Y j Y y O C 0 0 N W I 3 L W F m N 2 Q t Z j A z Z m E y N z I x O D E z I i A v P j x F b n R y e S B U e X B l P S J G a W x s T G F z d F V w Z G F 0 Z W Q i I F Z h b H V l P S J k M j A y M C 0 x M S 0 y M 1 Q w O D o z N z o x N y 4 1 N z c x N j I 3 W i I g L z 4 8 R W 5 0 c n k g V H l w Z T 0 i R m l s b E V y c m 9 y Q 2 9 1 b n Q i I F Z h b H V l P S J s M C I g L z 4 8 R W 5 0 c n k g V H l w Z T 0 i R m l s b E N v b H V t b l R 5 c G V z I i B W Y W x 1 Z T 0 i c 0 F B a 0 E i I C 8 + P E V u d H J 5 I F R 5 c G U 9 I k Z p b G x F c n J v c k N v Z G U i I F Z h b H V l P S J z V W 5 r b m 9 3 b i I g L z 4 8 R W 5 0 c n k g V H l w Z T 0 i R m l s b E N v b H V t b k 5 h b W V z I i B W Y W x 1 Z T 0 i c 1 s m c X V v d D t N b 2 5 l Z G E m c X V v d D s s J n F 1 b 3 Q 7 R G F 0 Y S Z x d W 9 0 O y w m c X V v d D t D d X J z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y c y B C T l I v Q 3 V i Z S 5 S Y X R l I G V 4 d G l u c y 5 7 Q 3 V i Z S 5 S Y X R l L k F 0 d H J p Y n V 0 Z T p j d X J y Z W 5 j e S w z f S Z x d W 9 0 O y w m c X V v d D t T Z W N 0 a W 9 u M S 9 D d X J z I E J O U i 9 E Y X R h I G F u Y W x p e m V p L n t E Y X R h L D J 9 J n F 1 b 3 Q 7 L C Z x d W 9 0 O 1 N l Y 3 R p b 2 4 x L 0 N 1 c n M g Q k 5 S L 0 N 1 Y m U u U m F 0 Z S B l e H R p b n M u e 0 N 1 Y m U u U m F 0 Z S 5 F b G V t Z W 5 0 O l R l e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V y c y B C T l I v Q 3 V i Z S 5 S Y X R l I G V 4 d G l u c y 5 7 Q 3 V i Z S 5 S Y X R l L k F 0 d H J p Y n V 0 Z T p j d X J y Z W 5 j e S w z f S Z x d W 9 0 O y w m c X V v d D t T Z W N 0 a W 9 u M S 9 D d X J z I E J O U i 9 E Y X R h I G F u Y W x p e m V p L n t E Y X R h L D J 9 J n F 1 b 3 Q 7 L C Z x d W 9 0 O 1 N l Y 3 R p b 2 4 x L 0 N 1 c n M g Q k 5 S L 0 N 1 Y m U u U m F 0 Z S B l e H R p b n M u e 0 N 1 Y m U u U m F 0 Z S 5 F b G V t Z W 5 0 O l R l e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n M l M j B C T l I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M l M j B C T l I v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y U y M E J O U i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z J T I w Q k 5 S L 0 N 1 Y m U l M j B l e H R p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z J T I w Q k 5 S L 0 N 1 Y m U u U m F 0 Z S U y M G V 4 d G l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M l M j B C T l I v Q 2 9 s b 2 F u Z S U y M G V s a W 1 p b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M l M j B C T l I v Q 2 9 s b 2 F u Z S U y M H J l Z G V u d W 1 p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z J T I w Q k 5 S L 0 R h d G E l M j B h b m F s a X p l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M l M j B C T l I v U i V D M y V B M m 5 k d X J p J T I w Z m l s d H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z J T I w Q k 5 S L 0 N v b G 9 h b i V D N C U 4 M y U y M H B h c n R p Y 3 V s Y X J p e m F 0 J U M 0 J T g z J T I w Y W Q l Q z Q l O D N 1 Z 2 F 0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y U y M E J O U i 9 U a X A l M j B t b 2 R p Z m l j Y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y U y M E J O U i 9 D b 2 x v Y W 5 l J T I w Z W x p b W l u Y X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M l M j B C T l I v Q 2 9 s b 2 F u Z S U y M H J l Z G V u d W 1 p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y U y M E J O U i 9 D b 2 x v Y W 5 l J T I w c m V v c m R v b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M l M j B C T l I v U H J p b W V s Z S U y M H I l Q z M l Q T J u Z H V y a S U y M H A l Q z Q l O D N z d H J h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C D u k P M 5 3 k q v / x 0 y g y k C 5 w A A A A A C A A A A A A A Q Z g A A A A E A A C A A A A A 8 K w + A z T Z Q Y b f H K d a b G F v K w C V 5 e E X h v h I Z N u g d U n s r p w A A A A A O g A A A A A I A A C A A A A D P q S o g g y z G P W N d n x A N R 5 e e x R B E h p G t T T i / 9 e Z Y c 1 p 9 g V A A A A C u z 6 t D d p Z k s N v + F 3 F j G M y d E X P 8 g 6 6 l x F t z F X R T K J 9 a d I f i e Y w j Q p K S C w f P 9 f c x V v b v x r Z j T 9 7 j 9 R i h W z r k T A D 2 P s E e S n q d d E w + q G c l g x p S Z E A A A A B p Z e 6 c c u Z R D / t 7 Q Z M b e i q M K g D w p z k f V V G w f q T K w a y y Z t R u V Z O + q Q 5 / z B Y 4 C I x f k m p 2 o j + c w J y + U M t f C N U i 1 G z C < / D a t a M a s h u p > 
</file>

<file path=customXml/itemProps1.xml><?xml version="1.0" encoding="utf-8"?>
<ds:datastoreItem xmlns:ds="http://schemas.openxmlformats.org/officeDocument/2006/customXml" ds:itemID="{A9B0B426-DF0F-4650-8702-F815D9EAC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Interfata</vt:lpstr>
      <vt:lpstr>MailMerge</vt:lpstr>
      <vt:lpstr>Deviz - Oferta</vt:lpstr>
      <vt:lpstr>Preturi</vt:lpstr>
      <vt:lpstr>Dropuri</vt:lpstr>
      <vt:lpstr>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iBijoux</dc:creator>
  <cp:lastModifiedBy>ceL3_</cp:lastModifiedBy>
  <cp:lastPrinted>2020-05-15T19:01:03Z</cp:lastPrinted>
  <dcterms:created xsi:type="dcterms:W3CDTF">2020-05-06T06:32:44Z</dcterms:created>
  <dcterms:modified xsi:type="dcterms:W3CDTF">2020-11-24T12:39:12Z</dcterms:modified>
</cp:coreProperties>
</file>