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codeName="ThisWorkbook"/>
  <mc:AlternateContent xmlns:mc="http://schemas.openxmlformats.org/markup-compatibility/2006">
    <mc:Choice Requires="x15">
      <x15ac:absPath xmlns:x15ac="http://schemas.microsoft.com/office/spreadsheetml/2010/11/ac" url="D:\3rd semster\business finance\project\Ansari Sugar Mills Limtied\"/>
    </mc:Choice>
  </mc:AlternateContent>
  <xr:revisionPtr revIDLastSave="0" documentId="13_ncr:1_{7A9413E2-CC82-450D-A9DE-AD5A88F6DBDC}" xr6:coauthVersionLast="36" xr6:coauthVersionMax="36" xr10:uidLastSave="{00000000-0000-0000-0000-000000000000}"/>
  <bookViews>
    <workbookView xWindow="-110" yWindow="-110" windowWidth="23260" windowHeight="13180" tabRatio="865" activeTab="1" xr2:uid="{00000000-000D-0000-FFFF-FFFF00000000}"/>
  </bookViews>
  <sheets>
    <sheet name="ANSARI" sheetId="13" r:id="rId1"/>
    <sheet name="Ratios" sheetId="1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5" i="13" l="1"/>
  <c r="G85" i="13"/>
  <c r="F85" i="13"/>
  <c r="E85" i="13"/>
  <c r="D85" i="13"/>
  <c r="E79" i="13"/>
  <c r="E82" i="13" s="1"/>
  <c r="H74" i="13"/>
  <c r="H79" i="13" s="1"/>
  <c r="H82" i="13" s="1"/>
  <c r="G74" i="13"/>
  <c r="G79" i="13" s="1"/>
  <c r="G82" i="13" s="1"/>
  <c r="F74" i="13"/>
  <c r="F79" i="13" s="1"/>
  <c r="F82" i="13" s="1"/>
  <c r="E74" i="13"/>
  <c r="D74" i="13"/>
  <c r="D79" i="13" s="1"/>
  <c r="D82" i="13" s="1"/>
  <c r="H66" i="13"/>
  <c r="G66" i="13"/>
  <c r="F66" i="13"/>
  <c r="E66" i="13"/>
  <c r="D66" i="13"/>
  <c r="H57" i="13"/>
  <c r="G57" i="13"/>
  <c r="F57" i="13"/>
  <c r="E57" i="13"/>
  <c r="D57" i="13"/>
  <c r="H51" i="13"/>
  <c r="G51" i="13"/>
  <c r="F51" i="13"/>
  <c r="E51" i="13"/>
  <c r="D51" i="13"/>
  <c r="H44" i="13"/>
  <c r="G44" i="13"/>
  <c r="F44" i="13"/>
  <c r="E44" i="13"/>
  <c r="D44" i="13"/>
  <c r="F12" i="13"/>
  <c r="J9" i="13" s="1"/>
  <c r="E12" i="13"/>
  <c r="D12" i="13"/>
  <c r="J8" i="13"/>
  <c r="H21" i="14" l="1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20" i="14"/>
  <c r="G20" i="14"/>
  <c r="H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20" i="14"/>
  <c r="H66" i="14"/>
  <c r="H67" i="14"/>
  <c r="H68" i="14"/>
  <c r="H69" i="14"/>
  <c r="H70" i="14"/>
  <c r="H71" i="14"/>
  <c r="H72" i="14"/>
  <c r="G66" i="14"/>
  <c r="G67" i="14"/>
  <c r="G68" i="14"/>
  <c r="G69" i="14"/>
  <c r="G70" i="14"/>
  <c r="G71" i="14"/>
  <c r="G72" i="14"/>
  <c r="F66" i="14"/>
  <c r="F67" i="14"/>
  <c r="F68" i="14"/>
  <c r="F69" i="14"/>
  <c r="F70" i="14"/>
  <c r="F71" i="14"/>
  <c r="F72" i="14"/>
  <c r="E66" i="14"/>
  <c r="E67" i="14"/>
  <c r="E68" i="14"/>
  <c r="E69" i="14"/>
  <c r="E70" i="14"/>
  <c r="E71" i="14"/>
  <c r="E72" i="14"/>
  <c r="D66" i="14"/>
  <c r="D67" i="14"/>
  <c r="D68" i="14"/>
  <c r="D69" i="14"/>
  <c r="D70" i="14"/>
  <c r="D71" i="14"/>
  <c r="D72" i="14"/>
  <c r="E65" i="14"/>
  <c r="F65" i="14"/>
  <c r="G65" i="14"/>
  <c r="H65" i="14"/>
  <c r="D65" i="14"/>
  <c r="F19" i="14"/>
  <c r="G19" i="14"/>
  <c r="H19" i="14"/>
  <c r="E19" i="14"/>
  <c r="D2" i="14" l="1"/>
  <c r="D16" i="14" l="1"/>
  <c r="E16" i="14"/>
  <c r="H16" i="14"/>
  <c r="G16" i="14"/>
  <c r="F16" i="14"/>
  <c r="D15" i="14"/>
  <c r="F15" i="14"/>
  <c r="E15" i="14"/>
  <c r="H15" i="14"/>
  <c r="G15" i="14"/>
  <c r="H14" i="14"/>
  <c r="G14" i="14"/>
  <c r="F14" i="14"/>
  <c r="E14" i="14"/>
  <c r="D14" i="14"/>
  <c r="H6" i="14" l="1"/>
  <c r="G6" i="14"/>
  <c r="F6" i="14"/>
  <c r="E6" i="14"/>
  <c r="D6" i="14"/>
  <c r="H5" i="14"/>
  <c r="G5" i="14"/>
  <c r="F5" i="14"/>
  <c r="E5" i="14"/>
  <c r="D5" i="14"/>
  <c r="F4" i="14"/>
  <c r="E4" i="14"/>
  <c r="D4" i="14"/>
  <c r="H4" i="14" l="1"/>
  <c r="H2" i="14" l="1"/>
  <c r="H3" i="14"/>
  <c r="G4" i="14"/>
  <c r="E3" i="14" l="1"/>
  <c r="E2" i="14"/>
  <c r="G2" i="14"/>
  <c r="G3" i="14"/>
  <c r="F2" i="14"/>
  <c r="F3" i="14"/>
  <c r="D3" i="14" l="1"/>
  <c r="D104" i="13"/>
  <c r="D92" i="13"/>
  <c r="D91" i="13"/>
  <c r="D89" i="13"/>
  <c r="D13" i="14" s="1"/>
  <c r="D88" i="13"/>
  <c r="D87" i="13"/>
  <c r="D99" i="13"/>
  <c r="D98" i="13"/>
  <c r="D97" i="13"/>
  <c r="D10" i="14" l="1"/>
  <c r="D46" i="14"/>
  <c r="D50" i="14"/>
  <c r="D54" i="14"/>
  <c r="D58" i="14"/>
  <c r="D62" i="14"/>
  <c r="D47" i="14"/>
  <c r="D55" i="14"/>
  <c r="D63" i="14"/>
  <c r="D57" i="14"/>
  <c r="D51" i="14"/>
  <c r="D59" i="14"/>
  <c r="D53" i="14"/>
  <c r="D48" i="14"/>
  <c r="D52" i="14"/>
  <c r="D56" i="14"/>
  <c r="D60" i="14"/>
  <c r="D64" i="14"/>
  <c r="D49" i="14"/>
  <c r="D61" i="14"/>
  <c r="D9" i="14"/>
  <c r="D102" i="13"/>
  <c r="D17" i="14"/>
  <c r="D93" i="13"/>
  <c r="D90" i="13"/>
  <c r="D103" i="13"/>
  <c r="E106" i="13"/>
  <c r="F106" i="13"/>
  <c r="G106" i="13"/>
  <c r="H106" i="13"/>
  <c r="E104" i="13"/>
  <c r="F104" i="13"/>
  <c r="G104" i="13"/>
  <c r="H104" i="13"/>
  <c r="E91" i="13"/>
  <c r="F91" i="13"/>
  <c r="G91" i="13"/>
  <c r="H91" i="13"/>
  <c r="E92" i="13"/>
  <c r="F92" i="13"/>
  <c r="G92" i="13"/>
  <c r="H92" i="13"/>
  <c r="H93" i="13" s="1"/>
  <c r="E87" i="13"/>
  <c r="F87" i="13"/>
  <c r="G87" i="13"/>
  <c r="H87" i="13"/>
  <c r="E88" i="13"/>
  <c r="F88" i="13"/>
  <c r="G88" i="13"/>
  <c r="H88" i="13"/>
  <c r="E89" i="13"/>
  <c r="E13" i="14" s="1"/>
  <c r="F89" i="13"/>
  <c r="F13" i="14" s="1"/>
  <c r="G89" i="13"/>
  <c r="G13" i="14" s="1"/>
  <c r="H89" i="13"/>
  <c r="H13" i="14" s="1"/>
  <c r="E99" i="13"/>
  <c r="F99" i="13"/>
  <c r="G99" i="13"/>
  <c r="H99" i="13"/>
  <c r="E98" i="13"/>
  <c r="F98" i="13"/>
  <c r="G98" i="13"/>
  <c r="H98" i="13"/>
  <c r="E97" i="13"/>
  <c r="F97" i="13"/>
  <c r="G97" i="13"/>
  <c r="H97" i="13"/>
  <c r="E50" i="14" l="1"/>
  <c r="E54" i="14"/>
  <c r="E58" i="14"/>
  <c r="E62" i="14"/>
  <c r="E51" i="14"/>
  <c r="E59" i="14"/>
  <c r="E53" i="14"/>
  <c r="E46" i="14"/>
  <c r="E47" i="14"/>
  <c r="E55" i="14"/>
  <c r="E63" i="14"/>
  <c r="E49" i="14"/>
  <c r="E61" i="14"/>
  <c r="E48" i="14"/>
  <c r="E52" i="14"/>
  <c r="E56" i="14"/>
  <c r="E60" i="14"/>
  <c r="E64" i="14"/>
  <c r="E57" i="14"/>
  <c r="H47" i="14"/>
  <c r="H51" i="14"/>
  <c r="H55" i="14"/>
  <c r="H59" i="14"/>
  <c r="H63" i="14"/>
  <c r="H50" i="14"/>
  <c r="H58" i="14"/>
  <c r="H48" i="14"/>
  <c r="H52" i="14"/>
  <c r="H56" i="14"/>
  <c r="H60" i="14"/>
  <c r="H64" i="14"/>
  <c r="H46" i="14"/>
  <c r="H49" i="14"/>
  <c r="H53" i="14"/>
  <c r="H57" i="14"/>
  <c r="H61" i="14"/>
  <c r="H54" i="14"/>
  <c r="H62" i="14"/>
  <c r="F49" i="14"/>
  <c r="F53" i="14"/>
  <c r="F57" i="14"/>
  <c r="F61" i="14"/>
  <c r="F46" i="14"/>
  <c r="F50" i="14"/>
  <c r="F62" i="14"/>
  <c r="F52" i="14"/>
  <c r="F60" i="14"/>
  <c r="F54" i="14"/>
  <c r="F58" i="14"/>
  <c r="F48" i="14"/>
  <c r="F47" i="14"/>
  <c r="F51" i="14"/>
  <c r="F55" i="14"/>
  <c r="F59" i="14"/>
  <c r="F63" i="14"/>
  <c r="F56" i="14"/>
  <c r="F64" i="14"/>
  <c r="G49" i="14"/>
  <c r="G53" i="14"/>
  <c r="G57" i="14"/>
  <c r="G61" i="14"/>
  <c r="G46" i="14"/>
  <c r="G52" i="14"/>
  <c r="G60" i="14"/>
  <c r="G50" i="14"/>
  <c r="G54" i="14"/>
  <c r="G58" i="14"/>
  <c r="G62" i="14"/>
  <c r="G48" i="14"/>
  <c r="G47" i="14"/>
  <c r="G51" i="14"/>
  <c r="G55" i="14"/>
  <c r="G59" i="14"/>
  <c r="G63" i="14"/>
  <c r="G56" i="14"/>
  <c r="G64" i="14"/>
  <c r="G9" i="14"/>
  <c r="F10" i="14"/>
  <c r="F9" i="14"/>
  <c r="D7" i="14"/>
  <c r="D11" i="14" s="1"/>
  <c r="D12" i="14"/>
  <c r="E10" i="14"/>
  <c r="E9" i="14"/>
  <c r="G10" i="14"/>
  <c r="H10" i="14"/>
  <c r="H12" i="14"/>
  <c r="H7" i="14"/>
  <c r="H9" i="14"/>
  <c r="H102" i="13"/>
  <c r="H17" i="14"/>
  <c r="D112" i="13"/>
  <c r="D18" i="14" s="1"/>
  <c r="D8" i="14"/>
  <c r="H113" i="13"/>
  <c r="H8" i="14"/>
  <c r="G102" i="13"/>
  <c r="G17" i="14"/>
  <c r="F102" i="13"/>
  <c r="F17" i="14"/>
  <c r="E102" i="13"/>
  <c r="E17" i="14"/>
  <c r="D113" i="13"/>
  <c r="G93" i="13"/>
  <c r="F93" i="13"/>
  <c r="E93" i="13"/>
  <c r="E90" i="13"/>
  <c r="H90" i="13"/>
  <c r="H112" i="13"/>
  <c r="H18" i="14" s="1"/>
  <c r="F90" i="13"/>
  <c r="F103" i="13"/>
  <c r="E103" i="13"/>
  <c r="H103" i="13"/>
  <c r="G90" i="13"/>
  <c r="G103" i="13"/>
  <c r="F7" i="14" l="1"/>
  <c r="F11" i="14" s="1"/>
  <c r="F12" i="14"/>
  <c r="H11" i="14"/>
  <c r="E7" i="14"/>
  <c r="E11" i="14" s="1"/>
  <c r="E12" i="14"/>
  <c r="G7" i="14"/>
  <c r="G11" i="14" s="1"/>
  <c r="G12" i="14"/>
  <c r="G112" i="13"/>
  <c r="G18" i="14" s="1"/>
  <c r="G8" i="14"/>
  <c r="E113" i="13"/>
  <c r="E8" i="14"/>
  <c r="F112" i="13"/>
  <c r="F18" i="14" s="1"/>
  <c r="F8" i="14"/>
  <c r="G113" i="13"/>
  <c r="F113" i="13"/>
  <c r="E112" i="13"/>
  <c r="E18" i="14" s="1"/>
  <c r="D106" i="13"/>
</calcChain>
</file>

<file path=xl/sharedStrings.xml><?xml version="1.0" encoding="utf-8"?>
<sst xmlns="http://schemas.openxmlformats.org/spreadsheetml/2006/main" count="377" uniqueCount="159">
  <si>
    <t>Figures</t>
  </si>
  <si>
    <t>BS</t>
  </si>
  <si>
    <t>Equity</t>
  </si>
  <si>
    <t>Share Capital</t>
  </si>
  <si>
    <t>Revenue Reserves</t>
  </si>
  <si>
    <t>LT Liabilities</t>
  </si>
  <si>
    <t>Long-term Borrowing</t>
  </si>
  <si>
    <t>Others</t>
  </si>
  <si>
    <t>ST Liabilities</t>
  </si>
  <si>
    <t>Trade &amp; Others Payable</t>
  </si>
  <si>
    <t>Interest &amp; Markup</t>
  </si>
  <si>
    <t>LT Assets</t>
  </si>
  <si>
    <t>PPE</t>
  </si>
  <si>
    <t>Deferred Tax</t>
  </si>
  <si>
    <t>ST Assets</t>
  </si>
  <si>
    <t>Store Spares &amp; Loose Tools</t>
  </si>
  <si>
    <t>Stock In Trade</t>
  </si>
  <si>
    <t>Trade Debts</t>
  </si>
  <si>
    <t>Loans &amp; Advances</t>
  </si>
  <si>
    <t>Other Receivables</t>
  </si>
  <si>
    <t>Cash &amp; Bank Balance</t>
  </si>
  <si>
    <t>Revenues</t>
  </si>
  <si>
    <t>Sales</t>
  </si>
  <si>
    <t>Expenses</t>
  </si>
  <si>
    <t>Cost of Sales</t>
  </si>
  <si>
    <t xml:space="preserve">Expenses </t>
  </si>
  <si>
    <t>Expense</t>
  </si>
  <si>
    <t>CFO</t>
  </si>
  <si>
    <t>CFI</t>
  </si>
  <si>
    <t>CFF</t>
  </si>
  <si>
    <t>Equity Issued</t>
  </si>
  <si>
    <t>LT assets</t>
  </si>
  <si>
    <t>Depreciation</t>
  </si>
  <si>
    <t>Amortization</t>
  </si>
  <si>
    <t>Notes</t>
  </si>
  <si>
    <t>Net Revenues</t>
  </si>
  <si>
    <t>COGS</t>
  </si>
  <si>
    <t>Total MFG cost</t>
  </si>
  <si>
    <t>Checks</t>
  </si>
  <si>
    <t>Total Assets</t>
  </si>
  <si>
    <t>Total Liabilities</t>
  </si>
  <si>
    <t>Total equity</t>
  </si>
  <si>
    <t>Difference</t>
  </si>
  <si>
    <t>Total revenues</t>
  </si>
  <si>
    <t>Total Expenses</t>
  </si>
  <si>
    <t>Net profit</t>
  </si>
  <si>
    <t>Preference Dividend</t>
  </si>
  <si>
    <t>EPS - Basic</t>
  </si>
  <si>
    <t>EPS - Diluted</t>
  </si>
  <si>
    <t>Selling Cost &amp; Distribution Cost</t>
  </si>
  <si>
    <t>Other Operating Expenses</t>
  </si>
  <si>
    <t>IS</t>
  </si>
  <si>
    <t>CFS</t>
  </si>
  <si>
    <t>Other Operating Income</t>
  </si>
  <si>
    <t>NOTES TO FS</t>
  </si>
  <si>
    <t>Income Statement Checks</t>
  </si>
  <si>
    <t>CashFlow Checks</t>
  </si>
  <si>
    <t>Revenue</t>
  </si>
  <si>
    <t>Cost of Goods Sold</t>
  </si>
  <si>
    <t>Admin &amp; Selling Expenses</t>
  </si>
  <si>
    <t>Other Income Investment Related</t>
  </si>
  <si>
    <t>Selling Expenses</t>
  </si>
  <si>
    <t>Administrative Expenses</t>
  </si>
  <si>
    <t>Repair and Maintenance</t>
  </si>
  <si>
    <t>Salaries and Wages</t>
  </si>
  <si>
    <t>Fuel and Power</t>
  </si>
  <si>
    <t>Raw Material Consumed</t>
  </si>
  <si>
    <t>Proceeds from Long Term Investment</t>
  </si>
  <si>
    <t>Proceeds from Disposal of Operating Fixed Assets</t>
  </si>
  <si>
    <t>Long Term Investment</t>
  </si>
  <si>
    <t>Long Term Financing</t>
  </si>
  <si>
    <t>Short term Financing</t>
  </si>
  <si>
    <t>Dividend Paid</t>
  </si>
  <si>
    <t>Other Non-Cash items</t>
  </si>
  <si>
    <t>Export Sales</t>
  </si>
  <si>
    <t>Local Sales</t>
  </si>
  <si>
    <t>Sales Tax and Others</t>
  </si>
  <si>
    <t>Opening Work In Progress</t>
  </si>
  <si>
    <t>Closing Work In Progress</t>
  </si>
  <si>
    <t>Opening Finished Goods</t>
  </si>
  <si>
    <t>Closing Finished Goods</t>
  </si>
  <si>
    <t>Total Cost Of Goods Sold</t>
  </si>
  <si>
    <t>Total Operating Cost</t>
  </si>
  <si>
    <t>Other income Non-Investment Related</t>
  </si>
  <si>
    <t>Fixed Capital Expenditure</t>
  </si>
  <si>
    <t>Interest and Dividend Received</t>
  </si>
  <si>
    <t>Total Cash Flow From Operating Activities</t>
  </si>
  <si>
    <t>Total Cash Flow From Investing Activities</t>
  </si>
  <si>
    <t>Total Cash Flow From Financing Activities</t>
  </si>
  <si>
    <t>Finance Cost</t>
  </si>
  <si>
    <t>Short Term Investments</t>
  </si>
  <si>
    <t>Long Term Investments</t>
  </si>
  <si>
    <t>Long Term Loans and Advances</t>
  </si>
  <si>
    <t>Long Term Deposits</t>
  </si>
  <si>
    <t>Short Term Borrowing</t>
  </si>
  <si>
    <t>Current Portion Of Long Term Liabilities</t>
  </si>
  <si>
    <t>Capital &amp; Other Reserves</t>
  </si>
  <si>
    <t>Surplus on Revaluation of Fixed Assets</t>
  </si>
  <si>
    <t>Long-Term Lease Liabilities</t>
  </si>
  <si>
    <t>Investment Property</t>
  </si>
  <si>
    <t>Cash Flow Generated From Operations</t>
  </si>
  <si>
    <t>Finance Cost Paid</t>
  </si>
  <si>
    <t>Income Tax Paid</t>
  </si>
  <si>
    <t>Weighted Average Number Of Shares Basic</t>
  </si>
  <si>
    <t>Weighted Average Number Of Shares-Diluted</t>
  </si>
  <si>
    <t>Quantative Data</t>
  </si>
  <si>
    <t>Current Taxation</t>
  </si>
  <si>
    <t>Provision For Taxation: Deferred</t>
  </si>
  <si>
    <t>Provision For Taxation: Current</t>
  </si>
  <si>
    <t>Market Price Per Share as at Quarter / Year End</t>
  </si>
  <si>
    <t>Quarter / Fiscal Year Ended</t>
  </si>
  <si>
    <t>Production Capacity</t>
  </si>
  <si>
    <t>Actual Production</t>
  </si>
  <si>
    <t>Issued Share Capital</t>
  </si>
  <si>
    <t>Formula</t>
  </si>
  <si>
    <t>Liquidity Ratios</t>
  </si>
  <si>
    <t>Current Ratio</t>
  </si>
  <si>
    <t>Current Assets / Current Liabilities</t>
  </si>
  <si>
    <t>Quick Ratio</t>
  </si>
  <si>
    <t>(Current Assets - Inventories) / Current Liabilities</t>
  </si>
  <si>
    <t>Cash Ratio</t>
  </si>
  <si>
    <t>Cash and Cash Equivalents / Current Liabilities</t>
  </si>
  <si>
    <t>Profitability Ratios</t>
  </si>
  <si>
    <t>Gross Profit Margin</t>
  </si>
  <si>
    <t>(Gross Profit / Net Sales) * 100</t>
  </si>
  <si>
    <t>Operating Profit Margin</t>
  </si>
  <si>
    <t>(Operating Income / Net Sales) * 100</t>
  </si>
  <si>
    <t>Net Profit Margin</t>
  </si>
  <si>
    <t>(Net Profit / Net Sales) * 100</t>
  </si>
  <si>
    <t>Return on Assets (ROA)</t>
  </si>
  <si>
    <t>(Net Profit / Average Total Assets) * 100</t>
  </si>
  <si>
    <t>Return on Equity (ROE)</t>
  </si>
  <si>
    <t>Solvency Ratios</t>
  </si>
  <si>
    <t>Debt to Equity Ratio</t>
  </si>
  <si>
    <t>Long Term Debt / Total Equity</t>
  </si>
  <si>
    <t>Times Interest Earned</t>
  </si>
  <si>
    <t>EBIT / Interest Expense</t>
  </si>
  <si>
    <t>Efficiency and Market Ratios</t>
  </si>
  <si>
    <t>Inventory Turnover Ratio</t>
  </si>
  <si>
    <t>Cost of Goods Sold / Average Inventory</t>
  </si>
  <si>
    <t>Days Sales Outstanding (DSO)</t>
  </si>
  <si>
    <t>(Average Accounts Receivable / Annual Sales) * 365</t>
  </si>
  <si>
    <t>Asset Turnover Ratio</t>
  </si>
  <si>
    <t>Net Sales / Average Total Assets</t>
  </si>
  <si>
    <t>Price-to-Earnings (P/E) Ratio</t>
  </si>
  <si>
    <t>Market Price per Share / Earnings per Share</t>
  </si>
  <si>
    <t>Asset turnover</t>
  </si>
  <si>
    <t>Financial Leverage</t>
  </si>
  <si>
    <t>Average Total assets/Average Shareholder equity</t>
  </si>
  <si>
    <t>Dupont Analysis</t>
  </si>
  <si>
    <t>Net Profit Margin*Financial Leverage*Asset turnover</t>
  </si>
  <si>
    <t>(Net Profit / Shareholders' Equity) * 100</t>
  </si>
  <si>
    <t>Horizontal Analysis</t>
  </si>
  <si>
    <t>Balance Sheet</t>
  </si>
  <si>
    <t>Income Statement</t>
  </si>
  <si>
    <t>Vertical Analysis</t>
  </si>
  <si>
    <t>PAKISTAN RUPEE'000</t>
  </si>
  <si>
    <t>sale by product</t>
  </si>
  <si>
    <t>Ansari Sugar Mills Limtied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</si>
</sst>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_(* #,##0.00_);_(* \(#,##0.00\);_(* &quot;-&quot;_);_(@_)"/>
    <numFmt numFmtId="167" formatCode="0.0000"/>
    <numFmt numFmtId="168" formatCode="0.0"/>
    <numFmt numFmtId="169" formatCode="0.0%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i/>
      <sz val="10"/>
      <name val="Arial"/>
      <family val="2"/>
    </font>
    <font>
      <b/>
      <i/>
      <sz val="11"/>
      <color rgb="FF00000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theme="2" tint="-0.89999084444715716"/>
      <name val="Arial Black"/>
      <family val="2"/>
    </font>
    <font>
      <b/>
      <i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</font>
    <font>
      <b/>
      <i/>
      <sz val="12"/>
      <color indexed="8"/>
      <name val="Calibri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theme="2" tint="-0.89999084444715716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i/>
      <sz val="12"/>
      <color rgb="FF000000"/>
      <name val="Times New Roman"/>
      <family val="1"/>
    </font>
    <font>
      <b/>
      <i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 "/>
    </font>
  </fonts>
  <fills count="11">
    <fill>
      <patternFill patternType="none"/>
    </fill>
    <fill>
      <patternFill patternType="gray125"/>
    </fill>
    <fill>
      <patternFill patternType="solid">
        <fgColor rgb="FF009999"/>
        <bgColor rgb="FF000000"/>
      </patternFill>
    </fill>
    <fill>
      <patternFill patternType="solid">
        <fgColor rgb="FF00999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164" fontId="2" fillId="0" borderId="0" xfId="0" applyNumberFormat="1" applyFont="1"/>
    <xf numFmtId="164" fontId="3" fillId="0" borderId="0" xfId="0" quotePrefix="1" applyNumberFormat="1" applyFont="1" applyAlignment="1">
      <alignment horizontal="center"/>
    </xf>
    <xf numFmtId="164" fontId="9" fillId="0" borderId="0" xfId="0" quotePrefix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10" fillId="0" borderId="0" xfId="0" applyNumberFormat="1" applyFont="1"/>
    <xf numFmtId="164" fontId="0" fillId="0" borderId="0" xfId="0" applyNumberFormat="1"/>
    <xf numFmtId="164" fontId="9" fillId="0" borderId="0" xfId="0" applyNumberFormat="1" applyFont="1" applyAlignment="1">
      <alignment horizontal="right"/>
    </xf>
    <xf numFmtId="164" fontId="2" fillId="0" borderId="0" xfId="1" applyNumberFormat="1" applyFont="1" applyFill="1" applyBorder="1"/>
    <xf numFmtId="164" fontId="7" fillId="0" borderId="0" xfId="0" applyNumberFormat="1" applyFont="1"/>
    <xf numFmtId="164" fontId="7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7" fillId="0" borderId="0" xfId="2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0" fontId="14" fillId="0" borderId="6" xfId="0" applyFont="1" applyBorder="1" applyAlignment="1">
      <alignment wrapText="1"/>
    </xf>
    <xf numFmtId="0" fontId="15" fillId="0" borderId="6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7" fillId="0" borderId="6" xfId="0" applyFont="1" applyBorder="1" applyAlignment="1">
      <alignment horizontal="center" wrapText="1"/>
    </xf>
    <xf numFmtId="0" fontId="17" fillId="0" borderId="6" xfId="0" applyFont="1" applyBorder="1" applyAlignment="1">
      <alignment wrapText="1"/>
    </xf>
    <xf numFmtId="0" fontId="18" fillId="0" borderId="6" xfId="0" applyFont="1" applyBorder="1" applyAlignment="1">
      <alignment wrapText="1"/>
    </xf>
    <xf numFmtId="0" fontId="19" fillId="0" borderId="6" xfId="0" applyFont="1" applyBorder="1" applyAlignment="1">
      <alignment wrapText="1"/>
    </xf>
    <xf numFmtId="2" fontId="18" fillId="0" borderId="6" xfId="0" applyNumberFormat="1" applyFont="1" applyBorder="1" applyAlignment="1">
      <alignment horizontal="center" wrapText="1"/>
    </xf>
    <xf numFmtId="0" fontId="19" fillId="0" borderId="7" xfId="0" applyFont="1" applyBorder="1" applyAlignment="1">
      <alignment wrapText="1"/>
    </xf>
    <xf numFmtId="0" fontId="18" fillId="0" borderId="7" xfId="0" applyFont="1" applyBorder="1" applyAlignment="1">
      <alignment wrapText="1"/>
    </xf>
    <xf numFmtId="2" fontId="18" fillId="0" borderId="7" xfId="0" applyNumberFormat="1" applyFont="1" applyBorder="1" applyAlignment="1">
      <alignment horizontal="center" wrapText="1"/>
    </xf>
    <xf numFmtId="0" fontId="19" fillId="0" borderId="8" xfId="0" applyFont="1" applyBorder="1" applyAlignment="1">
      <alignment wrapText="1"/>
    </xf>
    <xf numFmtId="0" fontId="18" fillId="0" borderId="8" xfId="0" applyFont="1" applyBorder="1" applyAlignment="1">
      <alignment wrapText="1"/>
    </xf>
    <xf numFmtId="10" fontId="18" fillId="0" borderId="8" xfId="0" applyNumberFormat="1" applyFont="1" applyBorder="1" applyAlignment="1">
      <alignment horizontal="center" wrapText="1"/>
    </xf>
    <xf numFmtId="10" fontId="18" fillId="0" borderId="6" xfId="0" applyNumberFormat="1" applyFont="1" applyBorder="1" applyAlignment="1">
      <alignment horizontal="center" wrapText="1"/>
    </xf>
    <xf numFmtId="10" fontId="18" fillId="0" borderId="6" xfId="2" applyNumberFormat="1" applyFont="1" applyBorder="1" applyAlignment="1">
      <alignment horizontal="center" wrapText="1"/>
    </xf>
    <xf numFmtId="10" fontId="18" fillId="0" borderId="7" xfId="0" applyNumberFormat="1" applyFont="1" applyBorder="1" applyAlignment="1">
      <alignment horizontal="center" wrapText="1"/>
    </xf>
    <xf numFmtId="167" fontId="18" fillId="0" borderId="8" xfId="0" applyNumberFormat="1" applyFont="1" applyBorder="1" applyAlignment="1">
      <alignment horizontal="center" wrapText="1"/>
    </xf>
    <xf numFmtId="1" fontId="18" fillId="0" borderId="7" xfId="0" applyNumberFormat="1" applyFont="1" applyBorder="1" applyAlignment="1">
      <alignment horizontal="center" wrapText="1"/>
    </xf>
    <xf numFmtId="1" fontId="18" fillId="0" borderId="8" xfId="0" applyNumberFormat="1" applyFont="1" applyBorder="1" applyAlignment="1">
      <alignment horizontal="center" wrapText="1"/>
    </xf>
    <xf numFmtId="1" fontId="18" fillId="0" borderId="6" xfId="0" applyNumberFormat="1" applyFont="1" applyBorder="1" applyAlignment="1">
      <alignment horizontal="center" wrapText="1"/>
    </xf>
    <xf numFmtId="168" fontId="18" fillId="0" borderId="7" xfId="0" applyNumberFormat="1" applyFont="1" applyBorder="1" applyAlignment="1">
      <alignment horizontal="center" wrapText="1"/>
    </xf>
    <xf numFmtId="164" fontId="18" fillId="0" borderId="0" xfId="0" applyNumberFormat="1" applyFont="1"/>
    <xf numFmtId="164" fontId="21" fillId="0" borderId="0" xfId="0" applyNumberFormat="1" applyFont="1"/>
    <xf numFmtId="1" fontId="21" fillId="0" borderId="5" xfId="0" applyNumberFormat="1" applyFont="1" applyBorder="1" applyAlignment="1">
      <alignment horizontal="center"/>
    </xf>
    <xf numFmtId="164" fontId="21" fillId="0" borderId="0" xfId="0" quotePrefix="1" applyNumberFormat="1" applyFont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164" fontId="22" fillId="0" borderId="0" xfId="0" applyNumberFormat="1" applyFont="1"/>
    <xf numFmtId="164" fontId="18" fillId="0" borderId="0" xfId="0" applyNumberFormat="1" applyFont="1" applyAlignment="1">
      <alignment horizontal="left" indent="1"/>
    </xf>
    <xf numFmtId="164" fontId="22" fillId="0" borderId="0" xfId="0" applyNumberFormat="1" applyFont="1" applyAlignment="1">
      <alignment horizontal="left"/>
    </xf>
    <xf numFmtId="164" fontId="23" fillId="0" borderId="1" xfId="0" applyNumberFormat="1" applyFont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left"/>
    </xf>
    <xf numFmtId="164" fontId="18" fillId="0" borderId="1" xfId="0" applyNumberFormat="1" applyFont="1" applyBorder="1"/>
    <xf numFmtId="166" fontId="18" fillId="0" borderId="1" xfId="1" applyNumberFormat="1" applyFont="1" applyFill="1" applyBorder="1"/>
    <xf numFmtId="164" fontId="18" fillId="0" borderId="1" xfId="1" applyNumberFormat="1" applyFont="1" applyFill="1" applyBorder="1"/>
    <xf numFmtId="0" fontId="18" fillId="0" borderId="1" xfId="1" applyNumberFormat="1" applyFont="1" applyFill="1" applyBorder="1"/>
    <xf numFmtId="164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2" fillId="4" borderId="1" xfId="0" applyNumberFormat="1" applyFont="1" applyFill="1" applyBorder="1"/>
    <xf numFmtId="164" fontId="2" fillId="4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/>
    <xf numFmtId="164" fontId="2" fillId="5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/>
    <xf numFmtId="164" fontId="2" fillId="6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/>
    <xf numFmtId="164" fontId="2" fillId="7" borderId="1" xfId="0" applyNumberFormat="1" applyFont="1" applyFill="1" applyBorder="1" applyAlignment="1">
      <alignment horizontal="center"/>
    </xf>
    <xf numFmtId="164" fontId="24" fillId="7" borderId="1" xfId="0" applyNumberFormat="1" applyFont="1" applyFill="1" applyBorder="1"/>
    <xf numFmtId="164" fontId="11" fillId="8" borderId="1" xfId="0" applyNumberFormat="1" applyFont="1" applyFill="1" applyBorder="1" applyAlignment="1">
      <alignment horizontal="center"/>
    </xf>
    <xf numFmtId="164" fontId="25" fillId="7" borderId="1" xfId="0" applyNumberFormat="1" applyFont="1" applyFill="1" applyBorder="1"/>
    <xf numFmtId="164" fontId="0" fillId="7" borderId="1" xfId="0" applyNumberFormat="1" applyFill="1" applyBorder="1"/>
    <xf numFmtId="164" fontId="2" fillId="9" borderId="1" xfId="0" applyNumberFormat="1" applyFont="1" applyFill="1" applyBorder="1"/>
    <xf numFmtId="164" fontId="2" fillId="9" borderId="1" xfId="0" applyNumberFormat="1" applyFont="1" applyFill="1" applyBorder="1" applyAlignment="1">
      <alignment horizontal="center"/>
    </xf>
    <xf numFmtId="164" fontId="26" fillId="9" borderId="1" xfId="0" applyNumberFormat="1" applyFont="1" applyFill="1" applyBorder="1" applyAlignment="1">
      <alignment horizontal="center"/>
    </xf>
    <xf numFmtId="164" fontId="24" fillId="9" borderId="1" xfId="0" applyNumberFormat="1" applyFont="1" applyFill="1" applyBorder="1"/>
    <xf numFmtId="164" fontId="4" fillId="9" borderId="1" xfId="0" applyNumberFormat="1" applyFont="1" applyFill="1" applyBorder="1"/>
    <xf numFmtId="164" fontId="12" fillId="9" borderId="1" xfId="0" applyNumberFormat="1" applyFont="1" applyFill="1" applyBorder="1"/>
    <xf numFmtId="164" fontId="12" fillId="8" borderId="1" xfId="0" applyNumberFormat="1" applyFont="1" applyFill="1" applyBorder="1" applyAlignment="1">
      <alignment horizontal="center"/>
    </xf>
    <xf numFmtId="3" fontId="0" fillId="0" borderId="0" xfId="0" applyNumberFormat="1"/>
    <xf numFmtId="164" fontId="13" fillId="9" borderId="1" xfId="0" applyNumberFormat="1" applyFont="1" applyFill="1" applyBorder="1"/>
    <xf numFmtId="164" fontId="13" fillId="8" borderId="1" xfId="0" applyNumberFormat="1" applyFont="1" applyFill="1" applyBorder="1" applyAlignment="1">
      <alignment horizontal="center"/>
    </xf>
    <xf numFmtId="0" fontId="19" fillId="0" borderId="9" xfId="0" applyFont="1" applyBorder="1" applyAlignment="1">
      <alignment wrapText="1"/>
    </xf>
    <xf numFmtId="0" fontId="18" fillId="0" borderId="9" xfId="0" applyFont="1" applyBorder="1" applyAlignment="1">
      <alignment wrapText="1"/>
    </xf>
    <xf numFmtId="10" fontId="18" fillId="0" borderId="9" xfId="0" applyNumberFormat="1" applyFont="1" applyBorder="1" applyAlignment="1">
      <alignment horizontal="center" wrapText="1"/>
    </xf>
    <xf numFmtId="169" fontId="18" fillId="0" borderId="9" xfId="0" applyNumberFormat="1" applyFont="1" applyBorder="1" applyAlignment="1">
      <alignment horizontal="center" wrapText="1"/>
    </xf>
    <xf numFmtId="164" fontId="21" fillId="0" borderId="4" xfId="0" quotePrefix="1" applyNumberFormat="1" applyFont="1" applyBorder="1" applyAlignment="1">
      <alignment horizontal="center" vertical="center"/>
    </xf>
    <xf numFmtId="9" fontId="18" fillId="0" borderId="8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164" fontId="20" fillId="10" borderId="2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>
      <alignment horizontal="center"/>
    </xf>
    <xf numFmtId="164" fontId="11" fillId="8" borderId="10" xfId="0" applyNumberFormat="1" applyFont="1" applyFill="1" applyBorder="1" applyAlignment="1">
      <alignment horizontal="center"/>
    </xf>
    <xf numFmtId="164" fontId="11" fillId="8" borderId="0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b val="0"/>
        <i val="0"/>
      </font>
      <numFmt numFmtId="170" formatCode="#,##0_);\(#,##0\)"/>
      <fill>
        <patternFill>
          <bgColor rgb="FF00B050"/>
        </patternFill>
      </fill>
    </dxf>
    <dxf>
      <numFmt numFmtId="170" formatCode="#,##0_);\(#,##0\)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 val="0"/>
        <i val="0"/>
      </font>
      <numFmt numFmtId="170" formatCode="#,##0_);\(#,##0\)"/>
      <fill>
        <patternFill>
          <bgColor rgb="FF00B050"/>
        </patternFill>
      </fill>
    </dxf>
    <dxf>
      <numFmt numFmtId="170" formatCode="#,##0_);\(#,##0\)"/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  <color rgb="FF0099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Ratio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Ratios!$D$1:$H$1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Ratios!$D$2:$H$2</c:f>
              <c:numCache>
                <c:formatCode>0.00</c:formatCode>
                <c:ptCount val="5"/>
                <c:pt idx="0">
                  <c:v>1.2729188896570578</c:v>
                </c:pt>
                <c:pt idx="1">
                  <c:v>0.97077139079099861</c:v>
                </c:pt>
                <c:pt idx="2">
                  <c:v>0.81879818839975727</c:v>
                </c:pt>
                <c:pt idx="3">
                  <c:v>0.72191710859326408</c:v>
                </c:pt>
                <c:pt idx="4">
                  <c:v>0.62993174367736426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45-4CD9-BA83-F902EF4B5C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3504240"/>
        <c:axId val="263506320"/>
      </c:barChart>
      <c:catAx>
        <c:axId val="2635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63506320"/>
        <c:crosses val="autoZero"/>
        <c:auto val="1"/>
        <c:lblAlgn val="ctr"/>
        <c:lblOffset val="100"/>
        <c:noMultiLvlLbl val="0"/>
      </c:catAx>
      <c:valAx>
        <c:axId val="2635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6350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188259</xdr:colOff>
      <xdr:row>0</xdr:row>
      <xdr:rowOff>0</xdr:rowOff>
    </xdr:from>
    <xdr:to>
      <xdr:col>15</xdr:col>
      <xdr:colOff>493059</xdr:colOff>
      <xdr:row>15</xdr:row>
      <xdr:rowOff>197224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S152"/>
  <sheetViews>
    <sheetView showGridLines="0" zoomScale="56" zoomScaleNormal="66" workbookViewId="0">
      <selection activeCell="A2" sqref="A2"/>
    </sheetView>
  </sheetViews>
  <sheetFormatPr defaultColWidth="8" defaultRowHeight="14.5"/>
  <cols>
    <col min="1" max="1" width="32.453125" style="8" bestFit="1" customWidth="1"/>
    <col min="2" max="2" width="15.54296875" style="8" bestFit="1" customWidth="1"/>
    <col min="3" max="3" width="59.54296875" style="8" bestFit="1" customWidth="1"/>
    <col min="4" max="4" width="26.54296875" style="8" customWidth="1"/>
    <col min="5" max="5" width="21.08984375" style="8" bestFit="1" customWidth="1"/>
    <col min="6" max="6" width="25.1796875" style="8" customWidth="1"/>
    <col min="7" max="7" width="22.36328125" style="8" customWidth="1"/>
    <col min="8" max="8" width="27.54296875" style="8" customWidth="1"/>
    <col min="9" max="9" width="11.81640625" style="8" customWidth="1"/>
    <col min="10" max="10" width="8.1796875" style="8" bestFit="1" customWidth="1"/>
    <col min="11" max="11" width="10.1796875" style="8" bestFit="1" customWidth="1"/>
    <col min="12" max="13" width="10.54296875" style="8" bestFit="1" customWidth="1"/>
    <col min="14" max="14" width="10.1796875" style="8" bestFit="1" customWidth="1"/>
    <col min="15" max="16384" width="8" style="8"/>
  </cols>
  <sheetData>
    <row r="1" spans="1:15" ht="22.5" thickBot="1">
      <c r="A1" s="87" t="s">
        <v>158</v>
      </c>
      <c r="B1" s="88"/>
      <c r="C1" s="7"/>
      <c r="D1" s="1"/>
      <c r="E1" s="1"/>
      <c r="F1" s="1"/>
      <c r="G1" s="1"/>
      <c r="H1" s="1"/>
    </row>
    <row r="2" spans="1:15" ht="15.5">
      <c r="A2" s="40"/>
      <c r="B2" s="40"/>
      <c r="C2" s="41" t="s">
        <v>110</v>
      </c>
      <c r="D2" s="42">
        <v>2019</v>
      </c>
      <c r="E2" s="42">
        <v>2020</v>
      </c>
      <c r="F2" s="42">
        <v>2021</v>
      </c>
      <c r="G2" s="42">
        <v>2022</v>
      </c>
      <c r="H2" s="42">
        <v>2023</v>
      </c>
      <c r="I2" s="9"/>
    </row>
    <row r="3" spans="1:15" ht="15.5">
      <c r="A3" s="40"/>
      <c r="B3" s="40"/>
      <c r="C3" s="41" t="s">
        <v>0</v>
      </c>
      <c r="D3" s="84"/>
      <c r="E3" s="84"/>
      <c r="F3" s="84" t="s">
        <v>156</v>
      </c>
      <c r="G3" s="84"/>
      <c r="H3" s="84"/>
      <c r="I3" s="4"/>
      <c r="O3" s="3"/>
    </row>
    <row r="4" spans="1:15" ht="15.5">
      <c r="A4" s="40"/>
      <c r="B4" s="40"/>
      <c r="C4" s="41" t="s">
        <v>109</v>
      </c>
      <c r="D4" s="43">
        <v>6</v>
      </c>
      <c r="E4" s="43">
        <v>6</v>
      </c>
      <c r="F4" s="43">
        <v>6</v>
      </c>
      <c r="G4" s="43">
        <v>6</v>
      </c>
      <c r="H4" s="43">
        <v>6</v>
      </c>
      <c r="I4" s="4"/>
    </row>
    <row r="5" spans="1:15">
      <c r="A5" s="55" t="s">
        <v>1</v>
      </c>
      <c r="B5" s="55" t="s">
        <v>2</v>
      </c>
      <c r="C5" s="55" t="s">
        <v>3</v>
      </c>
      <c r="D5" s="56">
        <v>561365550</v>
      </c>
      <c r="E5" s="56">
        <v>561365550</v>
      </c>
      <c r="F5" s="56">
        <v>561365550</v>
      </c>
      <c r="G5" s="56">
        <v>561366000</v>
      </c>
      <c r="H5" s="56">
        <v>561366000</v>
      </c>
    </row>
    <row r="6" spans="1:15">
      <c r="A6" s="55" t="s">
        <v>1</v>
      </c>
      <c r="B6" s="55" t="s">
        <v>2</v>
      </c>
      <c r="C6" s="55" t="s">
        <v>96</v>
      </c>
      <c r="D6" s="57">
        <v>653293570</v>
      </c>
      <c r="E6" s="57">
        <v>653293570</v>
      </c>
      <c r="F6" s="57">
        <v>653293570</v>
      </c>
      <c r="G6" s="57">
        <v>653294000</v>
      </c>
      <c r="H6" s="57">
        <v>653294000</v>
      </c>
    </row>
    <row r="7" spans="1:15">
      <c r="A7" s="55" t="s">
        <v>1</v>
      </c>
      <c r="B7" s="55" t="s">
        <v>2</v>
      </c>
      <c r="C7" s="55" t="s">
        <v>4</v>
      </c>
      <c r="D7" s="57">
        <v>-963307482</v>
      </c>
      <c r="E7" s="57">
        <v>-1376548337</v>
      </c>
      <c r="F7" s="57">
        <v>-1609696006</v>
      </c>
      <c r="G7" s="57">
        <v>-1879109000</v>
      </c>
      <c r="H7" s="57">
        <v>-2562216000</v>
      </c>
    </row>
    <row r="8" spans="1:15">
      <c r="A8" s="55" t="s">
        <v>1</v>
      </c>
      <c r="B8" s="55" t="s">
        <v>2</v>
      </c>
      <c r="C8" s="55" t="s">
        <v>97</v>
      </c>
      <c r="D8" s="57">
        <v>1812938098</v>
      </c>
      <c r="E8" s="57">
        <v>1790538683</v>
      </c>
      <c r="F8" s="57">
        <v>1768642108</v>
      </c>
      <c r="G8" s="57">
        <v>1746292300</v>
      </c>
      <c r="H8" s="57">
        <v>1726161000</v>
      </c>
      <c r="J8" s="8">
        <f>SUM(E9:E11)</f>
        <v>2530349964</v>
      </c>
    </row>
    <row r="9" spans="1:15">
      <c r="A9" s="55" t="s">
        <v>1</v>
      </c>
      <c r="B9" s="55" t="s">
        <v>5</v>
      </c>
      <c r="C9" s="55" t="s">
        <v>6</v>
      </c>
      <c r="D9" s="57">
        <v>2089286955</v>
      </c>
      <c r="E9" s="57">
        <v>1543445719</v>
      </c>
      <c r="F9" s="57">
        <v>931302738</v>
      </c>
      <c r="G9" s="57">
        <v>387929500</v>
      </c>
      <c r="H9" s="57">
        <v>64842000</v>
      </c>
      <c r="J9" s="8">
        <f>SUM(F12:F16)</f>
        <v>5789000249</v>
      </c>
    </row>
    <row r="10" spans="1:15">
      <c r="A10" s="55" t="s">
        <v>1</v>
      </c>
      <c r="B10" s="55" t="s">
        <v>5</v>
      </c>
      <c r="C10" s="55" t="s">
        <v>98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</row>
    <row r="11" spans="1:15">
      <c r="A11" s="55" t="s">
        <v>1</v>
      </c>
      <c r="B11" s="55" t="s">
        <v>5</v>
      </c>
      <c r="C11" s="55" t="s">
        <v>7</v>
      </c>
      <c r="D11" s="57">
        <v>1153480476</v>
      </c>
      <c r="E11" s="57">
        <v>986904245</v>
      </c>
      <c r="F11" s="57">
        <v>891495089</v>
      </c>
      <c r="G11" s="57">
        <v>772992000</v>
      </c>
      <c r="H11" s="57">
        <v>648176000</v>
      </c>
    </row>
    <row r="12" spans="1:15">
      <c r="A12" s="58" t="s">
        <v>1</v>
      </c>
      <c r="B12" s="58" t="s">
        <v>8</v>
      </c>
      <c r="C12" s="58" t="s">
        <v>9</v>
      </c>
      <c r="D12" s="59">
        <f>404989428+2196784</f>
        <v>407186212</v>
      </c>
      <c r="E12" s="59">
        <f>360805853+2196784</f>
        <v>363002637</v>
      </c>
      <c r="F12" s="59">
        <f>462280162+2196784</f>
        <v>464476946</v>
      </c>
      <c r="G12" s="59">
        <v>524601000</v>
      </c>
      <c r="H12" s="59">
        <v>487358000</v>
      </c>
    </row>
    <row r="13" spans="1:15">
      <c r="A13" s="58" t="s">
        <v>1</v>
      </c>
      <c r="B13" s="58" t="s">
        <v>8</v>
      </c>
      <c r="C13" s="58" t="s">
        <v>10</v>
      </c>
      <c r="D13" s="59">
        <v>721657845</v>
      </c>
      <c r="E13" s="77">
        <v>1329139404</v>
      </c>
      <c r="F13" s="59">
        <v>1750287567</v>
      </c>
      <c r="G13" s="59">
        <v>2342114000</v>
      </c>
      <c r="H13" s="77">
        <v>3295671000</v>
      </c>
    </row>
    <row r="14" spans="1:15">
      <c r="A14" s="58" t="s">
        <v>1</v>
      </c>
      <c r="B14" s="58" t="s">
        <v>8</v>
      </c>
      <c r="C14" s="58" t="s">
        <v>94</v>
      </c>
      <c r="D14" s="59">
        <v>1636480514</v>
      </c>
      <c r="E14" s="59">
        <v>1636480514</v>
      </c>
      <c r="F14" s="59">
        <v>1636480514</v>
      </c>
      <c r="G14" s="59">
        <v>1636481000</v>
      </c>
      <c r="H14" s="77">
        <v>1636481000</v>
      </c>
    </row>
    <row r="15" spans="1:15">
      <c r="A15" s="58" t="s">
        <v>1</v>
      </c>
      <c r="B15" s="58" t="s">
        <v>8</v>
      </c>
      <c r="C15" s="58" t="s">
        <v>95</v>
      </c>
      <c r="D15" s="59">
        <v>756896944</v>
      </c>
      <c r="E15" s="59">
        <v>1302738179</v>
      </c>
      <c r="F15" s="59">
        <v>1914881160</v>
      </c>
      <c r="G15" s="59">
        <v>2458254200</v>
      </c>
      <c r="H15" s="77">
        <v>2781342000</v>
      </c>
    </row>
    <row r="16" spans="1:15">
      <c r="A16" s="58" t="s">
        <v>1</v>
      </c>
      <c r="B16" s="58" t="s">
        <v>8</v>
      </c>
      <c r="C16" s="58" t="s">
        <v>106</v>
      </c>
      <c r="D16" s="59">
        <v>14161800</v>
      </c>
      <c r="E16" s="59">
        <v>17144355</v>
      </c>
      <c r="F16" s="59">
        <v>22874062</v>
      </c>
      <c r="G16" s="59">
        <v>36437000</v>
      </c>
      <c r="H16" s="59">
        <v>44940000</v>
      </c>
    </row>
    <row r="17" spans="1:8">
      <c r="A17" s="55" t="s">
        <v>1</v>
      </c>
      <c r="B17" s="55" t="s">
        <v>11</v>
      </c>
      <c r="C17" s="55" t="s">
        <v>12</v>
      </c>
      <c r="D17" s="56">
        <v>4358197173</v>
      </c>
      <c r="E17" s="56">
        <v>4309937464</v>
      </c>
      <c r="F17" s="56">
        <v>4262646593</v>
      </c>
      <c r="G17" s="56">
        <v>4213673000</v>
      </c>
      <c r="H17" s="56">
        <v>4170099000</v>
      </c>
    </row>
    <row r="18" spans="1:8">
      <c r="A18" s="55" t="s">
        <v>1</v>
      </c>
      <c r="B18" s="55" t="s">
        <v>11</v>
      </c>
      <c r="C18" s="55" t="s">
        <v>99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</row>
    <row r="19" spans="1:8">
      <c r="A19" s="55" t="s">
        <v>1</v>
      </c>
      <c r="B19" s="55" t="s">
        <v>11</v>
      </c>
      <c r="C19" s="55" t="s">
        <v>91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</row>
    <row r="20" spans="1:8">
      <c r="A20" s="55" t="s">
        <v>1</v>
      </c>
      <c r="B20" s="55" t="s">
        <v>11</v>
      </c>
      <c r="C20" s="55" t="s">
        <v>92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</row>
    <row r="21" spans="1:8">
      <c r="A21" s="55" t="s">
        <v>1</v>
      </c>
      <c r="B21" s="55" t="s">
        <v>11</v>
      </c>
      <c r="C21" s="55" t="s">
        <v>93</v>
      </c>
      <c r="D21" s="56">
        <v>1236600</v>
      </c>
      <c r="E21" s="56">
        <v>1236600</v>
      </c>
      <c r="F21" s="56">
        <v>1236600</v>
      </c>
      <c r="G21" s="56">
        <v>1237000</v>
      </c>
      <c r="H21" s="56">
        <v>1237000</v>
      </c>
    </row>
    <row r="22" spans="1:8">
      <c r="A22" s="55" t="s">
        <v>1</v>
      </c>
      <c r="B22" s="55" t="s">
        <v>11</v>
      </c>
      <c r="C22" s="55" t="s">
        <v>13</v>
      </c>
      <c r="D22" s="56"/>
      <c r="E22" s="56"/>
      <c r="F22" s="56"/>
      <c r="G22" s="56">
        <v>0</v>
      </c>
      <c r="H22" s="56">
        <v>0</v>
      </c>
    </row>
    <row r="23" spans="1:8">
      <c r="A23" s="55" t="s">
        <v>1</v>
      </c>
      <c r="B23" s="55" t="s">
        <v>11</v>
      </c>
      <c r="C23" s="55" t="s">
        <v>7</v>
      </c>
      <c r="D23" s="56">
        <v>504409</v>
      </c>
      <c r="E23" s="56">
        <v>337954</v>
      </c>
      <c r="F23" s="56">
        <v>226429</v>
      </c>
      <c r="G23" s="56">
        <v>152000</v>
      </c>
      <c r="H23" s="56">
        <v>102000</v>
      </c>
    </row>
    <row r="24" spans="1:8">
      <c r="A24" s="60" t="s">
        <v>1</v>
      </c>
      <c r="B24" s="60" t="s">
        <v>14</v>
      </c>
      <c r="C24" s="60" t="s">
        <v>15</v>
      </c>
      <c r="D24" s="61">
        <v>273110420</v>
      </c>
      <c r="E24" s="61">
        <v>269444962</v>
      </c>
      <c r="F24" s="61">
        <v>270131869</v>
      </c>
      <c r="G24" s="61">
        <v>290842000</v>
      </c>
      <c r="H24" s="61">
        <v>278852000</v>
      </c>
    </row>
    <row r="25" spans="1:8">
      <c r="A25" s="60" t="s">
        <v>1</v>
      </c>
      <c r="B25" s="60" t="s">
        <v>14</v>
      </c>
      <c r="C25" s="60" t="s">
        <v>16</v>
      </c>
      <c r="D25" s="61">
        <v>2359009644</v>
      </c>
      <c r="E25" s="61">
        <v>2440171655</v>
      </c>
      <c r="F25" s="61">
        <v>2524567426</v>
      </c>
      <c r="G25" s="61">
        <v>2820780000</v>
      </c>
      <c r="H25" s="61">
        <v>2957481000</v>
      </c>
    </row>
    <row r="26" spans="1:8">
      <c r="A26" s="60" t="s">
        <v>1</v>
      </c>
      <c r="B26" s="60" t="s">
        <v>14</v>
      </c>
      <c r="C26" s="60" t="s">
        <v>17</v>
      </c>
      <c r="D26" s="61"/>
      <c r="E26" s="61"/>
      <c r="F26" s="61"/>
      <c r="G26" s="61">
        <v>40332000</v>
      </c>
      <c r="H26" s="61">
        <v>248361000</v>
      </c>
    </row>
    <row r="27" spans="1:8">
      <c r="A27" s="60" t="s">
        <v>1</v>
      </c>
      <c r="B27" s="60" t="s">
        <v>14</v>
      </c>
      <c r="C27" s="60" t="s">
        <v>18</v>
      </c>
      <c r="D27" s="61">
        <v>1338102661</v>
      </c>
      <c r="E27" s="61">
        <v>1248776733</v>
      </c>
      <c r="F27" s="61">
        <v>1504016134</v>
      </c>
      <c r="G27" s="61">
        <v>1485343000</v>
      </c>
      <c r="H27" s="61">
        <v>1661067000</v>
      </c>
    </row>
    <row r="28" spans="1:8">
      <c r="A28" s="60" t="s">
        <v>1</v>
      </c>
      <c r="B28" s="60" t="s">
        <v>14</v>
      </c>
      <c r="C28" s="60" t="s">
        <v>19</v>
      </c>
      <c r="D28" s="61">
        <v>184777019</v>
      </c>
      <c r="E28" s="61">
        <v>209269631</v>
      </c>
      <c r="F28" s="61">
        <v>61979631</v>
      </c>
      <c r="G28" s="61">
        <v>0</v>
      </c>
      <c r="H28" s="61">
        <v>0</v>
      </c>
    </row>
    <row r="29" spans="1:8">
      <c r="A29" s="60" t="s">
        <v>1</v>
      </c>
      <c r="B29" s="60" t="s">
        <v>14</v>
      </c>
      <c r="C29" s="60" t="s">
        <v>90</v>
      </c>
      <c r="D29" s="61"/>
      <c r="E29" s="61"/>
      <c r="F29" s="61"/>
      <c r="G29" s="61">
        <v>0</v>
      </c>
      <c r="H29" s="61">
        <v>0</v>
      </c>
    </row>
    <row r="30" spans="1:8">
      <c r="A30" s="60" t="s">
        <v>1</v>
      </c>
      <c r="B30" s="60" t="s">
        <v>14</v>
      </c>
      <c r="C30" s="60" t="s">
        <v>20</v>
      </c>
      <c r="D30" s="61">
        <v>328502556</v>
      </c>
      <c r="E30" s="61">
        <v>328329520</v>
      </c>
      <c r="F30" s="61">
        <v>360598616</v>
      </c>
      <c r="G30" s="61">
        <v>388293000</v>
      </c>
      <c r="H30" s="61">
        <v>20216000</v>
      </c>
    </row>
    <row r="31" spans="1:8">
      <c r="A31" s="62" t="s">
        <v>51</v>
      </c>
      <c r="B31" s="62" t="s">
        <v>21</v>
      </c>
      <c r="C31" s="62" t="s">
        <v>22</v>
      </c>
      <c r="D31" s="63">
        <v>438113837</v>
      </c>
      <c r="E31" s="63">
        <v>175563971</v>
      </c>
      <c r="F31" s="63">
        <v>405166580</v>
      </c>
      <c r="G31" s="63">
        <v>967206000</v>
      </c>
      <c r="H31" s="63">
        <v>664347000</v>
      </c>
    </row>
    <row r="32" spans="1:8">
      <c r="A32" s="62" t="s">
        <v>51</v>
      </c>
      <c r="B32" s="62" t="s">
        <v>23</v>
      </c>
      <c r="C32" s="62" t="s">
        <v>24</v>
      </c>
      <c r="D32" s="63">
        <v>375028655</v>
      </c>
      <c r="E32" s="63">
        <v>118566097</v>
      </c>
      <c r="F32" s="63">
        <v>275236383</v>
      </c>
      <c r="G32" s="63">
        <v>717472000</v>
      </c>
      <c r="H32" s="63">
        <v>470795000</v>
      </c>
    </row>
    <row r="33" spans="1:9">
      <c r="A33" s="62" t="s">
        <v>51</v>
      </c>
      <c r="B33" s="62" t="s">
        <v>23</v>
      </c>
      <c r="C33" s="62" t="s">
        <v>62</v>
      </c>
      <c r="D33" s="63">
        <v>50409657</v>
      </c>
      <c r="E33" s="63">
        <v>46980283</v>
      </c>
      <c r="F33" s="63">
        <v>53174776</v>
      </c>
      <c r="G33" s="63">
        <v>56493000</v>
      </c>
      <c r="H33" s="63">
        <v>49359000</v>
      </c>
    </row>
    <row r="34" spans="1:9">
      <c r="A34" s="62" t="s">
        <v>51</v>
      </c>
      <c r="B34" s="62" t="s">
        <v>23</v>
      </c>
      <c r="C34" s="62" t="s">
        <v>49</v>
      </c>
      <c r="D34" s="63">
        <v>2233330</v>
      </c>
      <c r="E34" s="63">
        <v>2324121</v>
      </c>
      <c r="F34" s="63">
        <v>4066270</v>
      </c>
      <c r="G34" s="63">
        <v>1404000</v>
      </c>
      <c r="H34" s="63">
        <v>10186000</v>
      </c>
    </row>
    <row r="35" spans="1:9">
      <c r="A35" s="62" t="s">
        <v>51</v>
      </c>
      <c r="B35" s="62" t="s">
        <v>21</v>
      </c>
      <c r="C35" s="62" t="s">
        <v>53</v>
      </c>
      <c r="D35" s="63">
        <v>21649650</v>
      </c>
      <c r="E35" s="63">
        <v>0</v>
      </c>
      <c r="F35" s="63">
        <v>0</v>
      </c>
      <c r="G35" s="63">
        <v>0</v>
      </c>
      <c r="H35" s="63">
        <v>0</v>
      </c>
    </row>
    <row r="36" spans="1:9">
      <c r="A36" s="62" t="s">
        <v>51</v>
      </c>
      <c r="B36" s="62" t="s">
        <v>23</v>
      </c>
      <c r="C36" s="62" t="s">
        <v>50</v>
      </c>
      <c r="D36" s="63"/>
      <c r="E36" s="63">
        <v>0</v>
      </c>
      <c r="F36" s="63">
        <v>0</v>
      </c>
      <c r="G36" s="63">
        <v>0</v>
      </c>
      <c r="H36" s="63">
        <v>0</v>
      </c>
    </row>
    <row r="37" spans="1:9">
      <c r="A37" s="62" t="s">
        <v>51</v>
      </c>
      <c r="B37" s="62" t="s">
        <v>23</v>
      </c>
      <c r="C37" s="62" t="s">
        <v>89</v>
      </c>
      <c r="D37" s="63">
        <v>585894011</v>
      </c>
      <c r="E37" s="63">
        <v>607481559</v>
      </c>
      <c r="F37" s="63">
        <v>421199755</v>
      </c>
      <c r="G37" s="63">
        <v>591846000</v>
      </c>
      <c r="H37" s="63">
        <v>953583000</v>
      </c>
    </row>
    <row r="38" spans="1:9">
      <c r="A38" s="62" t="s">
        <v>51</v>
      </c>
      <c r="B38" s="62" t="s">
        <v>25</v>
      </c>
      <c r="C38" s="62" t="s">
        <v>107</v>
      </c>
      <c r="D38" s="63">
        <v>90739249</v>
      </c>
      <c r="E38" s="63">
        <v>165301698</v>
      </c>
      <c r="F38" s="63">
        <v>97679335</v>
      </c>
      <c r="G38" s="63">
        <v>121652000</v>
      </c>
      <c r="H38" s="63">
        <v>124842000</v>
      </c>
    </row>
    <row r="39" spans="1:9">
      <c r="A39" s="62" t="s">
        <v>51</v>
      </c>
      <c r="B39" s="62" t="s">
        <v>26</v>
      </c>
      <c r="C39" s="62" t="s">
        <v>108</v>
      </c>
      <c r="D39" s="63">
        <v>6571708</v>
      </c>
      <c r="E39" s="63">
        <v>2982555</v>
      </c>
      <c r="F39" s="63">
        <v>5729707</v>
      </c>
      <c r="G39" s="63">
        <v>13563000</v>
      </c>
      <c r="H39" s="63">
        <v>8503000</v>
      </c>
    </row>
    <row r="40" spans="1:9">
      <c r="A40" s="64" t="s">
        <v>52</v>
      </c>
      <c r="B40" s="64" t="s">
        <v>27</v>
      </c>
      <c r="C40" s="64" t="s">
        <v>100</v>
      </c>
      <c r="D40" s="65">
        <v>624011189</v>
      </c>
      <c r="E40" s="65">
        <v>-173037</v>
      </c>
      <c r="F40" s="65">
        <v>28499186</v>
      </c>
      <c r="G40" s="65">
        <v>28908000</v>
      </c>
      <c r="H40" s="65">
        <v>368077000</v>
      </c>
    </row>
    <row r="41" spans="1:9">
      <c r="A41" s="64" t="s">
        <v>52</v>
      </c>
      <c r="B41" s="64" t="s">
        <v>27</v>
      </c>
      <c r="C41" s="64" t="s">
        <v>101</v>
      </c>
      <c r="D41" s="65">
        <v>-76550823</v>
      </c>
      <c r="E41" s="65">
        <v>0</v>
      </c>
      <c r="F41" s="65">
        <v>0</v>
      </c>
      <c r="G41" s="65">
        <v>-1213232</v>
      </c>
      <c r="H41" s="65">
        <v>0</v>
      </c>
    </row>
    <row r="42" spans="1:9">
      <c r="A42" s="64" t="s">
        <v>52</v>
      </c>
      <c r="B42" s="64" t="s">
        <v>27</v>
      </c>
      <c r="C42" s="64" t="s">
        <v>102</v>
      </c>
      <c r="D42" s="65">
        <v>-3303843</v>
      </c>
      <c r="E42" s="65">
        <v>0</v>
      </c>
      <c r="F42" s="65">
        <v>0</v>
      </c>
      <c r="G42" s="65">
        <v>0</v>
      </c>
      <c r="H42" s="65">
        <v>0</v>
      </c>
    </row>
    <row r="43" spans="1:9">
      <c r="A43" s="64" t="s">
        <v>52</v>
      </c>
      <c r="B43" s="64" t="s">
        <v>27</v>
      </c>
      <c r="C43" s="64" t="s">
        <v>7</v>
      </c>
      <c r="D43" s="65">
        <v>-272297</v>
      </c>
      <c r="E43" s="65">
        <v>0</v>
      </c>
      <c r="F43" s="65">
        <v>3786912</v>
      </c>
      <c r="G43" s="65"/>
      <c r="H43" s="65"/>
    </row>
    <row r="44" spans="1:9" ht="15.5">
      <c r="A44" s="64" t="s">
        <v>52</v>
      </c>
      <c r="B44" s="64" t="s">
        <v>27</v>
      </c>
      <c r="C44" s="66" t="s">
        <v>86</v>
      </c>
      <c r="D44" s="67">
        <f>SUM(D40:D43)</f>
        <v>543884226</v>
      </c>
      <c r="E44" s="67">
        <f t="shared" ref="E44:G44" si="0">SUM(E40:E43)</f>
        <v>-173037</v>
      </c>
      <c r="F44" s="67">
        <f t="shared" si="0"/>
        <v>32286098</v>
      </c>
      <c r="G44" s="67">
        <f t="shared" si="0"/>
        <v>27694768</v>
      </c>
      <c r="H44" s="89">
        <f>SUM(H40:H43)</f>
        <v>368077000</v>
      </c>
      <c r="I44" s="90"/>
    </row>
    <row r="45" spans="1:9">
      <c r="A45" s="64" t="s">
        <v>52</v>
      </c>
      <c r="B45" s="64" t="s">
        <v>28</v>
      </c>
      <c r="C45" s="64" t="s">
        <v>84</v>
      </c>
      <c r="D45" s="65"/>
      <c r="E45" s="65">
        <v>0</v>
      </c>
      <c r="F45" s="65">
        <v>-17000</v>
      </c>
      <c r="G45" s="65">
        <v>0</v>
      </c>
      <c r="H45" s="65">
        <v>0</v>
      </c>
    </row>
    <row r="46" spans="1:9">
      <c r="A46" s="64" t="s">
        <v>52</v>
      </c>
      <c r="B46" s="64" t="s">
        <v>28</v>
      </c>
      <c r="C46" s="64" t="s">
        <v>68</v>
      </c>
      <c r="D46" s="65"/>
      <c r="E46" s="65">
        <v>0</v>
      </c>
      <c r="F46" s="65">
        <v>0</v>
      </c>
      <c r="G46" s="65">
        <v>0</v>
      </c>
      <c r="H46" s="65">
        <v>0</v>
      </c>
    </row>
    <row r="47" spans="1:9">
      <c r="A47" s="64" t="s">
        <v>52</v>
      </c>
      <c r="B47" s="64" t="s">
        <v>28</v>
      </c>
      <c r="C47" s="64" t="s">
        <v>85</v>
      </c>
      <c r="D47" s="65"/>
      <c r="E47" s="65">
        <v>0</v>
      </c>
      <c r="F47" s="65">
        <v>0</v>
      </c>
      <c r="G47" s="65">
        <v>0</v>
      </c>
      <c r="H47" s="65">
        <v>0</v>
      </c>
    </row>
    <row r="48" spans="1:9">
      <c r="A48" s="64" t="s">
        <v>52</v>
      </c>
      <c r="B48" s="64" t="s">
        <v>28</v>
      </c>
      <c r="C48" s="64" t="s">
        <v>69</v>
      </c>
      <c r="D48" s="65">
        <v>236711299</v>
      </c>
      <c r="E48" s="65">
        <v>0</v>
      </c>
      <c r="F48" s="65">
        <v>0</v>
      </c>
      <c r="G48" s="65">
        <v>0</v>
      </c>
      <c r="H48" s="65">
        <v>0</v>
      </c>
    </row>
    <row r="49" spans="1:8">
      <c r="A49" s="64" t="s">
        <v>52</v>
      </c>
      <c r="B49" s="64" t="s">
        <v>28</v>
      </c>
      <c r="C49" s="64" t="s">
        <v>67</v>
      </c>
      <c r="D49" s="65"/>
      <c r="E49" s="65">
        <v>0</v>
      </c>
      <c r="F49" s="65">
        <v>0</v>
      </c>
      <c r="G49" s="65">
        <v>0</v>
      </c>
      <c r="H49" s="65">
        <v>0</v>
      </c>
    </row>
    <row r="50" spans="1:8">
      <c r="A50" s="64" t="s">
        <v>52</v>
      </c>
      <c r="B50" s="64" t="s">
        <v>28</v>
      </c>
      <c r="C50" s="64" t="s">
        <v>7</v>
      </c>
      <c r="D50" s="65"/>
      <c r="E50" s="65">
        <v>0</v>
      </c>
      <c r="F50" s="65">
        <v>0</v>
      </c>
      <c r="G50" s="65">
        <v>0</v>
      </c>
      <c r="H50" s="65">
        <v>0</v>
      </c>
    </row>
    <row r="51" spans="1:8" ht="15.5">
      <c r="A51" s="64" t="s">
        <v>52</v>
      </c>
      <c r="B51" s="64" t="s">
        <v>28</v>
      </c>
      <c r="C51" s="66" t="s">
        <v>87</v>
      </c>
      <c r="D51" s="67">
        <f>SUM(D45:D50)</f>
        <v>236711299</v>
      </c>
      <c r="E51" s="67">
        <f t="shared" ref="E51:H51" si="1">SUM(E45:E50)</f>
        <v>0</v>
      </c>
      <c r="F51" s="67">
        <f t="shared" si="1"/>
        <v>-17000</v>
      </c>
      <c r="G51" s="67">
        <f t="shared" si="1"/>
        <v>0</v>
      </c>
      <c r="H51" s="67">
        <f t="shared" si="1"/>
        <v>0</v>
      </c>
    </row>
    <row r="52" spans="1:8">
      <c r="A52" s="64" t="s">
        <v>52</v>
      </c>
      <c r="B52" s="64" t="s">
        <v>29</v>
      </c>
      <c r="C52" s="68" t="s">
        <v>70</v>
      </c>
      <c r="D52" s="65">
        <v>-174931664</v>
      </c>
      <c r="E52" s="65">
        <v>0</v>
      </c>
      <c r="F52" s="65">
        <v>0</v>
      </c>
      <c r="G52" s="65">
        <v>0</v>
      </c>
      <c r="H52" s="65">
        <v>0</v>
      </c>
    </row>
    <row r="53" spans="1:8">
      <c r="A53" s="64" t="s">
        <v>52</v>
      </c>
      <c r="B53" s="64" t="s">
        <v>29</v>
      </c>
      <c r="C53" s="68" t="s">
        <v>71</v>
      </c>
      <c r="D53" s="65"/>
      <c r="E53" s="65">
        <v>0</v>
      </c>
      <c r="F53" s="65">
        <v>0</v>
      </c>
      <c r="G53" s="65">
        <v>0</v>
      </c>
      <c r="H53" s="65">
        <v>0</v>
      </c>
    </row>
    <row r="54" spans="1:8">
      <c r="A54" s="64" t="s">
        <v>52</v>
      </c>
      <c r="B54" s="64" t="s">
        <v>29</v>
      </c>
      <c r="C54" s="69" t="s">
        <v>72</v>
      </c>
      <c r="D54" s="65"/>
      <c r="E54" s="65">
        <v>0</v>
      </c>
      <c r="F54" s="65">
        <v>0</v>
      </c>
      <c r="G54" s="65">
        <v>0</v>
      </c>
      <c r="H54" s="65">
        <v>0</v>
      </c>
    </row>
    <row r="55" spans="1:8">
      <c r="A55" s="64" t="s">
        <v>52</v>
      </c>
      <c r="B55" s="64" t="s">
        <v>29</v>
      </c>
      <c r="C55" s="69" t="s">
        <v>7</v>
      </c>
      <c r="D55" s="65"/>
      <c r="E55" s="65">
        <v>0</v>
      </c>
      <c r="F55" s="65">
        <v>0</v>
      </c>
      <c r="G55" s="65">
        <v>0</v>
      </c>
      <c r="H55" s="65">
        <v>0</v>
      </c>
    </row>
    <row r="56" spans="1:8">
      <c r="A56" s="64" t="s">
        <v>52</v>
      </c>
      <c r="B56" s="64" t="s">
        <v>29</v>
      </c>
      <c r="C56" s="69" t="s">
        <v>30</v>
      </c>
      <c r="D56" s="65"/>
      <c r="E56" s="65">
        <v>0</v>
      </c>
      <c r="F56" s="65">
        <v>0</v>
      </c>
      <c r="G56" s="65">
        <v>0</v>
      </c>
      <c r="H56" s="65">
        <v>0</v>
      </c>
    </row>
    <row r="57" spans="1:8" ht="15.5">
      <c r="A57" s="64" t="s">
        <v>52</v>
      </c>
      <c r="B57" s="64" t="s">
        <v>29</v>
      </c>
      <c r="C57" s="66" t="s">
        <v>88</v>
      </c>
      <c r="D57" s="67">
        <f>SUM(D52:D56)</f>
        <v>-174931664</v>
      </c>
      <c r="E57" s="67">
        <f t="shared" ref="E57:H57" si="2">SUM(E52:E56)</f>
        <v>0</v>
      </c>
      <c r="F57" s="67">
        <f t="shared" si="2"/>
        <v>0</v>
      </c>
      <c r="G57" s="67">
        <f t="shared" si="2"/>
        <v>0</v>
      </c>
      <c r="H57" s="67">
        <f t="shared" si="2"/>
        <v>0</v>
      </c>
    </row>
    <row r="58" spans="1:8">
      <c r="A58" s="70" t="s">
        <v>52</v>
      </c>
      <c r="B58" s="70" t="s">
        <v>31</v>
      </c>
      <c r="C58" s="70" t="s">
        <v>32</v>
      </c>
      <c r="D58" s="71">
        <v>53262774</v>
      </c>
      <c r="E58" s="71">
        <v>48259709</v>
      </c>
      <c r="F58" s="71">
        <v>47307871</v>
      </c>
      <c r="G58" s="71">
        <v>48973000</v>
      </c>
      <c r="H58" s="71">
        <v>43574000</v>
      </c>
    </row>
    <row r="59" spans="1:8">
      <c r="A59" s="70" t="s">
        <v>52</v>
      </c>
      <c r="B59" s="70" t="s">
        <v>31</v>
      </c>
      <c r="C59" s="70" t="s">
        <v>33</v>
      </c>
      <c r="D59" s="71">
        <v>248440</v>
      </c>
      <c r="E59" s="71">
        <v>166455</v>
      </c>
      <c r="F59" s="71">
        <v>111525</v>
      </c>
      <c r="G59" s="71">
        <v>75000</v>
      </c>
      <c r="H59" s="71">
        <v>50000</v>
      </c>
    </row>
    <row r="60" spans="1:8">
      <c r="A60" s="70" t="s">
        <v>52</v>
      </c>
      <c r="B60" s="70" t="s">
        <v>31</v>
      </c>
      <c r="C60" s="70" t="s">
        <v>73</v>
      </c>
      <c r="D60" s="71">
        <v>543585512</v>
      </c>
      <c r="E60" s="71">
        <v>554140</v>
      </c>
      <c r="F60" s="71">
        <v>0</v>
      </c>
      <c r="G60" s="71">
        <v>596345284</v>
      </c>
      <c r="H60" s="71">
        <v>953583111</v>
      </c>
    </row>
    <row r="61" spans="1:8">
      <c r="A61" s="72" t="s">
        <v>54</v>
      </c>
      <c r="B61" s="70"/>
      <c r="C61" s="70"/>
      <c r="D61" s="71"/>
      <c r="E61" s="71"/>
      <c r="F61" s="71"/>
      <c r="G61" s="71"/>
      <c r="H61" s="71"/>
    </row>
    <row r="62" spans="1:8">
      <c r="A62" s="70" t="s">
        <v>34</v>
      </c>
      <c r="B62" s="70" t="s">
        <v>21</v>
      </c>
      <c r="C62" s="70" t="s">
        <v>74</v>
      </c>
      <c r="D62" s="71"/>
      <c r="E62" s="71">
        <v>0</v>
      </c>
      <c r="F62" s="71">
        <v>0</v>
      </c>
      <c r="G62" s="71">
        <v>0</v>
      </c>
      <c r="H62" s="71">
        <v>370643000</v>
      </c>
    </row>
    <row r="63" spans="1:8">
      <c r="A63" s="70" t="s">
        <v>34</v>
      </c>
      <c r="B63" s="70" t="s">
        <v>21</v>
      </c>
      <c r="C63" s="70" t="s">
        <v>75</v>
      </c>
      <c r="D63" s="71">
        <v>509987915</v>
      </c>
      <c r="E63" s="71">
        <v>206293271</v>
      </c>
      <c r="F63" s="71">
        <v>471276544</v>
      </c>
      <c r="G63" s="71">
        <v>1131631000</v>
      </c>
      <c r="H63" s="71">
        <v>336756000</v>
      </c>
    </row>
    <row r="64" spans="1:8">
      <c r="A64" s="70" t="s">
        <v>34</v>
      </c>
      <c r="B64" s="70" t="s">
        <v>21</v>
      </c>
      <c r="C64" s="70" t="s">
        <v>76</v>
      </c>
      <c r="D64" s="71">
        <v>71874078</v>
      </c>
      <c r="E64" s="71">
        <v>30729300</v>
      </c>
      <c r="F64" s="71">
        <v>66109964</v>
      </c>
      <c r="G64" s="71">
        <v>164425000</v>
      </c>
      <c r="H64" s="71">
        <v>43052000</v>
      </c>
    </row>
    <row r="65" spans="1:9">
      <c r="A65" s="70" t="s">
        <v>34</v>
      </c>
      <c r="B65" s="70" t="s">
        <v>21</v>
      </c>
      <c r="C65" s="70" t="s">
        <v>7</v>
      </c>
      <c r="D65" s="71"/>
      <c r="E65" s="71"/>
      <c r="F65" s="71"/>
      <c r="G65" s="71">
        <v>0</v>
      </c>
      <c r="H65" s="71">
        <v>0</v>
      </c>
    </row>
    <row r="66" spans="1:9" ht="15.5">
      <c r="A66" s="70" t="s">
        <v>34</v>
      </c>
      <c r="B66" s="70" t="s">
        <v>21</v>
      </c>
      <c r="C66" s="73" t="s">
        <v>35</v>
      </c>
      <c r="D66" s="67">
        <f>+D62+D63-D64-D65</f>
        <v>438113837</v>
      </c>
      <c r="E66" s="67">
        <f t="shared" ref="E66:H66" si="3">+E62+E63-E64-E65</f>
        <v>175563971</v>
      </c>
      <c r="F66" s="67">
        <f t="shared" si="3"/>
        <v>405166580</v>
      </c>
      <c r="G66" s="67">
        <f t="shared" si="3"/>
        <v>967206000</v>
      </c>
      <c r="H66" s="67">
        <f t="shared" si="3"/>
        <v>664347000</v>
      </c>
    </row>
    <row r="67" spans="1:9">
      <c r="A67" s="70" t="s">
        <v>34</v>
      </c>
      <c r="B67" s="70" t="s">
        <v>36</v>
      </c>
      <c r="C67" s="70" t="s">
        <v>66</v>
      </c>
      <c r="D67" s="71">
        <v>344555581</v>
      </c>
      <c r="E67" s="71">
        <v>151221097</v>
      </c>
      <c r="F67" s="71">
        <v>310433198</v>
      </c>
      <c r="G67" s="71">
        <v>913666000</v>
      </c>
      <c r="H67" s="71">
        <v>561957000</v>
      </c>
    </row>
    <row r="68" spans="1:9">
      <c r="A68" s="70" t="s">
        <v>34</v>
      </c>
      <c r="B68" s="70" t="s">
        <v>36</v>
      </c>
      <c r="C68" s="70" t="s">
        <v>65</v>
      </c>
      <c r="D68" s="71">
        <v>2178405</v>
      </c>
      <c r="E68" s="71">
        <v>3936934</v>
      </c>
      <c r="F68" s="71">
        <v>3331374</v>
      </c>
      <c r="G68" s="71">
        <v>17275000</v>
      </c>
      <c r="H68" s="71">
        <v>5300000</v>
      </c>
    </row>
    <row r="69" spans="1:9">
      <c r="A69" s="70" t="s">
        <v>34</v>
      </c>
      <c r="B69" s="70" t="s">
        <v>36</v>
      </c>
      <c r="C69" s="70" t="s">
        <v>15</v>
      </c>
      <c r="D69" s="71">
        <v>6730219</v>
      </c>
      <c r="E69" s="71">
        <v>8776504</v>
      </c>
      <c r="F69" s="71">
        <v>18348601</v>
      </c>
      <c r="G69" s="71">
        <v>79553000</v>
      </c>
      <c r="H69" s="71">
        <v>43369000</v>
      </c>
    </row>
    <row r="70" spans="1:9">
      <c r="A70" s="70" t="s">
        <v>34</v>
      </c>
      <c r="B70" s="70" t="s">
        <v>36</v>
      </c>
      <c r="C70" s="70" t="s">
        <v>64</v>
      </c>
      <c r="D70" s="71">
        <v>18936354</v>
      </c>
      <c r="E70" s="71">
        <v>26883630</v>
      </c>
      <c r="F70" s="71">
        <v>37959046</v>
      </c>
      <c r="G70" s="71">
        <v>62972000</v>
      </c>
      <c r="H70" s="71">
        <v>44646000</v>
      </c>
    </row>
    <row r="71" spans="1:9">
      <c r="A71" s="70" t="s">
        <v>34</v>
      </c>
      <c r="B71" s="70" t="s">
        <v>36</v>
      </c>
      <c r="C71" s="70" t="s">
        <v>32</v>
      </c>
      <c r="D71" s="71">
        <v>29206886</v>
      </c>
      <c r="E71" s="71">
        <v>25675786</v>
      </c>
      <c r="F71" s="71">
        <v>26070028</v>
      </c>
      <c r="G71" s="71">
        <v>28976000</v>
      </c>
      <c r="H71" s="71">
        <v>24527000</v>
      </c>
    </row>
    <row r="72" spans="1:9">
      <c r="A72" s="70" t="s">
        <v>34</v>
      </c>
      <c r="B72" s="70" t="s">
        <v>36</v>
      </c>
      <c r="C72" s="70" t="s">
        <v>63</v>
      </c>
      <c r="D72" s="71">
        <v>822129</v>
      </c>
      <c r="E72" s="71">
        <v>1075580</v>
      </c>
      <c r="F72" s="71">
        <v>2354646</v>
      </c>
      <c r="G72" s="71">
        <v>4738000</v>
      </c>
      <c r="H72" s="71">
        <v>4416000</v>
      </c>
    </row>
    <row r="73" spans="1:9">
      <c r="A73" s="70" t="s">
        <v>34</v>
      </c>
      <c r="B73" s="70" t="s">
        <v>36</v>
      </c>
      <c r="C73" s="70" t="s">
        <v>7</v>
      </c>
      <c r="D73" s="71">
        <v>8867540</v>
      </c>
      <c r="E73" s="71">
        <v>5431577</v>
      </c>
      <c r="F73" s="71">
        <v>14345261</v>
      </c>
      <c r="G73" s="71">
        <v>41418600</v>
      </c>
      <c r="H73" s="71">
        <v>13315000</v>
      </c>
    </row>
    <row r="74" spans="1:9" ht="15.5">
      <c r="A74" s="74" t="s">
        <v>34</v>
      </c>
      <c r="B74" s="74" t="s">
        <v>36</v>
      </c>
      <c r="C74" s="75" t="s">
        <v>37</v>
      </c>
      <c r="D74" s="76">
        <f>SUM(D67:D73)</f>
        <v>411297114</v>
      </c>
      <c r="E74" s="76">
        <f t="shared" ref="E74:H74" si="4">SUM(E67:E73)</f>
        <v>223001108</v>
      </c>
      <c r="F74" s="76">
        <f t="shared" si="4"/>
        <v>412842154</v>
      </c>
      <c r="G74" s="76">
        <f t="shared" si="4"/>
        <v>1148598600</v>
      </c>
      <c r="H74" s="76">
        <f t="shared" si="4"/>
        <v>697530000</v>
      </c>
    </row>
    <row r="75" spans="1:9">
      <c r="A75" s="70" t="s">
        <v>34</v>
      </c>
      <c r="B75" s="70" t="s">
        <v>36</v>
      </c>
      <c r="C75" s="70" t="s">
        <v>77</v>
      </c>
      <c r="D75" s="71">
        <v>46741708</v>
      </c>
      <c r="E75" s="71">
        <v>21405957</v>
      </c>
      <c r="F75" s="71">
        <v>24521375</v>
      </c>
      <c r="G75" s="71">
        <v>2444000</v>
      </c>
      <c r="H75" s="71">
        <v>12825000</v>
      </c>
    </row>
    <row r="76" spans="1:9">
      <c r="A76" s="70" t="s">
        <v>34</v>
      </c>
      <c r="B76" s="70" t="s">
        <v>36</v>
      </c>
      <c r="C76" s="70" t="s">
        <v>78</v>
      </c>
      <c r="D76" s="71">
        <v>21405957</v>
      </c>
      <c r="E76" s="71">
        <v>24521375</v>
      </c>
      <c r="F76" s="71">
        <v>2443621</v>
      </c>
      <c r="G76" s="71">
        <v>12825000</v>
      </c>
      <c r="H76" s="71">
        <v>14612000</v>
      </c>
    </row>
    <row r="77" spans="1:9">
      <c r="A77" s="70" t="s">
        <v>34</v>
      </c>
      <c r="B77" s="70" t="s">
        <v>36</v>
      </c>
      <c r="C77" s="70" t="s">
        <v>79</v>
      </c>
      <c r="D77" s="71">
        <v>2332067407</v>
      </c>
      <c r="E77" s="71">
        <v>2337603688</v>
      </c>
      <c r="F77" s="71">
        <v>2415650279</v>
      </c>
      <c r="G77" s="71">
        <v>2522124000</v>
      </c>
      <c r="H77" s="71">
        <v>2807956000</v>
      </c>
    </row>
    <row r="78" spans="1:9">
      <c r="A78" s="70" t="s">
        <v>34</v>
      </c>
      <c r="B78" s="70" t="s">
        <v>36</v>
      </c>
      <c r="C78" s="70" t="s">
        <v>80</v>
      </c>
      <c r="D78" s="71">
        <v>2337603687</v>
      </c>
      <c r="E78" s="71">
        <v>2415650281</v>
      </c>
      <c r="F78" s="71">
        <v>2522123804</v>
      </c>
      <c r="G78" s="71">
        <v>2942869600</v>
      </c>
      <c r="H78" s="71">
        <v>2942870000</v>
      </c>
    </row>
    <row r="79" spans="1:9" ht="15.5">
      <c r="A79" s="70" t="s">
        <v>34</v>
      </c>
      <c r="B79" s="70" t="s">
        <v>36</v>
      </c>
      <c r="C79" s="78" t="s">
        <v>81</v>
      </c>
      <c r="D79" s="79">
        <f>(D74+D75-D76+D77-D78)-56067930</f>
        <v>375028655</v>
      </c>
      <c r="E79" s="79">
        <f>(E74+E75-E76+E77-E78)-23273000</f>
        <v>118566097</v>
      </c>
      <c r="F79" s="79">
        <f>(F74+F75-F76+F77-F78)-53210000</f>
        <v>275236383</v>
      </c>
      <c r="G79" s="79">
        <f t="shared" ref="G79" si="5">(G74+G75-G76+G77-G78)</f>
        <v>717472000</v>
      </c>
      <c r="H79" s="79">
        <f>(H74+H75-H76+H77-H78)-90034000</f>
        <v>470795000</v>
      </c>
      <c r="I79" s="8" t="s">
        <v>157</v>
      </c>
    </row>
    <row r="80" spans="1:9">
      <c r="A80" s="70" t="s">
        <v>34</v>
      </c>
      <c r="B80" s="70" t="s">
        <v>23</v>
      </c>
      <c r="C80" s="70" t="s">
        <v>62</v>
      </c>
      <c r="D80" s="71">
        <v>50409657</v>
      </c>
      <c r="E80" s="71">
        <v>46980283</v>
      </c>
      <c r="F80" s="71">
        <v>53174776</v>
      </c>
      <c r="G80" s="71">
        <v>56493000</v>
      </c>
      <c r="H80" s="71">
        <v>49359000</v>
      </c>
    </row>
    <row r="81" spans="1:19">
      <c r="A81" s="70" t="s">
        <v>34</v>
      </c>
      <c r="B81" s="70" t="s">
        <v>23</v>
      </c>
      <c r="C81" s="70" t="s">
        <v>61</v>
      </c>
      <c r="D81" s="71">
        <v>2233330</v>
      </c>
      <c r="E81" s="71">
        <v>2324121</v>
      </c>
      <c r="F81" s="71">
        <v>4066270</v>
      </c>
      <c r="G81" s="71">
        <v>1404000</v>
      </c>
      <c r="H81" s="71">
        <v>10186000</v>
      </c>
    </row>
    <row r="82" spans="1:19" ht="15.5">
      <c r="A82" s="70" t="s">
        <v>34</v>
      </c>
      <c r="B82" s="70" t="s">
        <v>23</v>
      </c>
      <c r="C82" s="73" t="s">
        <v>82</v>
      </c>
      <c r="D82" s="67">
        <f>SUM(D79:D81)</f>
        <v>427671642</v>
      </c>
      <c r="E82" s="67">
        <f t="shared" ref="E82:H82" si="6">SUM(E79:E81)</f>
        <v>167870501</v>
      </c>
      <c r="F82" s="67">
        <f t="shared" si="6"/>
        <v>332477429</v>
      </c>
      <c r="G82" s="67">
        <f t="shared" si="6"/>
        <v>775369000</v>
      </c>
      <c r="H82" s="67">
        <f t="shared" si="6"/>
        <v>530340000</v>
      </c>
    </row>
    <row r="83" spans="1:19">
      <c r="A83" s="70" t="s">
        <v>34</v>
      </c>
      <c r="B83" s="70" t="s">
        <v>21</v>
      </c>
      <c r="C83" s="70" t="s">
        <v>60</v>
      </c>
      <c r="D83" s="71">
        <v>21649650</v>
      </c>
      <c r="E83" s="71"/>
      <c r="F83" s="71"/>
      <c r="G83" s="71">
        <v>0</v>
      </c>
      <c r="H83" s="71">
        <v>0</v>
      </c>
    </row>
    <row r="84" spans="1:19">
      <c r="A84" s="70" t="s">
        <v>34</v>
      </c>
      <c r="B84" s="70" t="s">
        <v>21</v>
      </c>
      <c r="C84" s="70" t="s">
        <v>83</v>
      </c>
      <c r="D84" s="71"/>
      <c r="E84" s="71"/>
      <c r="F84" s="71"/>
      <c r="G84" s="71">
        <v>0</v>
      </c>
      <c r="H84" s="71">
        <v>0</v>
      </c>
      <c r="K84" s="1"/>
      <c r="L84" s="1"/>
    </row>
    <row r="85" spans="1:19" ht="15.5">
      <c r="A85" s="40"/>
      <c r="B85" s="40"/>
      <c r="C85" s="40"/>
      <c r="D85" s="86">
        <f>D35-D83-D84</f>
        <v>0</v>
      </c>
      <c r="E85" s="86">
        <f t="shared" ref="E85:G85" si="7">E35-E83-E84</f>
        <v>0</v>
      </c>
      <c r="F85" s="86">
        <f t="shared" si="7"/>
        <v>0</v>
      </c>
      <c r="G85" s="86">
        <f t="shared" si="7"/>
        <v>0</v>
      </c>
      <c r="H85" s="86">
        <f>H35-H83-H84</f>
        <v>0</v>
      </c>
      <c r="K85" s="1"/>
      <c r="L85" s="1"/>
    </row>
    <row r="86" spans="1:19" ht="15.5">
      <c r="A86" s="45" t="s">
        <v>38</v>
      </c>
      <c r="B86" s="40"/>
      <c r="C86" s="40"/>
      <c r="D86" s="40"/>
      <c r="E86" s="40"/>
      <c r="F86" s="40"/>
      <c r="G86" s="40"/>
      <c r="H86" s="40"/>
      <c r="I86" s="4"/>
      <c r="K86" s="1"/>
      <c r="L86" s="1"/>
    </row>
    <row r="87" spans="1:19" ht="15.5">
      <c r="A87" s="46" t="s">
        <v>39</v>
      </c>
      <c r="B87" s="40"/>
      <c r="C87" s="40"/>
      <c r="D87" s="44">
        <f>SUM(D17:D30)</f>
        <v>8843440482</v>
      </c>
      <c r="E87" s="44">
        <f t="shared" ref="E87:H87" si="8">SUM(E17:E30)</f>
        <v>8807504519</v>
      </c>
      <c r="F87" s="44">
        <f t="shared" si="8"/>
        <v>8985403298</v>
      </c>
      <c r="G87" s="44">
        <f t="shared" si="8"/>
        <v>9240652000</v>
      </c>
      <c r="H87" s="44">
        <f t="shared" si="8"/>
        <v>9337415000</v>
      </c>
      <c r="I87" s="4"/>
    </row>
    <row r="88" spans="1:19" ht="15.5">
      <c r="A88" s="46" t="s">
        <v>40</v>
      </c>
      <c r="B88" s="40"/>
      <c r="C88" s="40"/>
      <c r="D88" s="44">
        <f>+SUM(D9:D16)</f>
        <v>6779150746</v>
      </c>
      <c r="E88" s="44">
        <f t="shared" ref="E88:H88" si="9">+SUM(E9:E16)</f>
        <v>7178855053</v>
      </c>
      <c r="F88" s="44">
        <f t="shared" si="9"/>
        <v>7611798076</v>
      </c>
      <c r="G88" s="44">
        <f t="shared" si="9"/>
        <v>8158808700</v>
      </c>
      <c r="H88" s="44">
        <f t="shared" si="9"/>
        <v>8958810000</v>
      </c>
      <c r="I88" s="5"/>
      <c r="K88" s="1"/>
      <c r="L88" s="1"/>
    </row>
    <row r="89" spans="1:19" ht="15.5">
      <c r="A89" s="46" t="s">
        <v>41</v>
      </c>
      <c r="B89" s="40"/>
      <c r="C89" s="40"/>
      <c r="D89" s="44">
        <f>SUM(D5:D8)</f>
        <v>2064289736</v>
      </c>
      <c r="E89" s="44">
        <f t="shared" ref="E89:H89" si="10">SUM(E5:E8)</f>
        <v>1628649466</v>
      </c>
      <c r="F89" s="44">
        <f t="shared" si="10"/>
        <v>1373605222</v>
      </c>
      <c r="G89" s="44">
        <f t="shared" si="10"/>
        <v>1081843300</v>
      </c>
      <c r="H89" s="44">
        <f t="shared" si="10"/>
        <v>378605000</v>
      </c>
      <c r="I89" s="4"/>
      <c r="K89" s="1"/>
      <c r="L89" s="1"/>
      <c r="S89" s="1"/>
    </row>
    <row r="90" spans="1:19" ht="15.5">
      <c r="A90" s="45" t="s">
        <v>42</v>
      </c>
      <c r="B90" s="40"/>
      <c r="C90" s="40"/>
      <c r="D90" s="44">
        <f>D87-(D88+D89)</f>
        <v>0</v>
      </c>
      <c r="E90" s="44">
        <f t="shared" ref="E90:H90" si="11">E87-(E88+E89)</f>
        <v>0</v>
      </c>
      <c r="F90" s="44">
        <f t="shared" si="11"/>
        <v>0</v>
      </c>
      <c r="G90" s="44">
        <f t="shared" si="11"/>
        <v>0</v>
      </c>
      <c r="H90" s="44">
        <f t="shared" si="11"/>
        <v>0</v>
      </c>
      <c r="I90" s="4"/>
      <c r="K90" s="1"/>
      <c r="L90" s="1"/>
      <c r="S90" s="1"/>
    </row>
    <row r="91" spans="1:19" ht="15.5">
      <c r="A91" s="46" t="s">
        <v>43</v>
      </c>
      <c r="B91" s="40"/>
      <c r="C91" s="40"/>
      <c r="D91" s="44">
        <f>D31+D35</f>
        <v>459763487</v>
      </c>
      <c r="E91" s="44">
        <f t="shared" ref="E91:H91" si="12">E31+E35</f>
        <v>175563971</v>
      </c>
      <c r="F91" s="44">
        <f t="shared" si="12"/>
        <v>405166580</v>
      </c>
      <c r="G91" s="44">
        <f t="shared" si="12"/>
        <v>967206000</v>
      </c>
      <c r="H91" s="44">
        <f t="shared" si="12"/>
        <v>664347000</v>
      </c>
      <c r="I91" s="6"/>
      <c r="K91" s="1"/>
      <c r="L91" s="1"/>
      <c r="S91" s="1"/>
    </row>
    <row r="92" spans="1:19" ht="15.5">
      <c r="A92" s="46" t="s">
        <v>44</v>
      </c>
      <c r="B92" s="40"/>
      <c r="C92" s="40"/>
      <c r="D92" s="44">
        <f>SUM(D32:D34)+SUM(D36:D39)</f>
        <v>1110876610</v>
      </c>
      <c r="E92" s="44">
        <f t="shared" ref="E92:H92" si="13">SUM(E32:E34)+SUM(E36:E39)</f>
        <v>943636313</v>
      </c>
      <c r="F92" s="44">
        <f t="shared" si="13"/>
        <v>857086226</v>
      </c>
      <c r="G92" s="44">
        <f t="shared" si="13"/>
        <v>1502430000</v>
      </c>
      <c r="H92" s="44">
        <f t="shared" si="13"/>
        <v>1617268000</v>
      </c>
      <c r="I92" s="1"/>
      <c r="K92" s="1"/>
      <c r="L92" s="1"/>
    </row>
    <row r="93" spans="1:19" ht="15.5">
      <c r="A93" s="47" t="s">
        <v>45</v>
      </c>
      <c r="B93" s="40"/>
      <c r="C93" s="40"/>
      <c r="D93" s="48">
        <f>D91-D92</f>
        <v>-651113123</v>
      </c>
      <c r="E93" s="48">
        <f t="shared" ref="E93:H93" si="14">E91-E92</f>
        <v>-768072342</v>
      </c>
      <c r="F93" s="48">
        <f t="shared" si="14"/>
        <v>-451919646</v>
      </c>
      <c r="G93" s="48">
        <f t="shared" si="14"/>
        <v>-535224000</v>
      </c>
      <c r="H93" s="48">
        <f t="shared" si="14"/>
        <v>-952921000</v>
      </c>
      <c r="I93" s="1"/>
      <c r="K93" s="1"/>
      <c r="L93" s="1"/>
      <c r="S93" s="1"/>
    </row>
    <row r="94" spans="1:19" ht="15.5">
      <c r="A94" s="46" t="s">
        <v>46</v>
      </c>
      <c r="B94" s="40"/>
      <c r="C94" s="40"/>
      <c r="D94" s="40">
        <v>0</v>
      </c>
      <c r="E94" s="40">
        <v>0</v>
      </c>
      <c r="F94" s="40">
        <v>0</v>
      </c>
      <c r="G94" s="40">
        <v>0</v>
      </c>
      <c r="H94" s="40">
        <v>0</v>
      </c>
      <c r="I94" s="1"/>
      <c r="K94" s="1"/>
      <c r="L94" s="1"/>
      <c r="S94" s="1"/>
    </row>
    <row r="95" spans="1:19" ht="15.5">
      <c r="A95" s="46"/>
      <c r="B95" s="40"/>
      <c r="C95" s="40"/>
      <c r="D95" s="40"/>
      <c r="E95" s="40"/>
      <c r="F95" s="40"/>
      <c r="G95" s="40"/>
      <c r="H95" s="40"/>
      <c r="I95" s="4"/>
      <c r="K95" s="1"/>
      <c r="L95" s="1"/>
      <c r="S95" s="1"/>
    </row>
    <row r="96" spans="1:19" ht="15.5">
      <c r="A96" s="45" t="s">
        <v>56</v>
      </c>
      <c r="B96" s="40"/>
      <c r="C96" s="40"/>
      <c r="D96" s="40"/>
      <c r="E96" s="40"/>
      <c r="F96" s="40"/>
      <c r="G96" s="40"/>
      <c r="H96" s="40"/>
      <c r="I96" s="4"/>
      <c r="K96" s="1"/>
      <c r="L96" s="1"/>
      <c r="S96" s="1"/>
    </row>
    <row r="97" spans="1:19" ht="15.5">
      <c r="A97" s="46" t="s">
        <v>27</v>
      </c>
      <c r="B97" s="40"/>
      <c r="C97" s="40"/>
      <c r="D97" s="44">
        <f>D44-SUM(D40:D43)</f>
        <v>0</v>
      </c>
      <c r="E97" s="44">
        <f t="shared" ref="E97:H97" si="15">E44-SUM(E40:E43)</f>
        <v>0</v>
      </c>
      <c r="F97" s="44">
        <f t="shared" si="15"/>
        <v>0</v>
      </c>
      <c r="G97" s="44">
        <f t="shared" si="15"/>
        <v>0</v>
      </c>
      <c r="H97" s="44">
        <f t="shared" si="15"/>
        <v>0</v>
      </c>
      <c r="I97" s="4"/>
      <c r="K97" s="1"/>
      <c r="L97" s="1"/>
      <c r="S97" s="1"/>
    </row>
    <row r="98" spans="1:19" ht="15.5">
      <c r="A98" s="46" t="s">
        <v>28</v>
      </c>
      <c r="B98" s="40"/>
      <c r="C98" s="40"/>
      <c r="D98" s="44">
        <f>D51-SUM(D45:D50)</f>
        <v>0</v>
      </c>
      <c r="E98" s="44">
        <f t="shared" ref="E98:H98" si="16">E51-SUM(E45:E50)</f>
        <v>0</v>
      </c>
      <c r="F98" s="44">
        <f t="shared" si="16"/>
        <v>0</v>
      </c>
      <c r="G98" s="44">
        <f t="shared" si="16"/>
        <v>0</v>
      </c>
      <c r="H98" s="44">
        <f t="shared" si="16"/>
        <v>0</v>
      </c>
      <c r="I98" s="4"/>
      <c r="K98" s="1"/>
      <c r="L98" s="1"/>
      <c r="S98" s="1"/>
    </row>
    <row r="99" spans="1:19" ht="15.5">
      <c r="A99" s="46" t="s">
        <v>29</v>
      </c>
      <c r="B99" s="40"/>
      <c r="C99" s="40"/>
      <c r="D99" s="44">
        <f>D57-SUM(D52:D56)</f>
        <v>0</v>
      </c>
      <c r="E99" s="44">
        <f t="shared" ref="E99:H99" si="17">E57-SUM(E52:E56)</f>
        <v>0</v>
      </c>
      <c r="F99" s="44">
        <f t="shared" si="17"/>
        <v>0</v>
      </c>
      <c r="G99" s="44">
        <f t="shared" si="17"/>
        <v>0</v>
      </c>
      <c r="H99" s="44">
        <f t="shared" si="17"/>
        <v>0</v>
      </c>
      <c r="S99" s="1"/>
    </row>
    <row r="100" spans="1:19" ht="15.5">
      <c r="A100" s="46"/>
      <c r="B100" s="40"/>
      <c r="C100" s="40"/>
      <c r="D100" s="49"/>
      <c r="E100" s="49"/>
      <c r="F100" s="49"/>
      <c r="G100" s="49"/>
      <c r="H100" s="49"/>
      <c r="I100" s="4"/>
      <c r="J100" s="1"/>
      <c r="S100" s="1"/>
    </row>
    <row r="101" spans="1:19" ht="15.5">
      <c r="A101" s="45" t="s">
        <v>55</v>
      </c>
      <c r="B101" s="40"/>
      <c r="C101" s="40"/>
      <c r="D101" s="40"/>
      <c r="E101" s="40"/>
      <c r="F101" s="40"/>
      <c r="G101" s="40"/>
      <c r="H101" s="40"/>
      <c r="I101" s="4"/>
      <c r="J101" s="1"/>
      <c r="M101" s="1"/>
      <c r="N101" s="1"/>
      <c r="S101" s="1"/>
    </row>
    <row r="102" spans="1:19" s="1" customFormat="1" ht="15.5">
      <c r="A102" s="50" t="s">
        <v>57</v>
      </c>
      <c r="B102" s="40"/>
      <c r="C102" s="40"/>
      <c r="D102" s="44">
        <f>D31-D66</f>
        <v>0</v>
      </c>
      <c r="E102" s="44">
        <f t="shared" ref="E102:G102" si="18">E31-E66</f>
        <v>0</v>
      </c>
      <c r="F102" s="44">
        <f t="shared" si="18"/>
        <v>0</v>
      </c>
      <c r="G102" s="44">
        <f t="shared" si="18"/>
        <v>0</v>
      </c>
      <c r="H102" s="44">
        <f>H31-H66</f>
        <v>0</v>
      </c>
      <c r="I102" s="4"/>
      <c r="K102" s="8"/>
      <c r="L102" s="8"/>
      <c r="O102" s="8"/>
      <c r="P102" s="8"/>
      <c r="Q102" s="8"/>
      <c r="R102" s="8"/>
    </row>
    <row r="103" spans="1:19" s="1" customFormat="1" ht="15.5">
      <c r="A103" s="50" t="s">
        <v>58</v>
      </c>
      <c r="B103" s="40"/>
      <c r="C103" s="40"/>
      <c r="D103" s="44">
        <f>D32-D79</f>
        <v>0</v>
      </c>
      <c r="E103" s="44">
        <f t="shared" ref="E103:H103" si="19">E32-E79</f>
        <v>0</v>
      </c>
      <c r="F103" s="44">
        <f t="shared" si="19"/>
        <v>0</v>
      </c>
      <c r="G103" s="44">
        <f t="shared" si="19"/>
        <v>0</v>
      </c>
      <c r="H103" s="44">
        <f t="shared" si="19"/>
        <v>0</v>
      </c>
      <c r="I103" s="2"/>
      <c r="J103" s="8"/>
      <c r="K103" s="8"/>
      <c r="L103" s="8"/>
      <c r="Q103" s="8"/>
      <c r="R103" s="8"/>
    </row>
    <row r="104" spans="1:19" s="1" customFormat="1" ht="15.5">
      <c r="A104" s="40" t="s">
        <v>59</v>
      </c>
      <c r="B104" s="40"/>
      <c r="C104" s="40"/>
      <c r="D104" s="44">
        <f>SUM(D33:D34)-SUM(D80:D81)</f>
        <v>0</v>
      </c>
      <c r="E104" s="44">
        <f t="shared" ref="E104:H104" si="20">SUM(E33:E34)-SUM(E80:E81)</f>
        <v>0</v>
      </c>
      <c r="F104" s="44">
        <f t="shared" si="20"/>
        <v>0</v>
      </c>
      <c r="G104" s="44">
        <f t="shared" si="20"/>
        <v>0</v>
      </c>
      <c r="H104" s="44">
        <f t="shared" si="20"/>
        <v>0</v>
      </c>
      <c r="K104" s="8"/>
      <c r="L104" s="8"/>
      <c r="M104" s="8"/>
      <c r="N104" s="8"/>
      <c r="Q104" s="8"/>
      <c r="R104" s="8"/>
      <c r="S104" s="8"/>
    </row>
    <row r="105" spans="1:19" ht="15.5">
      <c r="A105" s="40"/>
      <c r="B105" s="40"/>
      <c r="C105" s="40"/>
      <c r="D105" s="43"/>
      <c r="E105" s="43"/>
      <c r="F105" s="43"/>
      <c r="G105" s="43"/>
      <c r="H105" s="43"/>
      <c r="I105" s="1"/>
      <c r="J105" s="1"/>
      <c r="M105" s="1"/>
      <c r="N105" s="1"/>
      <c r="O105" s="1"/>
      <c r="P105" s="1"/>
    </row>
    <row r="106" spans="1:19" s="1" customFormat="1" ht="15.5">
      <c r="A106" s="51" t="s">
        <v>105</v>
      </c>
      <c r="B106" s="51" t="s">
        <v>34</v>
      </c>
      <c r="C106" s="51" t="s">
        <v>113</v>
      </c>
      <c r="D106" s="51">
        <f>D5</f>
        <v>561365550</v>
      </c>
      <c r="E106" s="51">
        <f t="shared" ref="E106:H106" si="21">E5</f>
        <v>561365550</v>
      </c>
      <c r="F106" s="51">
        <f t="shared" si="21"/>
        <v>561365550</v>
      </c>
      <c r="G106" s="51">
        <f t="shared" si="21"/>
        <v>561366000</v>
      </c>
      <c r="H106" s="51">
        <f t="shared" si="21"/>
        <v>561366000</v>
      </c>
      <c r="K106" s="8"/>
      <c r="L106" s="8"/>
      <c r="O106" s="8"/>
      <c r="P106" s="8"/>
      <c r="S106" s="8"/>
    </row>
    <row r="107" spans="1:19" s="1" customFormat="1" ht="15.5">
      <c r="A107" s="51" t="s">
        <v>105</v>
      </c>
      <c r="B107" s="51" t="s">
        <v>34</v>
      </c>
      <c r="C107" s="51" t="s">
        <v>103</v>
      </c>
      <c r="D107" s="51">
        <v>56136555</v>
      </c>
      <c r="E107" s="51">
        <v>56136555</v>
      </c>
      <c r="F107" s="51">
        <v>56136555</v>
      </c>
      <c r="G107" s="51">
        <v>56136555</v>
      </c>
      <c r="H107" s="51">
        <v>56136555</v>
      </c>
      <c r="K107" s="8"/>
      <c r="L107" s="8"/>
      <c r="S107" s="8"/>
    </row>
    <row r="108" spans="1:19" s="1" customFormat="1" ht="15.5">
      <c r="A108" s="51" t="s">
        <v>105</v>
      </c>
      <c r="B108" s="51" t="s">
        <v>34</v>
      </c>
      <c r="C108" s="51" t="s">
        <v>104</v>
      </c>
      <c r="D108" s="51">
        <v>56136555</v>
      </c>
      <c r="E108" s="51">
        <v>56136555</v>
      </c>
      <c r="F108" s="51">
        <v>56136555</v>
      </c>
      <c r="G108" s="51">
        <v>56136555</v>
      </c>
      <c r="H108" s="51">
        <v>56136555</v>
      </c>
      <c r="K108" s="8"/>
      <c r="L108" s="8"/>
      <c r="S108" s="8"/>
    </row>
    <row r="109" spans="1:19" s="1" customFormat="1" ht="15.5">
      <c r="A109" s="51" t="s">
        <v>105</v>
      </c>
      <c r="B109" s="51" t="s">
        <v>34</v>
      </c>
      <c r="C109" s="51" t="s">
        <v>111</v>
      </c>
      <c r="D109" s="51">
        <v>0</v>
      </c>
      <c r="E109" s="51">
        <v>0</v>
      </c>
      <c r="F109" s="51">
        <v>0</v>
      </c>
      <c r="G109" s="51">
        <v>0</v>
      </c>
      <c r="H109" s="51">
        <v>0</v>
      </c>
      <c r="K109" s="8"/>
      <c r="L109" s="8"/>
      <c r="Q109" s="8"/>
      <c r="R109" s="8"/>
      <c r="S109" s="8"/>
    </row>
    <row r="110" spans="1:19" s="1" customFormat="1" ht="15.5">
      <c r="A110" s="51" t="s">
        <v>105</v>
      </c>
      <c r="B110" s="51" t="s">
        <v>34</v>
      </c>
      <c r="C110" s="51" t="s">
        <v>112</v>
      </c>
      <c r="D110" s="51">
        <v>0</v>
      </c>
      <c r="E110" s="51">
        <v>0</v>
      </c>
      <c r="F110" s="51">
        <v>0</v>
      </c>
      <c r="G110" s="51">
        <v>0</v>
      </c>
      <c r="H110" s="51">
        <v>0</v>
      </c>
      <c r="I110" s="10"/>
      <c r="K110" s="8"/>
      <c r="L110" s="8"/>
      <c r="S110" s="8"/>
    </row>
    <row r="111" spans="1:19" s="1" customFormat="1" ht="15.5">
      <c r="A111" s="40"/>
      <c r="B111" s="40"/>
      <c r="C111" s="40"/>
      <c r="D111" s="40"/>
      <c r="E111" s="40"/>
      <c r="F111" s="40"/>
      <c r="G111" s="40"/>
      <c r="H111" s="40"/>
      <c r="I111" s="10"/>
      <c r="K111" s="8"/>
      <c r="L111" s="8"/>
      <c r="S111" s="8"/>
    </row>
    <row r="112" spans="1:19" s="1" customFormat="1" ht="15.5">
      <c r="A112" s="40"/>
      <c r="B112" s="40"/>
      <c r="C112" s="51" t="s">
        <v>47</v>
      </c>
      <c r="D112" s="52">
        <f>+D93/D107</f>
        <v>-11.598736741148437</v>
      </c>
      <c r="E112" s="52">
        <f t="shared" ref="E112:H112" si="22">+E93/E107</f>
        <v>-13.682213701927381</v>
      </c>
      <c r="F112" s="52">
        <f t="shared" si="22"/>
        <v>-8.0503630121228493</v>
      </c>
      <c r="G112" s="52">
        <f t="shared" si="22"/>
        <v>-9.5343221542540331</v>
      </c>
      <c r="H112" s="52">
        <f t="shared" si="22"/>
        <v>-16.975053064798864</v>
      </c>
      <c r="I112" s="8"/>
      <c r="J112" s="8"/>
      <c r="K112" s="8"/>
      <c r="L112" s="8"/>
      <c r="S112" s="8"/>
    </row>
    <row r="113" spans="1:19" s="1" customFormat="1" ht="15.5">
      <c r="A113" s="40"/>
      <c r="B113" s="40"/>
      <c r="C113" s="51" t="s">
        <v>48</v>
      </c>
      <c r="D113" s="54">
        <f>(D93+D94)/D108</f>
        <v>-11.598736741148437</v>
      </c>
      <c r="E113" s="53">
        <f t="shared" ref="E113:H113" si="23">(E93+E94)/E108</f>
        <v>-13.682213701927381</v>
      </c>
      <c r="F113" s="53">
        <f t="shared" si="23"/>
        <v>-8.0503630121228493</v>
      </c>
      <c r="G113" s="53">
        <f t="shared" si="23"/>
        <v>-9.5343221542540331</v>
      </c>
      <c r="H113" s="53">
        <f t="shared" si="23"/>
        <v>-16.975053064798864</v>
      </c>
      <c r="I113" s="8"/>
      <c r="J113" s="8"/>
      <c r="K113" s="8"/>
      <c r="L113" s="8"/>
      <c r="M113" s="8"/>
      <c r="S113" s="8"/>
    </row>
    <row r="114" spans="1:19">
      <c r="N114" s="1"/>
      <c r="O114" s="1"/>
      <c r="P114" s="1"/>
      <c r="Q114" s="1"/>
      <c r="R114" s="1"/>
    </row>
    <row r="115" spans="1:19" ht="15.5">
      <c r="B115" s="11"/>
      <c r="C115" s="13"/>
      <c r="D115" s="14"/>
      <c r="E115" s="14"/>
      <c r="F115" s="14"/>
      <c r="G115" s="14"/>
      <c r="H115" s="14"/>
      <c r="N115" s="1"/>
      <c r="O115" s="1"/>
    </row>
    <row r="116" spans="1:19">
      <c r="B116" s="12"/>
      <c r="C116" s="11"/>
      <c r="D116" s="15"/>
      <c r="E116" s="15"/>
      <c r="F116" s="15"/>
      <c r="G116" s="15"/>
      <c r="H116" s="15"/>
      <c r="O116" s="1"/>
    </row>
    <row r="117" spans="1:19">
      <c r="B117" s="12"/>
      <c r="C117" s="11"/>
      <c r="D117" s="15"/>
      <c r="E117" s="15"/>
      <c r="F117" s="15"/>
      <c r="G117" s="15"/>
      <c r="H117" s="15"/>
      <c r="O117" s="1"/>
    </row>
    <row r="118" spans="1:19">
      <c r="B118" s="12"/>
      <c r="C118" s="11"/>
      <c r="D118" s="15"/>
      <c r="E118" s="15"/>
      <c r="F118" s="15"/>
      <c r="G118" s="15"/>
      <c r="H118" s="15"/>
    </row>
    <row r="119" spans="1:19">
      <c r="B119" s="12"/>
      <c r="C119" s="11"/>
      <c r="D119" s="15"/>
      <c r="E119" s="15"/>
      <c r="F119" s="15"/>
      <c r="G119" s="15"/>
      <c r="H119" s="15"/>
    </row>
    <row r="120" spans="1:19">
      <c r="B120" s="12"/>
      <c r="C120" s="11"/>
      <c r="D120" s="15"/>
      <c r="E120" s="15"/>
      <c r="F120" s="15"/>
      <c r="G120" s="15"/>
      <c r="H120" s="15"/>
    </row>
    <row r="121" spans="1:19">
      <c r="B121" s="12"/>
      <c r="C121" s="11"/>
      <c r="D121" s="15"/>
      <c r="E121" s="15"/>
      <c r="F121" s="15"/>
      <c r="G121" s="15"/>
      <c r="H121" s="15"/>
    </row>
    <row r="122" spans="1:19">
      <c r="B122" s="12"/>
      <c r="C122" s="11"/>
      <c r="D122" s="15"/>
      <c r="E122" s="15"/>
      <c r="F122" s="15"/>
      <c r="G122" s="15"/>
      <c r="H122" s="15"/>
    </row>
    <row r="123" spans="1:19">
      <c r="B123" s="11"/>
      <c r="C123" s="11"/>
      <c r="D123" s="16"/>
      <c r="E123" s="16"/>
      <c r="F123" s="16"/>
      <c r="G123" s="16"/>
      <c r="H123" s="16"/>
    </row>
    <row r="124" spans="1:19" ht="15.5">
      <c r="B124" s="11"/>
      <c r="C124" s="13"/>
      <c r="D124" s="14"/>
      <c r="E124" s="14"/>
      <c r="F124" s="14"/>
      <c r="G124" s="14"/>
      <c r="H124" s="14"/>
    </row>
    <row r="125" spans="1:19">
      <c r="B125" s="12"/>
      <c r="C125" s="11"/>
      <c r="D125" s="16"/>
      <c r="E125" s="16"/>
      <c r="F125" s="16"/>
      <c r="G125" s="16"/>
      <c r="H125" s="16"/>
    </row>
    <row r="126" spans="1:19">
      <c r="B126" s="12"/>
      <c r="C126" s="11"/>
      <c r="D126" s="16"/>
      <c r="E126" s="16"/>
      <c r="F126" s="16"/>
      <c r="G126" s="16"/>
      <c r="H126" s="16"/>
    </row>
    <row r="127" spans="1:19">
      <c r="B127" s="12"/>
      <c r="C127" s="11"/>
      <c r="D127" s="16"/>
      <c r="E127" s="16"/>
      <c r="F127" s="16"/>
      <c r="G127" s="16"/>
      <c r="H127" s="16"/>
    </row>
    <row r="128" spans="1:19">
      <c r="B128" s="12"/>
      <c r="C128" s="11"/>
      <c r="D128" s="16"/>
      <c r="E128" s="16"/>
      <c r="F128" s="16"/>
      <c r="G128" s="16"/>
      <c r="H128" s="16"/>
    </row>
    <row r="129" spans="2:14" ht="15.5">
      <c r="B129" s="12"/>
      <c r="C129" s="13"/>
      <c r="D129" s="14"/>
      <c r="E129" s="14"/>
      <c r="F129" s="14"/>
      <c r="G129" s="14"/>
      <c r="H129" s="14"/>
    </row>
    <row r="130" spans="2:14">
      <c r="B130" s="12"/>
      <c r="C130" s="11"/>
      <c r="D130" s="15"/>
      <c r="E130" s="15"/>
      <c r="F130" s="15"/>
      <c r="G130" s="15"/>
      <c r="H130" s="15"/>
    </row>
    <row r="131" spans="2:14">
      <c r="B131" s="12"/>
      <c r="C131" s="11"/>
      <c r="D131" s="15"/>
      <c r="E131" s="15"/>
      <c r="F131" s="15"/>
      <c r="G131" s="15"/>
      <c r="H131" s="15"/>
    </row>
    <row r="132" spans="2:14">
      <c r="B132" s="12"/>
      <c r="C132" s="11"/>
      <c r="D132" s="15"/>
      <c r="E132" s="15"/>
      <c r="F132" s="15"/>
      <c r="G132" s="15"/>
      <c r="H132" s="15"/>
    </row>
    <row r="133" spans="2:14">
      <c r="B133" s="11"/>
      <c r="C133" s="11"/>
      <c r="D133" s="15"/>
      <c r="E133" s="15"/>
      <c r="F133" s="15"/>
      <c r="G133" s="15"/>
      <c r="H133" s="15"/>
    </row>
    <row r="134" spans="2:14" ht="15.5">
      <c r="B134" s="11"/>
      <c r="C134" s="13"/>
      <c r="D134" s="14"/>
      <c r="E134" s="14"/>
      <c r="F134" s="14"/>
      <c r="G134" s="14"/>
      <c r="H134" s="14"/>
    </row>
    <row r="135" spans="2:14">
      <c r="B135" s="12"/>
      <c r="C135" s="11"/>
      <c r="D135" s="16"/>
      <c r="E135" s="16"/>
      <c r="F135" s="16"/>
      <c r="G135" s="16"/>
      <c r="H135" s="16"/>
    </row>
    <row r="136" spans="2:14">
      <c r="B136" s="12"/>
      <c r="C136" s="11"/>
      <c r="D136" s="16"/>
      <c r="E136" s="16"/>
      <c r="F136" s="16"/>
      <c r="G136" s="16"/>
      <c r="H136" s="16"/>
    </row>
    <row r="137" spans="2:14">
      <c r="B137" s="12"/>
      <c r="C137" s="11"/>
      <c r="D137" s="16"/>
      <c r="E137" s="16"/>
      <c r="F137" s="16"/>
      <c r="G137" s="16"/>
      <c r="H137" s="16"/>
    </row>
    <row r="138" spans="2:14">
      <c r="B138" s="12"/>
      <c r="C138" s="11"/>
      <c r="D138" s="16"/>
      <c r="E138" s="16"/>
      <c r="F138" s="16"/>
      <c r="G138" s="16"/>
      <c r="H138" s="16"/>
    </row>
    <row r="139" spans="2:14">
      <c r="B139" s="12"/>
      <c r="C139" s="11"/>
      <c r="D139" s="16"/>
      <c r="E139" s="16"/>
      <c r="F139" s="16"/>
      <c r="G139" s="16"/>
      <c r="H139" s="16"/>
    </row>
    <row r="140" spans="2:14">
      <c r="B140" s="12"/>
      <c r="C140" s="11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</row>
    <row r="141" spans="2:14">
      <c r="B141" s="12"/>
      <c r="C141" s="11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</row>
    <row r="142" spans="2:14">
      <c r="B142" s="12"/>
      <c r="C142" s="11"/>
      <c r="D142" s="16"/>
      <c r="E142" s="16"/>
      <c r="F142" s="16"/>
      <c r="G142" s="16"/>
      <c r="H142" s="16"/>
      <c r="I142" s="17"/>
      <c r="J142" s="17"/>
      <c r="K142" s="17"/>
      <c r="L142" s="16"/>
      <c r="M142" s="17"/>
      <c r="N142" s="17"/>
    </row>
    <row r="143" spans="2:14">
      <c r="B143" s="12"/>
      <c r="C143" s="11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</row>
    <row r="144" spans="2:14">
      <c r="B144" s="12"/>
      <c r="C144" s="11"/>
      <c r="D144" s="17"/>
      <c r="E144" s="17"/>
      <c r="F144" s="17"/>
      <c r="G144" s="17"/>
      <c r="H144" s="17"/>
      <c r="I144" s="16"/>
      <c r="J144" s="16"/>
      <c r="K144" s="17"/>
      <c r="L144" s="16"/>
      <c r="M144" s="16"/>
      <c r="N144" s="16"/>
    </row>
    <row r="145" spans="2:14">
      <c r="B145" s="12"/>
      <c r="C145" s="11"/>
      <c r="D145" s="16"/>
      <c r="E145" s="16"/>
      <c r="F145" s="16"/>
      <c r="G145" s="16"/>
      <c r="H145" s="16"/>
      <c r="I145" s="14"/>
      <c r="J145" s="14"/>
      <c r="K145" s="14"/>
      <c r="L145" s="14"/>
      <c r="M145" s="14"/>
      <c r="N145" s="14"/>
    </row>
    <row r="146" spans="2:14">
      <c r="B146" s="12"/>
      <c r="C146" s="11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</row>
    <row r="147" spans="2:14" ht="15.5">
      <c r="B147" s="11"/>
      <c r="C147" s="13"/>
      <c r="D147" s="14"/>
      <c r="E147" s="14"/>
      <c r="F147" s="14"/>
      <c r="G147" s="14"/>
      <c r="H147" s="14"/>
      <c r="I147" s="16"/>
      <c r="J147" s="16"/>
      <c r="K147" s="16"/>
      <c r="L147" s="16"/>
      <c r="M147" s="16"/>
      <c r="N147" s="16"/>
    </row>
    <row r="148" spans="2:14">
      <c r="B148" s="12"/>
      <c r="C148" s="11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</row>
    <row r="149" spans="2:14">
      <c r="B149" s="12"/>
      <c r="C149" s="11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</row>
    <row r="150" spans="2:14">
      <c r="B150" s="12"/>
      <c r="C150" s="11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</row>
    <row r="151" spans="2:14">
      <c r="B151" s="12"/>
      <c r="C151" s="11"/>
      <c r="D151" s="16"/>
      <c r="E151" s="16"/>
      <c r="F151" s="16"/>
      <c r="G151" s="16"/>
      <c r="H151" s="16"/>
    </row>
    <row r="152" spans="2:14">
      <c r="B152" s="12"/>
      <c r="C152" s="11"/>
      <c r="D152" s="16"/>
      <c r="E152" s="16"/>
      <c r="F152" s="16"/>
      <c r="G152" s="16"/>
      <c r="H152" s="16"/>
    </row>
  </sheetData>
  <mergeCells count="2">
    <mergeCell ref="A1:B1"/>
    <mergeCell ref="H44:I44"/>
  </mergeCells>
  <conditionalFormatting sqref="D90:H90 D97:H99 D102:H104">
    <cfRule type="cellIs" dxfId="5" priority="12" operator="notEqual">
      <formula>0</formula>
    </cfRule>
    <cfRule type="cellIs" dxfId="4" priority="13" operator="equal">
      <formula>0</formula>
    </cfRule>
  </conditionalFormatting>
  <conditionalFormatting sqref="D100:H100">
    <cfRule type="cellIs" dxfId="3" priority="51" operator="equal">
      <formula>0</formula>
    </cfRule>
    <cfRule type="cellIs" dxfId="2" priority="52" operator="notEqual">
      <formula>"&lt;&gt;0"</formula>
    </cfRule>
    <cfRule type="iconSet" priority="53">
      <iconSet iconSet="3Symbols2">
        <cfvo type="percent" val="0"/>
        <cfvo type="percent" val="33"/>
        <cfvo type="percent" val="67"/>
      </iconSet>
    </cfRule>
  </conditionalFormatting>
  <conditionalFormatting sqref="D85:H85">
    <cfRule type="cellIs" dxfId="1" priority="1" operator="notEqual">
      <formula>0</formula>
    </cfRule>
    <cfRule type="cellIs" dxfId="0" priority="2" operator="equal">
      <formula>0</formula>
    </cfRule>
  </conditionalFormatting>
  <printOptions horizontalCentered="1" verticalCentered="1"/>
  <pageMargins left="0.25" right="0.25" top="0.47" bottom="0.28999999999999998" header="0.3" footer="0.3"/>
  <pageSetup scale="42" orientation="portrait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3"/>
  <sheetViews>
    <sheetView showGridLines="0" tabSelected="1" topLeftCell="A52" zoomScale="81" zoomScaleNormal="85" workbookViewId="0">
      <selection activeCell="A46" sqref="A46:H72"/>
    </sheetView>
  </sheetViews>
  <sheetFormatPr defaultRowHeight="14.5"/>
  <cols>
    <col min="1" max="1" width="23" bestFit="1" customWidth="1"/>
    <col min="2" max="2" width="22.453125" bestFit="1" customWidth="1"/>
    <col min="3" max="3" width="42.08984375" bestFit="1" customWidth="1"/>
    <col min="4" max="4" width="17.6328125" customWidth="1"/>
    <col min="5" max="5" width="12.453125" customWidth="1"/>
    <col min="6" max="6" width="11.08984375" customWidth="1"/>
    <col min="7" max="7" width="12.54296875" customWidth="1"/>
    <col min="8" max="8" width="14.54296875" customWidth="1"/>
  </cols>
  <sheetData>
    <row r="1" spans="1:26" ht="16" thickBot="1">
      <c r="A1" s="23"/>
      <c r="B1" s="23"/>
      <c r="C1" s="21" t="s">
        <v>114</v>
      </c>
      <c r="D1" s="21">
        <v>2019</v>
      </c>
      <c r="E1" s="21">
        <v>2020</v>
      </c>
      <c r="F1" s="21">
        <v>2021</v>
      </c>
      <c r="G1" s="21">
        <v>2022</v>
      </c>
      <c r="H1" s="21">
        <v>2023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6" thickBot="1">
      <c r="A2" s="22" t="s">
        <v>115</v>
      </c>
      <c r="B2" s="24" t="s">
        <v>116</v>
      </c>
      <c r="C2" s="23" t="s">
        <v>117</v>
      </c>
      <c r="D2" s="25">
        <f>SUM(ANSARI!D24:D30)/SUM(ANSARI!D12:D15)</f>
        <v>1.2729188896570578</v>
      </c>
      <c r="E2" s="25">
        <f>SUM(ANSARI!E24:E30)/SUM(ANSARI!E12:E15)</f>
        <v>0.97077139079099861</v>
      </c>
      <c r="F2" s="25">
        <f>SUM(ANSARI!F24:F30)/SUM(ANSARI!F12:F15)</f>
        <v>0.81879818839975727</v>
      </c>
      <c r="G2" s="25">
        <f>SUM(ANSARI!G24:G30)/SUM(ANSARI!G12:G15)</f>
        <v>0.72191710859326408</v>
      </c>
      <c r="H2" s="25">
        <f>SUM(ANSARI!H24:H30)/SUM(ANSARI!H12:H15)</f>
        <v>0.62993174367736426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1.5" thickBot="1">
      <c r="A3" s="23"/>
      <c r="B3" s="24" t="s">
        <v>118</v>
      </c>
      <c r="C3" s="23" t="s">
        <v>119</v>
      </c>
      <c r="D3" s="25">
        <f>SUM(ANSARI!D26:D30)/SUM(ANSARI!D12:D15)</f>
        <v>0.52562913153405122</v>
      </c>
      <c r="E3" s="25">
        <f>SUM(ANSARI!E26:E30)/SUM(ANSARI!E12:E15)</f>
        <v>0.38571296571345848</v>
      </c>
      <c r="F3" s="25">
        <f>SUM(ANSARI!F26:F30)/SUM(ANSARI!F12:F15)</f>
        <v>0.33412282675040944</v>
      </c>
      <c r="G3" s="25">
        <f>SUM(ANSARI!G26:G30)/SUM(ANSARI!G12:G15)</f>
        <v>0.27493811562424164</v>
      </c>
      <c r="H3" s="25">
        <f>SUM(ANSARI!H26:H30)/SUM(ANSARI!H12:H15)</f>
        <v>0.23529799098922893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31.5" thickBot="1">
      <c r="A4" s="23"/>
      <c r="B4" s="26" t="s">
        <v>120</v>
      </c>
      <c r="C4" s="27" t="s">
        <v>121</v>
      </c>
      <c r="D4" s="28">
        <f>ANSARI!D30/SUM(ANSARI!D12:D16)</f>
        <v>9.2892236711619031E-2</v>
      </c>
      <c r="E4" s="28">
        <f>ANSARI!E30/SUM(ANSARI!E12:E16)</f>
        <v>7.0631205885294882E-2</v>
      </c>
      <c r="F4" s="28">
        <f>ANSARI!F30/SUM(ANSARI!F12:F16)</f>
        <v>6.2290309291710658E-2</v>
      </c>
      <c r="G4" s="28">
        <f>ANSARI!G30/SUM(ANSARI!G12:G16)</f>
        <v>5.548717618654956E-2</v>
      </c>
      <c r="H4" s="28">
        <f>ANSARI!H30/SUM(ANSARI!H12:H16)</f>
        <v>2.4516747451306074E-3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6" thickBot="1">
      <c r="A5" s="22" t="s">
        <v>122</v>
      </c>
      <c r="B5" s="29" t="s">
        <v>123</v>
      </c>
      <c r="C5" s="30" t="s">
        <v>124</v>
      </c>
      <c r="D5" s="31">
        <f>(ANSARI!D31-ANSARI!D32)/ANSARI!D31</f>
        <v>0.14399267193197551</v>
      </c>
      <c r="E5" s="31">
        <f>(ANSARI!E31-ANSARI!E32)/ANSARI!E31</f>
        <v>0.324655871448704</v>
      </c>
      <c r="F5" s="31">
        <f>(ANSARI!F31-ANSARI!F32)/ANSARI!F31</f>
        <v>0.32068340138024215</v>
      </c>
      <c r="G5" s="31">
        <f>(ANSARI!G31-ANSARI!G32)/ANSARI!G31</f>
        <v>0.25820145863445843</v>
      </c>
      <c r="H5" s="31">
        <f>(ANSARI!H31-ANSARI!H32)/ANSARI!H31</f>
        <v>0.29134172352701226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1.5" thickBot="1">
      <c r="A6" s="23"/>
      <c r="B6" s="24" t="s">
        <v>125</v>
      </c>
      <c r="C6" s="23" t="s">
        <v>126</v>
      </c>
      <c r="D6" s="32">
        <f>((ANSARI!D31+ANSARI!D35)-(SUM(ANSARI!D32:D34)+ANSARI!D36))/ANSARI!D31</f>
        <v>7.3250014698805321E-2</v>
      </c>
      <c r="E6" s="32">
        <f>((ANSARI!E31+ANSARI!E35)-(SUM(ANSARI!E32:E34)+ANSARI!E36))/ANSARI!E31</f>
        <v>4.3821462662176854E-2</v>
      </c>
      <c r="F6" s="32">
        <f>((ANSARI!F31+ANSARI!F35)-(SUM(ANSARI!F32:F34)+ANSARI!F36))/ANSARI!F31</f>
        <v>0.17940559411390741</v>
      </c>
      <c r="G6" s="32">
        <f>((ANSARI!G31+ANSARI!G35)-(SUM(ANSARI!G32:G34)+ANSARI!G36))/ANSARI!G31</f>
        <v>0.19834140813849377</v>
      </c>
      <c r="H6" s="32">
        <f>((ANSARI!H31+ANSARI!H35)-(SUM(ANSARI!H32:H34)+ANSARI!H36))/ANSARI!H31</f>
        <v>0.20171235815018357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6" thickBot="1">
      <c r="A7" s="23"/>
      <c r="B7" s="24" t="s">
        <v>127</v>
      </c>
      <c r="C7" s="23" t="s">
        <v>128</v>
      </c>
      <c r="D7" s="33">
        <f>ANSARI!D93/ANSARI!D91</f>
        <v>-1.4161914580224158</v>
      </c>
      <c r="E7" s="33">
        <f>ANSARI!E93/ANSARI!E91</f>
        <v>-4.3748859041243717</v>
      </c>
      <c r="F7" s="33">
        <f>ANSARI!F93/ANSARI!F91</f>
        <v>-1.1153922073237137</v>
      </c>
      <c r="G7" s="33">
        <f>ANSARI!G93/ANSARI!G91</f>
        <v>-0.55337125700212775</v>
      </c>
      <c r="H7" s="33">
        <f>ANSARI!H93/ANSARI!H91</f>
        <v>-1.4343723987614907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6" thickBot="1">
      <c r="A8" s="23"/>
      <c r="B8" s="24" t="s">
        <v>129</v>
      </c>
      <c r="C8" s="23" t="s">
        <v>130</v>
      </c>
      <c r="D8" s="32">
        <f>ANSARI!D93/ANSARI!D87</f>
        <v>-7.3626675537114786E-2</v>
      </c>
      <c r="E8" s="32">
        <f>ANSARI!E93/ANSARI!E87</f>
        <v>-8.720657938273832E-2</v>
      </c>
      <c r="F8" s="32">
        <f>ANSARI!F93/ANSARI!F87</f>
        <v>-5.0294865017421059E-2</v>
      </c>
      <c r="G8" s="32">
        <f>ANSARI!G93/ANSARI!G87</f>
        <v>-5.7920588287493135E-2</v>
      </c>
      <c r="H8" s="32">
        <f>ANSARI!H93/ANSARI!H87</f>
        <v>-0.10205404814930043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6" thickBot="1">
      <c r="A9" s="23"/>
      <c r="B9" s="24" t="s">
        <v>146</v>
      </c>
      <c r="C9" s="23" t="s">
        <v>143</v>
      </c>
      <c r="D9" s="82">
        <f>ANSARI!D91/ANSARI!D87</f>
        <v>5.198921030065231E-2</v>
      </c>
      <c r="E9" s="82">
        <f>ANSARI!E91/ANSARI!E87</f>
        <v>1.9933452275984011E-2</v>
      </c>
      <c r="F9" s="82">
        <f>ANSARI!F91/ANSARI!F87</f>
        <v>4.5091641027418687E-2</v>
      </c>
      <c r="G9" s="82">
        <f>ANSARI!G91/ANSARI!G87</f>
        <v>0.10466858832039125</v>
      </c>
      <c r="H9" s="82">
        <f>ANSARI!H91/ANSARI!H87</f>
        <v>7.1148920766614748E-2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31.5" thickBot="1">
      <c r="A10" s="23"/>
      <c r="B10" s="24" t="s">
        <v>147</v>
      </c>
      <c r="C10" s="23" t="s">
        <v>148</v>
      </c>
      <c r="D10" s="82">
        <f>ANSARI!D87/ANSARI!D89</f>
        <v>4.2840112643954935</v>
      </c>
      <c r="E10" s="82">
        <f>ANSARI!E87/ANSARI!E89</f>
        <v>5.4078576777060752</v>
      </c>
      <c r="F10" s="82">
        <f>ANSARI!F87/ANSARI!F89</f>
        <v>6.5414743290776451</v>
      </c>
      <c r="G10" s="82">
        <f>ANSARI!G87/ANSARI!G89</f>
        <v>8.5415808370768662</v>
      </c>
      <c r="H10" s="82">
        <f>ANSARI!H87/ANSARI!H89</f>
        <v>24.66268274322843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1.5" thickBot="1">
      <c r="A11" s="23"/>
      <c r="B11" s="80" t="s">
        <v>149</v>
      </c>
      <c r="C11" s="81" t="s">
        <v>150</v>
      </c>
      <c r="D11" s="83">
        <f>D7*D9*D10</f>
        <v>-0.31541750736099189</v>
      </c>
      <c r="E11" s="83">
        <f>E7*E9*E10</f>
        <v>-0.47160076986142574</v>
      </c>
      <c r="F11" s="83">
        <f>F7*F9*F10</f>
        <v>-0.32900256839588515</v>
      </c>
      <c r="G11" s="83">
        <f>G7*G9*G10</f>
        <v>-0.49473338698867014</v>
      </c>
      <c r="H11" s="83">
        <f>H7*H9*H10</f>
        <v>-2.5169266121683553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1.5" thickBot="1">
      <c r="A12" s="23"/>
      <c r="B12" s="26" t="s">
        <v>131</v>
      </c>
      <c r="C12" s="27" t="s">
        <v>151</v>
      </c>
      <c r="D12" s="34">
        <f>ANSARI!D93/(ANSARI!D89)</f>
        <v>-0.31541750736099189</v>
      </c>
      <c r="E12" s="34">
        <f>ANSARI!E93/(ANSARI!E89)</f>
        <v>-0.47160076986142579</v>
      </c>
      <c r="F12" s="34">
        <f>ANSARI!F93/(ANSARI!F89)</f>
        <v>-0.32900256839588515</v>
      </c>
      <c r="G12" s="34">
        <f>ANSARI!G93/(ANSARI!G89)</f>
        <v>-0.49473338698867014</v>
      </c>
      <c r="H12" s="34">
        <f>ANSARI!H93/(ANSARI!H89)</f>
        <v>-2.5169266121683549</v>
      </c>
      <c r="I12" s="34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6" thickBot="1">
      <c r="A13" s="22" t="s">
        <v>132</v>
      </c>
      <c r="B13" s="29" t="s">
        <v>133</v>
      </c>
      <c r="C13" s="30" t="s">
        <v>134</v>
      </c>
      <c r="D13" s="35">
        <f>ANSARI!D9/ANSARI!D89</f>
        <v>1.0121093558544922</v>
      </c>
      <c r="E13" s="35">
        <f>ANSARI!E9/ANSARI!E89</f>
        <v>0.94768441658028335</v>
      </c>
      <c r="F13" s="35">
        <f>ANSARI!F9/ANSARI!F89</f>
        <v>0.67799883335038746</v>
      </c>
      <c r="G13" s="35">
        <f>ANSARI!G9/ANSARI!G89</f>
        <v>0.35858196838673401</v>
      </c>
      <c r="H13" s="35">
        <f>ANSARI!H9/ANSARI!H89</f>
        <v>0.17126556701575521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6" thickBot="1">
      <c r="A14" s="23"/>
      <c r="B14" s="26" t="s">
        <v>135</v>
      </c>
      <c r="C14" s="27" t="s">
        <v>136</v>
      </c>
      <c r="D14" s="36">
        <f>(ANSARI!D33+ANSARI!D35-ANSARI!D36)/ANSARI!D37</f>
        <v>0.12299034577433153</v>
      </c>
      <c r="E14" s="36">
        <f>(ANSARI!E33+ANSARI!E35-ANSARI!E36)/ANSARI!E37</f>
        <v>7.733614675865412E-2</v>
      </c>
      <c r="F14" s="36">
        <f>(ANSARI!F33+ANSARI!F35-ANSARI!F36)/ANSARI!F37</f>
        <v>0.12624598036625165</v>
      </c>
      <c r="G14" s="36">
        <f>(ANSARI!G33+ANSARI!G35-ANSARI!G36)/ANSARI!G37</f>
        <v>9.5452195334597173E-2</v>
      </c>
      <c r="H14" s="36">
        <f>(ANSARI!H33+ANSARI!H35-ANSARI!H36)/ANSARI!H37</f>
        <v>5.1761619072487657E-2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31.5" thickBot="1">
      <c r="A15" s="22" t="s">
        <v>137</v>
      </c>
      <c r="B15" s="29" t="s">
        <v>138</v>
      </c>
      <c r="C15" s="30" t="s">
        <v>139</v>
      </c>
      <c r="D15" s="37">
        <f>ANSARI!D32/((ANSARI!D25+373961416)/2)</f>
        <v>0.27444758599090324</v>
      </c>
      <c r="E15" s="37">
        <f>ANSARI!E32/((ANSARI!E25+ANSARI!D25)/2)</f>
        <v>4.9410968085204648E-2</v>
      </c>
      <c r="F15" s="37">
        <f>ANSARI!F32/((ANSARI!F25+ANSARI!E25)/2)</f>
        <v>0.11087647447710858</v>
      </c>
      <c r="G15" s="37">
        <f>ANSARI!G32/((ANSARI!G25+ANSARI!F25)/2)</f>
        <v>0.26844728427199521</v>
      </c>
      <c r="H15" s="37">
        <f>ANSARI!H32/((ANSARI!H25+ANSARI!G25)/2)</f>
        <v>0.16295387141563872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31.5" thickBot="1">
      <c r="A16" s="23"/>
      <c r="B16" s="24" t="s">
        <v>140</v>
      </c>
      <c r="C16" s="23" t="s">
        <v>141</v>
      </c>
      <c r="D16" s="38">
        <f>(((ANSARI!D26+252894905)/ANSARI!D31))*365</f>
        <v>210.69099519219247</v>
      </c>
      <c r="E16" s="38">
        <f>(((ANSARI!E26+ANSARI!D26)/ANSARI!E31))*365</f>
        <v>0</v>
      </c>
      <c r="F16" s="38">
        <f>(((ANSARI!F26+ANSARI!E26)/ANSARI!F31))*365</f>
        <v>0</v>
      </c>
      <c r="G16" s="38">
        <f>(((ANSARI!G26+ANSARI!F26)/ANSARI!G31))*365</f>
        <v>15.220315010452788</v>
      </c>
      <c r="H16" s="38">
        <f>(((ANSARI!H26+ANSARI!G26)/ANSARI!H31))*365</f>
        <v>158.61130553761814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6" thickBot="1">
      <c r="A17" s="23"/>
      <c r="B17" s="24" t="s">
        <v>142</v>
      </c>
      <c r="C17" s="23" t="s">
        <v>143</v>
      </c>
      <c r="D17" s="38">
        <f>ANSARI!D66/((2605809063+ANSARI!D87)/2)</f>
        <v>7.6531450428788783E-2</v>
      </c>
      <c r="E17" s="38">
        <f>ANSARI!E66/((ANSARI!D87+ANSARI!E87)/2)</f>
        <v>1.9892869304170804E-2</v>
      </c>
      <c r="F17" s="38">
        <f>ANSARI!F66/((ANSARI!E87+ANSARI!F87)/2)</f>
        <v>4.554248065208194E-2</v>
      </c>
      <c r="G17" s="38">
        <f>ANSARI!G66/((ANSARI!F87+ANSARI!G87)/2)</f>
        <v>0.10613443053759794</v>
      </c>
      <c r="H17" s="38">
        <f>ANSARI!H66/((ANSARI!G87+ANSARI!H87)/2)</f>
        <v>7.1519496619319972E-2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1.5" thickBot="1">
      <c r="A18" s="23"/>
      <c r="B18" s="26" t="s">
        <v>144</v>
      </c>
      <c r="C18" s="27" t="s">
        <v>145</v>
      </c>
      <c r="D18" s="39">
        <f>ANSARI!D4/ANSARI!D112</f>
        <v>-0.51729771387206391</v>
      </c>
      <c r="E18" s="39">
        <f>ANSARI!E4/ANSARI!E112</f>
        <v>-0.43852552888826712</v>
      </c>
      <c r="F18" s="39">
        <f>ANSARI!F4/ANSARI!F112</f>
        <v>-0.74530800548555931</v>
      </c>
      <c r="G18" s="39">
        <f>ANSARI!G4/ANSARI!G112</f>
        <v>-0.62930535626205097</v>
      </c>
      <c r="H18" s="39">
        <f>ANSARI!H4/ANSARI!H112</f>
        <v>-0.35345986708237093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6" thickBot="1">
      <c r="A19" s="22" t="s">
        <v>152</v>
      </c>
      <c r="B19" s="29" t="s">
        <v>153</v>
      </c>
      <c r="C19" s="30" t="s">
        <v>3</v>
      </c>
      <c r="D19" s="85">
        <v>0</v>
      </c>
      <c r="E19" s="85">
        <f>(ANSARI!D5-ANSARI!E5)/ANSARI!E5</f>
        <v>0</v>
      </c>
      <c r="F19" s="85">
        <f>(ANSARI!E5-ANSARI!F5)/ANSARI!F5</f>
        <v>0</v>
      </c>
      <c r="G19" s="85">
        <f>(ANSARI!F5-ANSARI!G5)/ANSARI!G5</f>
        <v>-8.0161605797287334E-7</v>
      </c>
      <c r="H19" s="85">
        <f>(ANSARI!G5-ANSARI!H5)/ANSARI!H5</f>
        <v>0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26" ht="16" thickBot="1">
      <c r="A20" s="22"/>
      <c r="B20" s="24"/>
      <c r="C20" s="23" t="s">
        <v>96</v>
      </c>
      <c r="D20" s="85">
        <v>0</v>
      </c>
      <c r="E20" s="85">
        <f>(ANSARI!E6-ANSARI!D6)/ANSARI!D6</f>
        <v>0</v>
      </c>
      <c r="F20" s="85">
        <f>(ANSARI!F6-ANSARI!E6)/ANSARI!E6</f>
        <v>0</v>
      </c>
      <c r="G20" s="85">
        <f>(ANSARI!G6-ANSARI!F6)/ANSARI!F6</f>
        <v>6.5820332503808355E-7</v>
      </c>
      <c r="H20" s="85">
        <f>(ANSARI!H6-ANSARI!G6)/ANSARI!G6</f>
        <v>0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26" ht="16" thickBot="1">
      <c r="A21" s="22"/>
      <c r="B21" s="24"/>
      <c r="C21" s="23" t="s">
        <v>4</v>
      </c>
      <c r="D21" s="85">
        <v>0</v>
      </c>
      <c r="E21" s="85">
        <f>(ANSARI!E7-ANSARI!D7)/ANSARI!D7</f>
        <v>0.42898125751295679</v>
      </c>
      <c r="F21" s="85">
        <f>(ANSARI!F7-ANSARI!E7)/ANSARI!E7</f>
        <v>0.16937121838243158</v>
      </c>
      <c r="G21" s="85">
        <f>(ANSARI!G7-ANSARI!F7)/ANSARI!F7</f>
        <v>0.16736886529865688</v>
      </c>
      <c r="H21" s="85">
        <f>(ANSARI!H7-ANSARI!G7)/ANSARI!G7</f>
        <v>0.36352707586414623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26" ht="16" thickBot="1">
      <c r="A22" s="22"/>
      <c r="B22" s="24"/>
      <c r="C22" s="23" t="s">
        <v>97</v>
      </c>
      <c r="D22" s="85">
        <v>0</v>
      </c>
      <c r="E22" s="85">
        <f>(ANSARI!E8-ANSARI!D8)/ANSARI!D8</f>
        <v>-1.2355311538055615E-2</v>
      </c>
      <c r="F22" s="85">
        <f>(ANSARI!F8-ANSARI!E8)/ANSARI!E8</f>
        <v>-1.2229043252677943E-2</v>
      </c>
      <c r="G22" s="85">
        <f>(ANSARI!G8-ANSARI!F8)/ANSARI!F8</f>
        <v>-1.2636704678072722E-2</v>
      </c>
      <c r="H22" s="85">
        <f>(ANSARI!H8-ANSARI!G8)/ANSARI!G8</f>
        <v>-1.1528024260314266E-2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26" ht="16" thickBot="1">
      <c r="A23" s="22"/>
      <c r="B23" s="24"/>
      <c r="C23" s="23" t="s">
        <v>6</v>
      </c>
      <c r="D23" s="85">
        <v>0</v>
      </c>
      <c r="E23" s="85">
        <f>(ANSARI!E9-ANSARI!D9)/ANSARI!D9</f>
        <v>-0.26125718857991914</v>
      </c>
      <c r="F23" s="85">
        <f>(ANSARI!F9-ANSARI!E9)/ANSARI!E9</f>
        <v>-0.39660803970262593</v>
      </c>
      <c r="G23" s="85">
        <f>(ANSARI!G9-ANSARI!F9)/ANSARI!F9</f>
        <v>-0.5834549989264608</v>
      </c>
      <c r="H23" s="85">
        <f>(ANSARI!H9-ANSARI!G9)/ANSARI!G9</f>
        <v>-0.83285107216646326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26" ht="16" thickBot="1">
      <c r="A24" s="22"/>
      <c r="B24" s="24"/>
      <c r="C24" s="23" t="s">
        <v>7</v>
      </c>
      <c r="D24" s="85">
        <v>0</v>
      </c>
      <c r="E24" s="85" t="e">
        <f>(ANSARI!E10-ANSARI!D10)/ANSARI!D10</f>
        <v>#DIV/0!</v>
      </c>
      <c r="F24" s="85" t="e">
        <f>(ANSARI!F10-ANSARI!E10)/ANSARI!E10</f>
        <v>#DIV/0!</v>
      </c>
      <c r="G24" s="85" t="e">
        <f>(ANSARI!G10-ANSARI!F10)/ANSARI!F10</f>
        <v>#DIV/0!</v>
      </c>
      <c r="H24" s="85" t="e">
        <f>(ANSARI!H10-ANSARI!G10)/ANSARI!G10</f>
        <v>#DIV/0!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26" ht="16" thickBot="1">
      <c r="A25" s="22"/>
      <c r="B25" s="24"/>
      <c r="C25" s="23" t="s">
        <v>9</v>
      </c>
      <c r="D25" s="85">
        <v>0</v>
      </c>
      <c r="E25" s="85">
        <f>(ANSARI!E11-ANSARI!D11)/ANSARI!D11</f>
        <v>-0.14441183398062127</v>
      </c>
      <c r="F25" s="85">
        <f>(ANSARI!F11-ANSARI!E11)/ANSARI!E11</f>
        <v>-9.6675190610817571E-2</v>
      </c>
      <c r="G25" s="85">
        <f>(ANSARI!G11-ANSARI!F11)/ANSARI!F11</f>
        <v>-0.13292623869967274</v>
      </c>
      <c r="H25" s="85">
        <f>(ANSARI!H11-ANSARI!G11)/ANSARI!G11</f>
        <v>-0.16147127007782747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1:26" ht="16" thickBot="1">
      <c r="A26" s="22"/>
      <c r="B26" s="24"/>
      <c r="C26" s="23" t="s">
        <v>10</v>
      </c>
      <c r="D26" s="85">
        <v>0</v>
      </c>
      <c r="E26" s="85">
        <f>(ANSARI!E12-ANSARI!D12)/ANSARI!D12</f>
        <v>-0.10850950670205896</v>
      </c>
      <c r="F26" s="85">
        <f>(ANSARI!F12-ANSARI!E12)/ANSARI!E12</f>
        <v>0.27954152024520967</v>
      </c>
      <c r="G26" s="85">
        <f>(ANSARI!G12-ANSARI!F12)/ANSARI!F12</f>
        <v>0.12944464632266162</v>
      </c>
      <c r="H26" s="85">
        <f>(ANSARI!H12-ANSARI!G12)/ANSARI!G12</f>
        <v>-7.0993002300796221E-2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26" ht="16" thickBot="1">
      <c r="A27" s="22"/>
      <c r="B27" s="24"/>
      <c r="C27" s="23" t="s">
        <v>94</v>
      </c>
      <c r="D27" s="85">
        <v>0</v>
      </c>
      <c r="E27" s="85">
        <f>(ANSARI!E13-ANSARI!D13)/ANSARI!D13</f>
        <v>0.8417861223416756</v>
      </c>
      <c r="F27" s="85">
        <f>(ANSARI!F13-ANSARI!E13)/ANSARI!E13</f>
        <v>0.31685778160858741</v>
      </c>
      <c r="G27" s="85">
        <f>(ANSARI!G13-ANSARI!F13)/ANSARI!F13</f>
        <v>0.33813097010932491</v>
      </c>
      <c r="H27" s="85">
        <f>(ANSARI!H13-ANSARI!G13)/ANSARI!G13</f>
        <v>0.40713517787776343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26" ht="16" thickBot="1">
      <c r="A28" s="22"/>
      <c r="B28" s="24"/>
      <c r="C28" s="23" t="s">
        <v>95</v>
      </c>
      <c r="D28" s="85">
        <v>0</v>
      </c>
      <c r="E28" s="85">
        <f>(ANSARI!E14-ANSARI!D14)/ANSARI!D14</f>
        <v>0</v>
      </c>
      <c r="F28" s="85">
        <f>(ANSARI!F14-ANSARI!E14)/ANSARI!E14</f>
        <v>0</v>
      </c>
      <c r="G28" s="85">
        <f>(ANSARI!G14-ANSARI!F14)/ANSARI!F14</f>
        <v>2.9697878822405583E-7</v>
      </c>
      <c r="H28" s="85">
        <f>(ANSARI!H14-ANSARI!G14)/ANSARI!G14</f>
        <v>0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26" ht="16" thickBot="1">
      <c r="A29" s="22"/>
      <c r="B29" s="24"/>
      <c r="C29" s="23" t="s">
        <v>12</v>
      </c>
      <c r="D29" s="85">
        <v>0</v>
      </c>
      <c r="E29" s="85">
        <f>(ANSARI!E15-ANSARI!D15)/ANSARI!D15</f>
        <v>0.72115661098507489</v>
      </c>
      <c r="F29" s="85">
        <f>(ANSARI!F15-ANSARI!E15)/ANSARI!E15</f>
        <v>0.46988949189305979</v>
      </c>
      <c r="G29" s="85">
        <f>(ANSARI!G15-ANSARI!F15)/ANSARI!F15</f>
        <v>0.28376332241944457</v>
      </c>
      <c r="H29" s="85">
        <f>(ANSARI!H15-ANSARI!G15)/ANSARI!G15</f>
        <v>0.13142977646494003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26" ht="16" thickBot="1">
      <c r="A30" s="22"/>
      <c r="B30" s="24"/>
      <c r="C30" s="23" t="s">
        <v>92</v>
      </c>
      <c r="D30" s="85">
        <v>0</v>
      </c>
      <c r="E30" s="85">
        <f>(ANSARI!E16-ANSARI!D16)/ANSARI!D16</f>
        <v>0.21060564335042156</v>
      </c>
      <c r="F30" s="85">
        <f>(ANSARI!F16-ANSARI!E16)/ANSARI!E16</f>
        <v>0.33420370728440935</v>
      </c>
      <c r="G30" s="85">
        <f>(ANSARI!G16-ANSARI!F16)/ANSARI!F16</f>
        <v>0.5929396361695618</v>
      </c>
      <c r="H30" s="85">
        <f>(ANSARI!H16-ANSARI!G16)/ANSARI!G16</f>
        <v>0.23336169278480665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26" ht="16" thickBot="1">
      <c r="A31" s="22"/>
      <c r="B31" s="24"/>
      <c r="C31" s="23" t="s">
        <v>93</v>
      </c>
      <c r="D31" s="85">
        <v>0</v>
      </c>
      <c r="E31" s="85">
        <f>(ANSARI!E17-ANSARI!D17)/ANSARI!D17</f>
        <v>-1.1073319330061435E-2</v>
      </c>
      <c r="F31" s="85">
        <f>(ANSARI!F17-ANSARI!E17)/ANSARI!E17</f>
        <v>-1.0972519066694282E-2</v>
      </c>
      <c r="G31" s="85">
        <f>(ANSARI!G17-ANSARI!F17)/ANSARI!F17</f>
        <v>-1.148901086015976E-2</v>
      </c>
      <c r="H31" s="85">
        <f>(ANSARI!H17-ANSARI!G17)/ANSARI!G17</f>
        <v>-1.0341096710637014E-2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1:26" ht="16" thickBot="1">
      <c r="A32" s="22"/>
      <c r="B32" s="24"/>
      <c r="C32" s="23" t="s">
        <v>15</v>
      </c>
      <c r="D32" s="85">
        <v>0</v>
      </c>
      <c r="E32" s="85" t="e">
        <f>(ANSARI!E18-ANSARI!D18)/ANSARI!D18</f>
        <v>#DIV/0!</v>
      </c>
      <c r="F32" s="85" t="e">
        <f>(ANSARI!F18-ANSARI!E18)/ANSARI!E18</f>
        <v>#DIV/0!</v>
      </c>
      <c r="G32" s="85" t="e">
        <f>(ANSARI!G18-ANSARI!F18)/ANSARI!F18</f>
        <v>#DIV/0!</v>
      </c>
      <c r="H32" s="85" t="e">
        <f>(ANSARI!H18-ANSARI!G18)/ANSARI!G18</f>
        <v>#DIV/0!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spans="1:18" ht="16" thickBot="1">
      <c r="A33" s="22"/>
      <c r="B33" s="24"/>
      <c r="C33" s="23" t="s">
        <v>16</v>
      </c>
      <c r="D33" s="85">
        <v>0</v>
      </c>
      <c r="E33" s="85" t="e">
        <f>(ANSARI!E19-ANSARI!D19)/ANSARI!D19</f>
        <v>#DIV/0!</v>
      </c>
      <c r="F33" s="85" t="e">
        <f>(ANSARI!F19-ANSARI!E19)/ANSARI!E19</f>
        <v>#DIV/0!</v>
      </c>
      <c r="G33" s="85" t="e">
        <f>(ANSARI!G19-ANSARI!F19)/ANSARI!F19</f>
        <v>#DIV/0!</v>
      </c>
      <c r="H33" s="85" t="e">
        <f>(ANSARI!H19-ANSARI!G19)/ANSARI!G19</f>
        <v>#DIV/0!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spans="1:18" ht="16" thickBot="1">
      <c r="A34" s="22"/>
      <c r="B34" s="24"/>
      <c r="C34" s="23" t="s">
        <v>17</v>
      </c>
      <c r="D34" s="85">
        <v>0</v>
      </c>
      <c r="E34" s="85" t="e">
        <f>(ANSARI!E20-ANSARI!D20)/ANSARI!D20</f>
        <v>#DIV/0!</v>
      </c>
      <c r="F34" s="85" t="e">
        <f>(ANSARI!F20-ANSARI!E20)/ANSARI!E20</f>
        <v>#DIV/0!</v>
      </c>
      <c r="G34" s="85" t="e">
        <f>(ANSARI!G20-ANSARI!F20)/ANSARI!F20</f>
        <v>#DIV/0!</v>
      </c>
      <c r="H34" s="85" t="e">
        <f>(ANSARI!H20-ANSARI!G20)/ANSARI!G20</f>
        <v>#DIV/0!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spans="1:18" ht="16" thickBot="1">
      <c r="A35" s="22"/>
      <c r="B35" s="24"/>
      <c r="C35" s="23" t="s">
        <v>18</v>
      </c>
      <c r="D35" s="85">
        <v>0</v>
      </c>
      <c r="E35" s="85">
        <f>(ANSARI!E21-ANSARI!D21)/ANSARI!D21</f>
        <v>0</v>
      </c>
      <c r="F35" s="85">
        <f>(ANSARI!F21-ANSARI!E21)/ANSARI!E21</f>
        <v>0</v>
      </c>
      <c r="G35" s="85">
        <f>(ANSARI!G21-ANSARI!F21)/ANSARI!F21</f>
        <v>3.2346757237586933E-4</v>
      </c>
      <c r="H35" s="85">
        <f>(ANSARI!H21-ANSARI!G21)/ANSARI!G21</f>
        <v>0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spans="1:18" ht="16" thickBot="1">
      <c r="A36" s="22"/>
      <c r="B36" s="24"/>
      <c r="C36" s="23" t="s">
        <v>19</v>
      </c>
      <c r="D36" s="85">
        <v>0</v>
      </c>
      <c r="E36" s="85" t="e">
        <f>(ANSARI!E22-ANSARI!D22)/ANSARI!D22</f>
        <v>#DIV/0!</v>
      </c>
      <c r="F36" s="85" t="e">
        <f>(ANSARI!F22-ANSARI!E22)/ANSARI!E22</f>
        <v>#DIV/0!</v>
      </c>
      <c r="G36" s="85" t="e">
        <f>(ANSARI!G22-ANSARI!F22)/ANSARI!F22</f>
        <v>#DIV/0!</v>
      </c>
      <c r="H36" s="85" t="e">
        <f>(ANSARI!H22-ANSARI!G22)/ANSARI!G22</f>
        <v>#DIV/0!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spans="1:18" ht="16" thickBot="1">
      <c r="A37" s="22"/>
      <c r="B37" s="26"/>
      <c r="C37" s="27" t="s">
        <v>20</v>
      </c>
      <c r="D37" s="85">
        <v>0</v>
      </c>
      <c r="E37" s="85">
        <f>(ANSARI!E23-ANSARI!D23)/ANSARI!D23</f>
        <v>-0.33000005947554467</v>
      </c>
      <c r="F37" s="85">
        <f>(ANSARI!F23-ANSARI!E23)/ANSARI!E23</f>
        <v>-0.33000053261686502</v>
      </c>
      <c r="G37" s="85">
        <f>(ANSARI!G23-ANSARI!F23)/ANSARI!F23</f>
        <v>-0.32870789519010374</v>
      </c>
      <c r="H37" s="85">
        <f>(ANSARI!H23-ANSARI!G23)/ANSARI!G23</f>
        <v>-0.32894736842105265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</row>
    <row r="38" spans="1:18" ht="16" thickBot="1">
      <c r="A38" s="22"/>
      <c r="B38" s="29" t="s">
        <v>154</v>
      </c>
      <c r="C38" s="30" t="s">
        <v>22</v>
      </c>
      <c r="D38" s="85">
        <v>0</v>
      </c>
      <c r="E38" s="85">
        <f>(ANSARI!E24-ANSARI!D24)/ANSARI!D24</f>
        <v>-1.3421157640195493E-2</v>
      </c>
      <c r="F38" s="85">
        <f>(ANSARI!F24-ANSARI!E24)/ANSARI!E24</f>
        <v>2.5493406701736737E-3</v>
      </c>
      <c r="G38" s="85">
        <f>(ANSARI!G24-ANSARI!F24)/ANSARI!F24</f>
        <v>7.6666744566891515E-2</v>
      </c>
      <c r="H38" s="85">
        <f>(ANSARI!H24-ANSARI!G24)/ANSARI!G24</f>
        <v>-4.1225132546193463E-2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</row>
    <row r="39" spans="1:18" ht="16" thickBot="1">
      <c r="A39" s="22"/>
      <c r="B39" s="24"/>
      <c r="C39" s="23" t="s">
        <v>24</v>
      </c>
      <c r="D39" s="85">
        <v>0</v>
      </c>
      <c r="E39" s="85">
        <f>(ANSARI!E25-ANSARI!D25)/ANSARI!D25</f>
        <v>3.440512047351342E-2</v>
      </c>
      <c r="F39" s="85">
        <f>(ANSARI!F25-ANSARI!E25)/ANSARI!E25</f>
        <v>3.4585997598599268E-2</v>
      </c>
      <c r="G39" s="85">
        <f>(ANSARI!G25-ANSARI!F25)/ANSARI!F25</f>
        <v>0.11733201139702894</v>
      </c>
      <c r="H39" s="85">
        <f>(ANSARI!H25-ANSARI!G25)/ANSARI!G25</f>
        <v>4.8462127496649861E-2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</row>
    <row r="40" spans="1:18" ht="16" thickBot="1">
      <c r="A40" s="22"/>
      <c r="B40" s="24"/>
      <c r="C40" s="23" t="s">
        <v>62</v>
      </c>
      <c r="D40" s="85">
        <v>0</v>
      </c>
      <c r="E40" s="85" t="e">
        <f>(ANSARI!E26-ANSARI!D26)/ANSARI!D26</f>
        <v>#DIV/0!</v>
      </c>
      <c r="F40" s="85" t="e">
        <f>(ANSARI!F26-ANSARI!E26)/ANSARI!E26</f>
        <v>#DIV/0!</v>
      </c>
      <c r="G40" s="85" t="e">
        <f>(ANSARI!G26-ANSARI!F26)/ANSARI!F26</f>
        <v>#DIV/0!</v>
      </c>
      <c r="H40" s="85">
        <f>(ANSARI!H26-ANSARI!G26)/ANSARI!G26</f>
        <v>5.1579143112169001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</row>
    <row r="41" spans="1:18" ht="16" thickBot="1">
      <c r="A41" s="22"/>
      <c r="B41" s="24"/>
      <c r="C41" s="23" t="s">
        <v>49</v>
      </c>
      <c r="D41" s="85">
        <v>0</v>
      </c>
      <c r="E41" s="85">
        <f>(ANSARI!E27-ANSARI!D27)/ANSARI!D27</f>
        <v>-6.6755661283301196E-2</v>
      </c>
      <c r="F41" s="85">
        <f>(ANSARI!F27-ANSARI!E27)/ANSARI!E27</f>
        <v>0.2043915411418864</v>
      </c>
      <c r="G41" s="85">
        <f>(ANSARI!G27-ANSARI!F27)/ANSARI!F27</f>
        <v>-1.2415514420272835E-2</v>
      </c>
      <c r="H41" s="85">
        <f>(ANSARI!H27-ANSARI!G27)/ANSARI!G27</f>
        <v>0.11830533418880353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</row>
    <row r="42" spans="1:18" ht="16" thickBot="1">
      <c r="A42" s="22"/>
      <c r="B42" s="24"/>
      <c r="C42" s="23" t="s">
        <v>53</v>
      </c>
      <c r="D42" s="85">
        <v>0</v>
      </c>
      <c r="E42" s="85">
        <f>(ANSARI!E28-ANSARI!D28)/ANSARI!D28</f>
        <v>0.13255226289801764</v>
      </c>
      <c r="F42" s="85">
        <f>(ANSARI!F28-ANSARI!E28)/ANSARI!E28</f>
        <v>-0.70382883219209191</v>
      </c>
      <c r="G42" s="85">
        <f>(ANSARI!G28-ANSARI!F28)/ANSARI!F28</f>
        <v>-1</v>
      </c>
      <c r="H42" s="85" t="e">
        <f>(ANSARI!H28-ANSARI!G28)/ANSARI!G28</f>
        <v>#DIV/0!</v>
      </c>
      <c r="I42" s="18"/>
      <c r="J42" s="18"/>
      <c r="K42" s="18"/>
      <c r="L42" s="18"/>
      <c r="M42" s="18"/>
      <c r="N42" s="18"/>
      <c r="O42" s="18"/>
      <c r="P42" s="18"/>
      <c r="Q42" s="18"/>
      <c r="R42" s="18"/>
    </row>
    <row r="43" spans="1:18" ht="16" thickBot="1">
      <c r="A43" s="22"/>
      <c r="B43" s="24"/>
      <c r="C43" s="23" t="s">
        <v>50</v>
      </c>
      <c r="D43" s="85">
        <v>0</v>
      </c>
      <c r="E43" s="85" t="e">
        <f>(ANSARI!E29-ANSARI!D29)/ANSARI!D29</f>
        <v>#DIV/0!</v>
      </c>
      <c r="F43" s="85" t="e">
        <f>(ANSARI!F29-ANSARI!E29)/ANSARI!E29</f>
        <v>#DIV/0!</v>
      </c>
      <c r="G43" s="85" t="e">
        <f>(ANSARI!G29-ANSARI!F29)/ANSARI!F29</f>
        <v>#DIV/0!</v>
      </c>
      <c r="H43" s="85" t="e">
        <f>(ANSARI!H29-ANSARI!G29)/ANSARI!G29</f>
        <v>#DIV/0!</v>
      </c>
      <c r="I43" s="18"/>
      <c r="J43" s="18"/>
      <c r="K43" s="18"/>
      <c r="L43" s="18"/>
      <c r="M43" s="18"/>
      <c r="N43" s="18"/>
      <c r="O43" s="18"/>
      <c r="P43" s="18"/>
      <c r="Q43" s="18"/>
      <c r="R43" s="18"/>
    </row>
    <row r="44" spans="1:18" ht="16" thickBot="1">
      <c r="A44" s="22"/>
      <c r="B44" s="24"/>
      <c r="C44" s="23" t="s">
        <v>89</v>
      </c>
      <c r="D44" s="85">
        <v>0</v>
      </c>
      <c r="E44" s="85">
        <f>(ANSARI!E30-ANSARI!D30)/ANSARI!D30</f>
        <v>-5.2674171582397069E-4</v>
      </c>
      <c r="F44" s="85">
        <f>(ANSARI!F30-ANSARI!E30)/ANSARI!E30</f>
        <v>9.8282652135574036E-2</v>
      </c>
      <c r="G44" s="85">
        <f>(ANSARI!G30-ANSARI!F30)/ANSARI!F30</f>
        <v>7.6801137805808994E-2</v>
      </c>
      <c r="H44" s="85">
        <f>(ANSARI!H30-ANSARI!G30)/ANSARI!G30</f>
        <v>-0.94793622341891304</v>
      </c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spans="1:18" ht="16" thickBot="1">
      <c r="A45" s="22"/>
      <c r="B45" s="26"/>
      <c r="C45" s="27" t="s">
        <v>108</v>
      </c>
      <c r="D45" s="85">
        <v>0</v>
      </c>
      <c r="E45" s="85">
        <f>(ANSARI!E31-ANSARI!D31)/ANSARI!D31</f>
        <v>-0.59927316561791222</v>
      </c>
      <c r="F45" s="85">
        <f>(ANSARI!F31-ANSARI!E31)/ANSARI!E31</f>
        <v>1.3078002718450701</v>
      </c>
      <c r="G45" s="85">
        <f>(ANSARI!G31-ANSARI!F31)/ANSARI!F31</f>
        <v>1.3871810947487326</v>
      </c>
      <c r="H45" s="85">
        <f>(ANSARI!H31-ANSARI!G31)/ANSARI!G31</f>
        <v>-0.31312771012586771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</row>
    <row r="46" spans="1:18" ht="16" thickBot="1">
      <c r="A46" s="22" t="s">
        <v>155</v>
      </c>
      <c r="B46" s="29" t="s">
        <v>153</v>
      </c>
      <c r="C46" s="30" t="s">
        <v>3</v>
      </c>
      <c r="D46" s="31">
        <f>ANSARI!D5/ANSARI!$D87</f>
        <v>6.347818489224949E-2</v>
      </c>
      <c r="E46" s="31">
        <f>ANSARI!E5/ANSARI!E$87</f>
        <v>6.3737185577253289E-2</v>
      </c>
      <c r="F46" s="31">
        <f>ANSARI!F5/ANSARI!F$87</f>
        <v>6.2475275887165858E-2</v>
      </c>
      <c r="G46" s="31">
        <f>ANSARI!G5/ANSARI!G$87</f>
        <v>6.0749609443143192E-2</v>
      </c>
      <c r="H46" s="31">
        <f>ANSARI!H5/ANSARI!H$87</f>
        <v>6.012006534999248E-2</v>
      </c>
      <c r="I46" s="18"/>
      <c r="J46" s="18"/>
      <c r="K46" s="18"/>
      <c r="L46" s="18"/>
      <c r="M46" s="18"/>
      <c r="N46" s="18"/>
      <c r="O46" s="18"/>
      <c r="P46" s="18"/>
      <c r="Q46" s="18"/>
      <c r="R46" s="18"/>
    </row>
    <row r="47" spans="1:18" ht="16" thickBot="1">
      <c r="A47" s="22"/>
      <c r="B47" s="24"/>
      <c r="C47" s="23" t="s">
        <v>96</v>
      </c>
      <c r="D47" s="31">
        <f>ANSARI!D6/ANSARI!$D$87</f>
        <v>7.3873236477332349E-2</v>
      </c>
      <c r="E47" s="31">
        <f>ANSARI!E6/ANSARI!E$87</f>
        <v>7.4174650559722291E-2</v>
      </c>
      <c r="F47" s="31">
        <f>ANSARI!F6/ANSARI!F$87</f>
        <v>7.2706093241848388E-2</v>
      </c>
      <c r="G47" s="31">
        <f>ANSARI!G6/ANSARI!G$87</f>
        <v>7.0697825218393684E-2</v>
      </c>
      <c r="H47" s="31">
        <f>ANSARI!H6/ANSARI!H$87</f>
        <v>6.9965188438127685E-2</v>
      </c>
      <c r="I47" s="18"/>
      <c r="J47" s="18"/>
      <c r="K47" s="18"/>
      <c r="L47" s="18"/>
      <c r="M47" s="18"/>
      <c r="N47" s="18"/>
      <c r="O47" s="18"/>
      <c r="P47" s="18"/>
      <c r="Q47" s="18"/>
      <c r="R47" s="18"/>
    </row>
    <row r="48" spans="1:18" ht="16" thickBot="1">
      <c r="A48" s="22"/>
      <c r="B48" s="24"/>
      <c r="C48" s="23" t="s">
        <v>4</v>
      </c>
      <c r="D48" s="31">
        <f>ANSARI!D7/ANSARI!$D$87</f>
        <v>-0.10892903999984199</v>
      </c>
      <c r="E48" s="31">
        <f>ANSARI!E7/ANSARI!E$87</f>
        <v>-0.15629266315225152</v>
      </c>
      <c r="F48" s="31">
        <f>ANSARI!F7/ANSARI!F$87</f>
        <v>-0.17914566020183995</v>
      </c>
      <c r="G48" s="31">
        <f>ANSARI!G7/ANSARI!G$87</f>
        <v>-0.2033524257812111</v>
      </c>
      <c r="H48" s="31">
        <f>ANSARI!H7/ANSARI!H$87</f>
        <v>-0.27440314048374204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</row>
    <row r="49" spans="1:18" ht="16" thickBot="1">
      <c r="A49" s="22"/>
      <c r="B49" s="24"/>
      <c r="C49" s="23" t="s">
        <v>97</v>
      </c>
      <c r="D49" s="31">
        <f>ANSARI!D8/ANSARI!$D$87</f>
        <v>0.20500370887213712</v>
      </c>
      <c r="E49" s="31">
        <f>ANSARI!E8/ANSARI!E$87</f>
        <v>0.20329693605462912</v>
      </c>
      <c r="F49" s="31">
        <f>ANSARI!F8/ANSARI!F$87</f>
        <v>0.1968350278048922</v>
      </c>
      <c r="G49" s="31">
        <f>ANSARI!G8/ANSARI!G$87</f>
        <v>0.18897933825448682</v>
      </c>
      <c r="H49" s="31">
        <f>ANSARI!H8/ANSARI!H$87</f>
        <v>0.18486497601316854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</row>
    <row r="50" spans="1:18" ht="16" thickBot="1">
      <c r="A50" s="22"/>
      <c r="B50" s="24"/>
      <c r="C50" s="23" t="s">
        <v>6</v>
      </c>
      <c r="D50" s="31">
        <f>ANSARI!D9/ANSARI!$D$87</f>
        <v>0.2362527298343387</v>
      </c>
      <c r="E50" s="31">
        <f>ANSARI!E9/ANSARI!E$87</f>
        <v>0.17524211491125549</v>
      </c>
      <c r="F50" s="31">
        <f>ANSARI!F9/ANSARI!F$87</f>
        <v>0.10364618115775531</v>
      </c>
      <c r="G50" s="31">
        <f>ANSARI!G9/ANSARI!G$87</f>
        <v>4.1980749843192881E-2</v>
      </c>
      <c r="H50" s="31">
        <f>ANSARI!H9/ANSARI!H$87</f>
        <v>6.9443202428081004E-3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</row>
    <row r="51" spans="1:18" ht="16" thickBot="1">
      <c r="A51" s="22"/>
      <c r="B51" s="24"/>
      <c r="C51" s="23" t="s">
        <v>7</v>
      </c>
      <c r="D51" s="31">
        <f>ANSARI!D10/ANSARI!$D$87</f>
        <v>0</v>
      </c>
      <c r="E51" s="31">
        <f>ANSARI!E10/ANSARI!E$87</f>
        <v>0</v>
      </c>
      <c r="F51" s="31">
        <f>ANSARI!F10/ANSARI!F$87</f>
        <v>0</v>
      </c>
      <c r="G51" s="31">
        <f>ANSARI!G10/ANSARI!G$87</f>
        <v>0</v>
      </c>
      <c r="H51" s="31">
        <f>ANSARI!H10/ANSARI!H$87</f>
        <v>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 spans="1:18" ht="16" thickBot="1">
      <c r="A52" s="22"/>
      <c r="B52" s="24"/>
      <c r="C52" s="23" t="s">
        <v>9</v>
      </c>
      <c r="D52" s="31">
        <f>ANSARI!D11/ANSARI!$D$87</f>
        <v>0.13043345272100854</v>
      </c>
      <c r="E52" s="31">
        <f>ANSARI!E11/ANSARI!E$87</f>
        <v>0.11205265269759437</v>
      </c>
      <c r="F52" s="31">
        <f>ANSARI!F11/ANSARI!F$87</f>
        <v>9.9215923808164727E-2</v>
      </c>
      <c r="G52" s="31">
        <f>ANSARI!G11/ANSARI!G$87</f>
        <v>8.3651240193873766E-2</v>
      </c>
      <c r="H52" s="31">
        <f>ANSARI!H11/ANSARI!H$87</f>
        <v>6.9417070998772146E-2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</row>
    <row r="53" spans="1:18" ht="16" thickBot="1">
      <c r="A53" s="22"/>
      <c r="B53" s="24"/>
      <c r="C53" s="23" t="s">
        <v>10</v>
      </c>
      <c r="D53" s="31">
        <f>ANSARI!D12/ANSARI!$D$87</f>
        <v>4.6043868653697577E-2</v>
      </c>
      <c r="E53" s="31">
        <f>ANSARI!E12/ANSARI!E$87</f>
        <v>4.1215151944221214E-2</v>
      </c>
      <c r="F53" s="31">
        <f>ANSARI!F12/ANSARI!F$87</f>
        <v>5.1692387152325679E-2</v>
      </c>
      <c r="G53" s="31">
        <f>ANSARI!G12/ANSARI!G$87</f>
        <v>5.6770994081370013E-2</v>
      </c>
      <c r="H53" s="31">
        <f>ANSARI!H12/ANSARI!H$87</f>
        <v>5.2194102971753961E-2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</row>
    <row r="54" spans="1:18" ht="16" thickBot="1">
      <c r="A54" s="22"/>
      <c r="B54" s="24"/>
      <c r="C54" s="23" t="s">
        <v>94</v>
      </c>
      <c r="D54" s="31">
        <f>ANSARI!D13/ANSARI!$D$87</f>
        <v>8.1603743075884028E-2</v>
      </c>
      <c r="E54" s="31">
        <f>ANSARI!E13/ANSARI!E$87</f>
        <v>0.15090987477017043</v>
      </c>
      <c r="F54" s="31">
        <f>ANSARI!F13/ANSARI!F$87</f>
        <v>0.19479232138523872</v>
      </c>
      <c r="G54" s="31">
        <f>ANSARI!G13/ANSARI!G$87</f>
        <v>0.25345765645108159</v>
      </c>
      <c r="H54" s="31">
        <f>ANSARI!H13/ANSARI!H$87</f>
        <v>0.35295325312198289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</row>
    <row r="55" spans="1:18" ht="16" thickBot="1">
      <c r="A55" s="22"/>
      <c r="B55" s="24"/>
      <c r="C55" s="23" t="s">
        <v>95</v>
      </c>
      <c r="D55" s="31">
        <f>ANSARI!D14/ANSARI!$D$87</f>
        <v>0.18505020951188667</v>
      </c>
      <c r="E55" s="31">
        <f>ANSARI!E14/ANSARI!E$87</f>
        <v>0.18580524261664588</v>
      </c>
      <c r="F55" s="31">
        <f>ANSARI!F14/ANSARI!F$87</f>
        <v>0.18212655122160773</v>
      </c>
      <c r="G55" s="31">
        <f>ANSARI!G14/ANSARI!G$87</f>
        <v>0.17709583696042228</v>
      </c>
      <c r="H55" s="31">
        <f>ANSARI!H14/ANSARI!H$87</f>
        <v>0.17526060478194447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</row>
    <row r="56" spans="1:18" ht="16" thickBot="1">
      <c r="A56" s="22"/>
      <c r="B56" s="24"/>
      <c r="C56" s="23" t="s">
        <v>12</v>
      </c>
      <c r="D56" s="31">
        <f>ANSARI!D15/ANSARI!$D$87</f>
        <v>8.5588515639427126E-2</v>
      </c>
      <c r="E56" s="31">
        <f>ANSARI!E15/ANSARI!E$87</f>
        <v>0.14791229186311133</v>
      </c>
      <c r="F56" s="31">
        <f>ANSARI!F15/ANSARI!F$87</f>
        <v>0.21311020735443453</v>
      </c>
      <c r="G56" s="31">
        <f>ANSARI!G15/ANSARI!G$87</f>
        <v>0.26602605530432266</v>
      </c>
      <c r="H56" s="31">
        <f>ANSARI!H15/ANSARI!H$87</f>
        <v>0.29787066334740397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</row>
    <row r="57" spans="1:18" ht="16" thickBot="1">
      <c r="A57" s="22"/>
      <c r="B57" s="24"/>
      <c r="C57" s="23" t="s">
        <v>92</v>
      </c>
      <c r="D57" s="31">
        <f>ANSARI!D16/ANSARI!$D$87</f>
        <v>1.6013903218803842E-3</v>
      </c>
      <c r="E57" s="31">
        <f>ANSARI!E16/ANSARI!E$87</f>
        <v>1.9465621576480964E-3</v>
      </c>
      <c r="F57" s="31">
        <f>ANSARI!F16/ANSARI!F$87</f>
        <v>2.5456911884067998E-3</v>
      </c>
      <c r="G57" s="31">
        <f>ANSARI!G16/ANSARI!G$87</f>
        <v>3.9431200309242246E-3</v>
      </c>
      <c r="H57" s="31">
        <f>ANSARI!H16/ANSARI!H$87</f>
        <v>4.8128952177877923E-3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</row>
    <row r="58" spans="1:18" ht="16" thickBot="1">
      <c r="A58" s="22"/>
      <c r="B58" s="24"/>
      <c r="C58" s="23" t="s">
        <v>93</v>
      </c>
      <c r="D58" s="31">
        <f>ANSARI!D17/ANSARI!$D$87</f>
        <v>0.49281692819335471</v>
      </c>
      <c r="E58" s="31">
        <f>ANSARI!E17/ANSARI!E$87</f>
        <v>0.48934831139767027</v>
      </c>
      <c r="F58" s="31">
        <f>ANSARI!F17/ANSARI!F$87</f>
        <v>0.47439680241718185</v>
      </c>
      <c r="G58" s="31">
        <f>ANSARI!G17/ANSARI!G$87</f>
        <v>0.45599304031793425</v>
      </c>
      <c r="H58" s="31">
        <f>ANSARI!H17/ANSARI!H$87</f>
        <v>0.44660101323546186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</row>
    <row r="59" spans="1:18" ht="16" thickBot="1">
      <c r="A59" s="22"/>
      <c r="B59" s="24"/>
      <c r="C59" s="23" t="s">
        <v>15</v>
      </c>
      <c r="D59" s="31">
        <f>ANSARI!D18/ANSARI!$D$87</f>
        <v>0</v>
      </c>
      <c r="E59" s="31">
        <f>ANSARI!E18/ANSARI!E$87</f>
        <v>0</v>
      </c>
      <c r="F59" s="31">
        <f>ANSARI!F18/ANSARI!F$87</f>
        <v>0</v>
      </c>
      <c r="G59" s="31">
        <f>ANSARI!G18/ANSARI!G$87</f>
        <v>0</v>
      </c>
      <c r="H59" s="31">
        <f>ANSARI!H18/ANSARI!H$87</f>
        <v>0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</row>
    <row r="60" spans="1:18" ht="16" thickBot="1">
      <c r="A60" s="22"/>
      <c r="B60" s="24"/>
      <c r="C60" s="23" t="s">
        <v>16</v>
      </c>
      <c r="D60" s="31">
        <f>ANSARI!D19/ANSARI!$D$87</f>
        <v>0</v>
      </c>
      <c r="E60" s="31">
        <f>ANSARI!E19/ANSARI!E$87</f>
        <v>0</v>
      </c>
      <c r="F60" s="31">
        <f>ANSARI!F19/ANSARI!F$87</f>
        <v>0</v>
      </c>
      <c r="G60" s="31">
        <f>ANSARI!G19/ANSARI!G$87</f>
        <v>0</v>
      </c>
      <c r="H60" s="31">
        <f>ANSARI!H19/ANSARI!H$87</f>
        <v>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</row>
    <row r="61" spans="1:18" ht="16" thickBot="1">
      <c r="A61" s="22"/>
      <c r="B61" s="24"/>
      <c r="C61" s="23" t="s">
        <v>17</v>
      </c>
      <c r="D61" s="31">
        <f>ANSARI!D20/ANSARI!$D$87</f>
        <v>0</v>
      </c>
      <c r="E61" s="31">
        <f>ANSARI!E20/ANSARI!E$87</f>
        <v>0</v>
      </c>
      <c r="F61" s="31">
        <f>ANSARI!F20/ANSARI!F$87</f>
        <v>0</v>
      </c>
      <c r="G61" s="31">
        <f>ANSARI!G20/ANSARI!G$87</f>
        <v>0</v>
      </c>
      <c r="H61" s="31">
        <f>ANSARI!H20/ANSARI!H$87</f>
        <v>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</row>
    <row r="62" spans="1:18" ht="16" thickBot="1">
      <c r="A62" s="22"/>
      <c r="B62" s="24"/>
      <c r="C62" s="23" t="s">
        <v>18</v>
      </c>
      <c r="D62" s="31">
        <f>ANSARI!D21/ANSARI!$D$87</f>
        <v>1.3983245576390594E-4</v>
      </c>
      <c r="E62" s="31">
        <f>ANSARI!E21/ANSARI!E$87</f>
        <v>1.4040299353038573E-4</v>
      </c>
      <c r="F62" s="31">
        <f>ANSARI!F21/ANSARI!F$87</f>
        <v>1.3762320499016961E-4</v>
      </c>
      <c r="G62" s="31">
        <f>ANSARI!G21/ANSARI!G$87</f>
        <v>1.3386501298826101E-4</v>
      </c>
      <c r="H62" s="31">
        <f>ANSARI!H21/ANSARI!H$87</f>
        <v>1.3247777891418558E-4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</row>
    <row r="63" spans="1:18" ht="16" thickBot="1">
      <c r="A63" s="22"/>
      <c r="B63" s="24"/>
      <c r="C63" s="23" t="s">
        <v>19</v>
      </c>
      <c r="D63" s="31">
        <f>ANSARI!D22/ANSARI!$D$87</f>
        <v>0</v>
      </c>
      <c r="E63" s="31">
        <f>ANSARI!E22/ANSARI!E$87</f>
        <v>0</v>
      </c>
      <c r="F63" s="31">
        <f>ANSARI!F22/ANSARI!F$87</f>
        <v>0</v>
      </c>
      <c r="G63" s="31">
        <f>ANSARI!G22/ANSARI!G$87</f>
        <v>0</v>
      </c>
      <c r="H63" s="31">
        <f>ANSARI!H22/ANSARI!H$87</f>
        <v>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</row>
    <row r="64" spans="1:18" ht="16" thickBot="1">
      <c r="A64" s="22"/>
      <c r="B64" s="26"/>
      <c r="C64" s="27" t="s">
        <v>20</v>
      </c>
      <c r="D64" s="31">
        <f>ANSARI!D23/ANSARI!$D$87</f>
        <v>5.7037642875154481E-5</v>
      </c>
      <c r="E64" s="31">
        <f>ANSARI!E23/ANSARI!E$87</f>
        <v>3.8371141254704814E-5</v>
      </c>
      <c r="F64" s="31">
        <f>ANSARI!F23/ANSARI!F$87</f>
        <v>2.5199647972439845E-5</v>
      </c>
      <c r="G64" s="31">
        <f>ANSARI!G23/ANSARI!G$87</f>
        <v>1.6449055759268935E-5</v>
      </c>
      <c r="H64" s="31">
        <f>ANSARI!H23/ANSARI!H$87</f>
        <v>1.0923794219278033E-5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</row>
    <row r="65" spans="1:26" ht="16" thickBot="1">
      <c r="A65" s="22"/>
      <c r="B65" s="29" t="s">
        <v>154</v>
      </c>
      <c r="C65" s="30" t="s">
        <v>22</v>
      </c>
      <c r="D65" s="31">
        <f>ANSARI!D31/ANSARI!D$31</f>
        <v>1</v>
      </c>
      <c r="E65" s="31">
        <f>ANSARI!E31/ANSARI!E$31</f>
        <v>1</v>
      </c>
      <c r="F65" s="31">
        <f>ANSARI!F31/ANSARI!F$31</f>
        <v>1</v>
      </c>
      <c r="G65" s="31">
        <f>ANSARI!G31/ANSARI!G$31</f>
        <v>1</v>
      </c>
      <c r="H65" s="31">
        <f>ANSARI!H31/ANSARI!H$31</f>
        <v>1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</row>
    <row r="66" spans="1:26" ht="16" thickBot="1">
      <c r="A66" s="22"/>
      <c r="B66" s="24"/>
      <c r="C66" s="23" t="s">
        <v>24</v>
      </c>
      <c r="D66" s="31">
        <f>ANSARI!D32/ANSARI!D$31</f>
        <v>0.85600732806802449</v>
      </c>
      <c r="E66" s="31">
        <f>ANSARI!E32/ANSARI!E$31</f>
        <v>0.675344128551296</v>
      </c>
      <c r="F66" s="31">
        <f>ANSARI!F32/ANSARI!F$31</f>
        <v>0.67931659861975779</v>
      </c>
      <c r="G66" s="31">
        <f>ANSARI!G32/ANSARI!G$31</f>
        <v>0.74179854136554157</v>
      </c>
      <c r="H66" s="31">
        <f>ANSARI!H32/ANSARI!H$31</f>
        <v>0.70865827647298774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</row>
    <row r="67" spans="1:26" ht="16" thickBot="1">
      <c r="A67" s="22"/>
      <c r="B67" s="24"/>
      <c r="C67" s="23" t="s">
        <v>62</v>
      </c>
      <c r="D67" s="31">
        <f>ANSARI!D33/ANSARI!D$31</f>
        <v>0.11506063662627483</v>
      </c>
      <c r="E67" s="31">
        <f>ANSARI!E33/ANSARI!E$31</f>
        <v>0.26759637944165665</v>
      </c>
      <c r="F67" s="31">
        <f>ANSARI!F33/ANSARI!F$31</f>
        <v>0.1312417623388385</v>
      </c>
      <c r="G67" s="31">
        <f>ANSARI!G33/ANSARI!G$31</f>
        <v>5.8408446597725823E-2</v>
      </c>
      <c r="H67" s="31">
        <f>ANSARI!H33/ANSARI!H$31</f>
        <v>7.4297016468803198E-2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</row>
    <row r="68" spans="1:26" ht="16" thickBot="1">
      <c r="A68" s="22"/>
      <c r="B68" s="24"/>
      <c r="C68" s="23" t="s">
        <v>49</v>
      </c>
      <c r="D68" s="31">
        <f>ANSARI!D34/ANSARI!D$31</f>
        <v>5.0976020645520041E-3</v>
      </c>
      <c r="E68" s="31">
        <f>ANSARI!E34/ANSARI!E$31</f>
        <v>1.3238029344870537E-2</v>
      </c>
      <c r="F68" s="31">
        <f>ANSARI!F34/ANSARI!F$31</f>
        <v>1.003604492749624E-2</v>
      </c>
      <c r="G68" s="31">
        <f>ANSARI!G34/ANSARI!G$31</f>
        <v>1.4516038982388447E-3</v>
      </c>
      <c r="H68" s="31">
        <f>ANSARI!H34/ANSARI!H$31</f>
        <v>1.5332348908025475E-2</v>
      </c>
      <c r="I68" s="18"/>
      <c r="J68" s="18"/>
      <c r="K68" s="18"/>
      <c r="L68" s="18"/>
      <c r="M68" s="18"/>
      <c r="N68" s="18"/>
      <c r="O68" s="18"/>
      <c r="P68" s="18"/>
      <c r="Q68" s="18"/>
      <c r="R68" s="18"/>
    </row>
    <row r="69" spans="1:26" ht="16" thickBot="1">
      <c r="A69" s="22"/>
      <c r="B69" s="24"/>
      <c r="C69" s="23" t="s">
        <v>53</v>
      </c>
      <c r="D69" s="31">
        <f>ANSARI!D35/ANSARI!D$31</f>
        <v>4.9415581457656635E-2</v>
      </c>
      <c r="E69" s="31">
        <f>ANSARI!E35/ANSARI!E$31</f>
        <v>0</v>
      </c>
      <c r="F69" s="31">
        <f>ANSARI!F35/ANSARI!F$31</f>
        <v>0</v>
      </c>
      <c r="G69" s="31">
        <f>ANSARI!G35/ANSARI!G$31</f>
        <v>0</v>
      </c>
      <c r="H69" s="31">
        <f>ANSARI!H35/ANSARI!H$31</f>
        <v>0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</row>
    <row r="70" spans="1:26" ht="16" thickBot="1">
      <c r="A70" s="22"/>
      <c r="B70" s="24"/>
      <c r="C70" s="23" t="s">
        <v>50</v>
      </c>
      <c r="D70" s="31">
        <f>ANSARI!D36/ANSARI!D$31</f>
        <v>0</v>
      </c>
      <c r="E70" s="31">
        <f>ANSARI!E36/ANSARI!E$31</f>
        <v>0</v>
      </c>
      <c r="F70" s="31">
        <f>ANSARI!F36/ANSARI!F$31</f>
        <v>0</v>
      </c>
      <c r="G70" s="31">
        <f>ANSARI!G36/ANSARI!G$31</f>
        <v>0</v>
      </c>
      <c r="H70" s="31">
        <f>ANSARI!H36/ANSARI!H$31</f>
        <v>0</v>
      </c>
      <c r="I70" s="18"/>
      <c r="J70" s="18"/>
      <c r="K70" s="18"/>
      <c r="L70" s="18"/>
      <c r="M70" s="18"/>
      <c r="N70" s="18"/>
      <c r="O70" s="18"/>
      <c r="P70" s="18"/>
      <c r="Q70" s="18"/>
      <c r="R70" s="18"/>
    </row>
    <row r="71" spans="1:26" ht="16" thickBot="1">
      <c r="A71" s="22"/>
      <c r="B71" s="24"/>
      <c r="C71" s="23" t="s">
        <v>89</v>
      </c>
      <c r="D71" s="31">
        <f>ANSARI!D37/ANSARI!D$31</f>
        <v>1.3373099900517409</v>
      </c>
      <c r="E71" s="31">
        <f>ANSARI!E37/ANSARI!E$31</f>
        <v>3.4601721272299089</v>
      </c>
      <c r="F71" s="31">
        <f>ANSARI!F37/ANSARI!F$31</f>
        <v>1.0395718101922424</v>
      </c>
      <c r="G71" s="31">
        <f>ANSARI!G37/ANSARI!G$31</f>
        <v>0.61191307746229862</v>
      </c>
      <c r="H71" s="31">
        <f>ANSARI!H37/ANSARI!H$31</f>
        <v>1.4353688659691397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</row>
    <row r="72" spans="1:26" ht="16" thickBot="1">
      <c r="A72" s="22"/>
      <c r="B72" s="24"/>
      <c r="C72" s="23" t="s">
        <v>108</v>
      </c>
      <c r="D72" s="31">
        <f>ANSARI!D38/ANSARI!D$31</f>
        <v>0.20711340600730674</v>
      </c>
      <c r="E72" s="31">
        <f>ANSARI!E38/ANSARI!E$31</f>
        <v>0.94154681657320227</v>
      </c>
      <c r="F72" s="31">
        <f>ANSARI!F38/ANSARI!F$31</f>
        <v>0.24108438311965413</v>
      </c>
      <c r="G72" s="31">
        <f>ANSARI!G38/ANSARI!G$31</f>
        <v>0.12577672181520794</v>
      </c>
      <c r="H72" s="31">
        <f>ANSARI!H38/ANSARI!H$31</f>
        <v>0.18791685670289773</v>
      </c>
      <c r="I72" s="18"/>
      <c r="J72" s="18"/>
      <c r="K72" s="18"/>
      <c r="L72" s="18"/>
      <c r="M72" s="18"/>
      <c r="N72" s="18"/>
      <c r="O72" s="18"/>
      <c r="P72" s="18"/>
      <c r="Q72" s="18"/>
      <c r="R72" s="18"/>
    </row>
    <row r="73" spans="1:26" ht="16" thickBot="1">
      <c r="A73" s="19"/>
      <c r="B73" s="20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6" thickBot="1">
      <c r="A74" s="19"/>
      <c r="B74" s="20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" thickBot="1">
      <c r="A75" s="18"/>
      <c r="B75" s="20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" thickBot="1">
      <c r="A76" s="18"/>
      <c r="B76" s="20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" thickBo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" thickBo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" thickBo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" thickBo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" thickBo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" thickBo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" thickBo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" thickBo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" thickBo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" thickBo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" thickBo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" thickBo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" thickBo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" thickBo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" thickBo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" thickBo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" thickBo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" thickBo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" thickBo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" thickBo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" thickBo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" thickBo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" thickBo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" thickBo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" thickBo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" thickBo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" thickBo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" thickBo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" thickBo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" thickBo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" thickBo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" thickBo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" thickBo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" thickBo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" thickBo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" thickBo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" thickBo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" thickBo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" thickBo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" thickBo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" thickBo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" thickBo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" thickBo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" thickBo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" thickBo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" thickBo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" thickBo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" thickBo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" thickBo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" thickBo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" thickBo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" thickBo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" thickBo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" thickBo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" thickBo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" thickBo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" thickBo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" thickBo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" thickBo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" thickBo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" thickBo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" thickBo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" thickBo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" thickBo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" thickBo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" thickBo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" thickBo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" thickBo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" thickBo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" thickBo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" thickBo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" thickBo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" thickBo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" thickBo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" thickBo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" thickBo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" thickBo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" thickBo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" thickBo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" thickBo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" thickBo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" thickBo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" thickBo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" thickBo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" thickBo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" thickBo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" thickBo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" thickBo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" thickBo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" thickBo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" thickBo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" thickBo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" thickBo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" thickBo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" thickBo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" thickBo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" thickBo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" thickBo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" thickBo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" thickBo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" thickBo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" thickBo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" thickBo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" thickBo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" thickBo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" thickBo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" thickBo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" thickBo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" thickBo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" thickBo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" thickBo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" thickBo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" thickBo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" thickBo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" thickBo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" thickBo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" thickBo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" thickBo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" thickBo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" thickBo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" thickBo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" thickBo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" thickBo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" thickBo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" thickBo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" thickBo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" thickBo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" thickBo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" thickBo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" thickBo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" thickBo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" thickBo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" thickBo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" thickBo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" thickBo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" thickBo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" thickBo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" thickBo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" thickBo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" thickBo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" thickBo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" thickBo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" thickBo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" thickBo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" thickBo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" thickBo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" thickBo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" thickBo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" thickBo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" thickBo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" thickBo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" thickBo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" thickBo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" thickBo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" thickBo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" thickBo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" thickBo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" thickBo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" thickBo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" thickBo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" thickBo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" thickBo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" thickBo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" thickBo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" thickBo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" thickBo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" thickBo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" thickBo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" thickBo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" thickBo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" thickBo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" thickBo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" thickBo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" thickBo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" thickBo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" thickBo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" thickBo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" thickBo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" thickBo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" thickBo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" thickBo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" thickBo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" thickBo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" thickBo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" thickBo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" thickBo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" thickBo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" thickBo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" thickBo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" thickBo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" thickBo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" thickBo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" thickBo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" thickBo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" thickBo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" thickBo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" thickBo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" thickBo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" thickBo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" thickBo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" thickBo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" thickBo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" thickBo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" thickBo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" thickBo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" thickBo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" thickBo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" thickBo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" thickBo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" thickBo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" thickBo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" thickBo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" thickBo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" thickBo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" thickBo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" thickBo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" thickBo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" thickBo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" thickBo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" thickBo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" thickBo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" thickBo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" thickBo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" thickBo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" thickBo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" thickBo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" thickBo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" thickBo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" thickBo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" thickBo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" thickBo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" thickBo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" thickBo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" thickBo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" thickBo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" thickBo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" thickBo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" thickBo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" thickBo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" thickBo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" thickBo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" thickBo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" thickBo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" thickBo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" thickBo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" thickBo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" thickBo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" thickBo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" thickBo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" thickBo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" thickBo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" thickBo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" thickBo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" thickBo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" thickBo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" thickBo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" thickBo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" thickBo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" thickBo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" thickBo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" thickBo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" thickBo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" thickBo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" thickBo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" thickBo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" thickBo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" thickBo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" thickBo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" thickBo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" thickBo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" thickBo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" thickBo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" thickBo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" thickBo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" thickBo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" thickBo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" thickBo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" thickBo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" thickBo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" thickBo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" thickBo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" thickBo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" thickBo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" thickBo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" thickBo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" thickBo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" thickBo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" thickBo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" thickBo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" thickBo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" thickBo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" thickBo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" thickBo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" thickBo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" thickBo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" thickBo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" thickBo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" thickBo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" thickBo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" thickBo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" thickBo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" thickBo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" thickBo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" thickBo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" thickBo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" thickBo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" thickBo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" thickBo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" thickBo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" thickBo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" thickBo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" thickBo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" thickBo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" thickBo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" thickBo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" thickBo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" thickBo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" thickBo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" thickBo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" thickBo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" thickBo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" thickBo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" thickBo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" thickBo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" thickBo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" thickBo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" thickBo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" thickBo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" thickBo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" thickBo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" thickBo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" thickBo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" thickBo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" thickBo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" thickBo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" thickBo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" thickBo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" thickBo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" thickBo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" thickBo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" thickBo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" thickBo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" thickBo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" thickBo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" thickBo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" thickBo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" thickBo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" thickBo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" thickBo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" thickBo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" thickBo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" thickBo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" thickBo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" thickBo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" thickBo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" thickBo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" thickBo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" thickBo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" thickBo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" thickBo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" thickBo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" thickBo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" thickBo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" thickBo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" thickBo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" thickBo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" thickBo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" thickBo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" thickBo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" thickBo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" thickBo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" thickBo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" thickBo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" thickBo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" thickBo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" thickBo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" thickBo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" thickBo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" thickBo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" thickBo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" thickBo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" thickBo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" thickBo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" thickBo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" thickBo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" thickBo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" thickBo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" thickBo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" thickBo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" thickBo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" thickBo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" thickBo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" thickBo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" thickBo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" thickBo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" thickBo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" thickBo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" thickBo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" thickBo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" thickBo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" thickBo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" thickBo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" thickBo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" thickBo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" thickBo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" thickBo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" thickBo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" thickBo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" thickBo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" thickBo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" thickBo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" thickBo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" thickBo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" thickBo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" thickBo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" thickBo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" thickBo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" thickBo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" thickBo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" thickBo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" thickBo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" thickBo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" thickBo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" thickBo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" thickBo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" thickBo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" thickBo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" thickBo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" thickBo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" thickBo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" thickBo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" thickBo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" thickBo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" thickBo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" thickBo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" thickBo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" thickBo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" thickBo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" thickBo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" thickBo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" thickBo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" thickBo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" thickBo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" thickBo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" thickBo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" thickBo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" thickBo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" thickBo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" thickBo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" thickBo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" thickBo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" thickBo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" thickBo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" thickBo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" thickBo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" thickBo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" thickBo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" thickBo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" thickBo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" thickBo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" thickBo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" thickBo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" thickBo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" thickBo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" thickBo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" thickBo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" thickBo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" thickBo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" thickBo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" thickBo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" thickBo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" thickBo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" thickBo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" thickBo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" thickBo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" thickBo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" thickBo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" thickBo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" thickBo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" thickBo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" thickBo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" thickBo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" thickBo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" thickBo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" thickBo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" thickBo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" thickBo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" thickBo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" thickBo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" thickBo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" thickBo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" thickBo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" thickBo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" thickBo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" thickBo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" thickBo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" thickBo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" thickBo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" thickBo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" thickBo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" thickBo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" thickBo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" thickBo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" thickBo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" thickBo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" thickBo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" thickBo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" thickBo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" thickBo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" thickBo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" thickBo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" thickBo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" thickBo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" thickBo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" thickBo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" thickBo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" thickBo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" thickBo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" thickBo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" thickBo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" thickBo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" thickBo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" thickBo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" thickBo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" thickBo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" thickBo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" thickBo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" thickBo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" thickBo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" thickBo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" thickBo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" thickBo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" thickBo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" thickBo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" thickBo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" thickBo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" thickBo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" thickBo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" thickBo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" thickBo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" thickBo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" thickBo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" thickBo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" thickBo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" thickBo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" thickBo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" thickBo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" thickBo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" thickBo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" thickBo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" thickBo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" thickBo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" thickBo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" thickBo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" thickBo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" thickBo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" thickBo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" thickBo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" thickBo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" thickBo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" thickBo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" thickBo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" thickBo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" thickBo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" thickBo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" thickBo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" thickBo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" thickBo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" thickBo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" thickBo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" thickBo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" thickBo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" thickBo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" thickBo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" thickBo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" thickBo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" thickBo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" thickBo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" thickBo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" thickBo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" thickBo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" thickBo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" thickBo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" thickBo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" thickBo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" thickBo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" thickBo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" thickBo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" thickBo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" thickBo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" thickBo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" thickBo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" thickBo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" thickBo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" thickBo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" thickBo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" thickBo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" thickBo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" thickBo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" thickBo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" thickBo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" thickBo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" thickBo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" thickBo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" thickBo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" thickBo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" thickBo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" thickBo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" thickBo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" thickBo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" thickBo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" thickBo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" thickBo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" thickBo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" thickBo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" thickBo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" thickBo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" thickBo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" thickBo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" thickBo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" thickBo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" thickBo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" thickBo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" thickBo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" thickBo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" thickBo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" thickBo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" thickBo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" thickBo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" thickBo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" thickBo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" thickBo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" thickBo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" thickBo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" thickBo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" thickBo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" thickBo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" thickBo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" thickBo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" thickBo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" thickBo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" thickBo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" thickBo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" thickBo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" thickBo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" thickBo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" thickBo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" thickBo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" thickBo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" thickBo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" thickBo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" thickBo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" thickBo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" thickBo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" thickBo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" thickBo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" thickBo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" thickBo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" thickBo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" thickBo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" thickBo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" thickBo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" thickBo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" thickBo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" thickBo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" thickBo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" thickBo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" thickBo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" thickBo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" thickBo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" thickBo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" thickBo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" thickBo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" thickBo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" thickBo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" thickBo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" thickBo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" thickBo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" thickBo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" thickBo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" thickBo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" thickBo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" thickBo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" thickBo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" thickBo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" thickBo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" thickBo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" thickBo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" thickBo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" thickBo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" thickBo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" thickBo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" thickBo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" thickBo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" thickBo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" thickBo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" thickBo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" thickBo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" thickBo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" thickBo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" thickBo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" thickBo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" thickBo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" thickBo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" thickBo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" thickBo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" thickBo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" thickBo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" thickBo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" thickBo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" thickBo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" thickBo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" thickBo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" thickBo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" thickBo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" thickBo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" thickBo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" thickBo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" thickBo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" thickBo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" thickBo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" thickBo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" thickBo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" thickBo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" thickBo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" thickBo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" thickBo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" thickBo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" thickBo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" thickBo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" thickBo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" thickBo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" thickBo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" thickBo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" thickBo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" thickBo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" thickBo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" thickBo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" thickBo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" thickBo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" thickBo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" thickBo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" thickBo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" thickBo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" thickBo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" thickBo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" thickBo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" thickBo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" thickBo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" thickBo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" thickBo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" thickBo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" thickBo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" thickBo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" thickBo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" thickBo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" thickBo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" thickBo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" thickBo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" thickBo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" thickBo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" thickBo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" thickBo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" thickBo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" thickBo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" thickBo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" thickBo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" thickBo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" thickBo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" thickBo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" thickBo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" thickBo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" thickBo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" thickBo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" thickBo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" thickBo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" thickBo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" thickBo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" thickBo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" thickBo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" thickBo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" thickBo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" thickBo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" thickBo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" thickBo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" thickBo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" thickBo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" thickBo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" thickBo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" thickBo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" thickBo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" thickBo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" thickBo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" thickBo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" thickBo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" thickBo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" thickBo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" thickBo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" thickBo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" thickBo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" thickBo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" thickBo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" thickBo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" thickBo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" thickBo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" thickBo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" thickBo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" thickBo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" thickBo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" thickBo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" thickBo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" thickBo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" thickBo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" thickBo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" thickBo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" thickBo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" thickBo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" thickBo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" thickBo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" thickBo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" thickBo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" thickBo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" thickBo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" thickBo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" thickBo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" thickBo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" thickBo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" thickBo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" thickBo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" thickBo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" thickBo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" thickBo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" thickBo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" thickBo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" thickBo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" thickBo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" thickBo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" thickBo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" thickBo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" thickBo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" thickBo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" thickBo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" thickBo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" thickBo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" thickBo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" thickBo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" thickBo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" thickBo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" thickBo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" thickBo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" thickBo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" thickBo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" thickBo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" thickBo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" thickBo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" thickBo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" thickBo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" thickBo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" thickBo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" thickBo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" thickBo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" thickBo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" thickBo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" thickBo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" thickBo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" thickBo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" thickBo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" thickBo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" thickBo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" thickBo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" thickBo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" thickBo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" thickBo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" thickBo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" thickBo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" thickBo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" thickBo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" thickBo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" thickBo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" thickBo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" thickBo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" thickBo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" thickBo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" thickBo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" thickBo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" thickBo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" thickBo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" thickBo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" thickBo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" thickBo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" thickBo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" thickBo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" thickBo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" thickBo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" thickBo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" thickBo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" thickBo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" thickBo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" thickBo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" thickBo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" thickBo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" thickBo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" thickBo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" thickBo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" thickBo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" thickBo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" thickBo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" thickBo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" thickBo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" thickBo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" thickBo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" thickBo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" thickBo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" thickBo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" thickBo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" thickBo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" thickBo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" thickBo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" thickBo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" thickBo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" thickBo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5" thickBo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5" thickBo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5" thickBo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spans="1:26" ht="15" thickBot="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 spans="1:26" ht="15" thickBot="1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 spans="1:26" ht="15" thickBot="1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ANSARI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Hassan</dc:creator>
  <cp:lastModifiedBy>USER</cp:lastModifiedBy>
  <cp:lastPrinted>2016-09-01T09:58:44Z</cp:lastPrinted>
  <dcterms:created xsi:type="dcterms:W3CDTF">2015-03-06T15:34:47Z</dcterms:created>
  <dcterms:modified xsi:type="dcterms:W3CDTF">2024-11-18T10:07:19Z</dcterms:modified>
</cp:coreProperties>
</file>