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 codeName="ThisWorkbook"/>
  <mc:AlternateContent xmlns:mc="http://schemas.openxmlformats.org/markup-compatibility/2006">
    <mc:Choice Requires="x15">
      <x15ac:absPath xmlns:x15ac="http://schemas.microsoft.com/office/spreadsheetml/2010/11/ac" url="D:\3rd semster\business finance\project\"/>
    </mc:Choice>
  </mc:AlternateContent>
  <xr:revisionPtr revIDLastSave="0" documentId="13_ncr:1_{79F4CEAD-7192-4156-9DF0-F339BF48FE08}" xr6:coauthVersionLast="36" xr6:coauthVersionMax="36" xr10:uidLastSave="{00000000-0000-0000-0000-000000000000}"/>
  <bookViews>
    <workbookView xWindow="-110" yWindow="-110" windowWidth="23260" windowHeight="13180" tabRatio="865" xr2:uid="{00000000-000D-0000-FFFF-FFFF00000000}"/>
  </bookViews>
  <sheets>
    <sheet name="Nishat" sheetId="13" r:id="rId1"/>
    <sheet name="Ratios" sheetId="14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14" l="1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F20" i="14"/>
  <c r="G20" i="14"/>
  <c r="H20" i="14"/>
  <c r="H108" i="13"/>
  <c r="G108" i="13"/>
  <c r="F108" i="13"/>
  <c r="E108" i="13"/>
  <c r="D108" i="13"/>
  <c r="D107" i="13"/>
  <c r="E107" i="13"/>
  <c r="F107" i="13"/>
  <c r="G107" i="13"/>
  <c r="H107" i="13"/>
  <c r="F84" i="13" l="1"/>
  <c r="E84" i="13"/>
  <c r="D84" i="13"/>
  <c r="H83" i="13"/>
  <c r="G83" i="13"/>
  <c r="F83" i="13"/>
  <c r="E83" i="13"/>
  <c r="D83" i="13"/>
  <c r="H81" i="13"/>
  <c r="G81" i="13"/>
  <c r="F81" i="13"/>
  <c r="E81" i="13"/>
  <c r="D81" i="13"/>
  <c r="H80" i="13"/>
  <c r="G80" i="13"/>
  <c r="F80" i="13"/>
  <c r="E80" i="13"/>
  <c r="D80" i="13"/>
  <c r="H78" i="13"/>
  <c r="G78" i="13"/>
  <c r="F78" i="13"/>
  <c r="E78" i="13"/>
  <c r="D78" i="13"/>
  <c r="H77" i="13"/>
  <c r="G77" i="13"/>
  <c r="F77" i="13"/>
  <c r="E77" i="13"/>
  <c r="D77" i="13"/>
  <c r="H76" i="13"/>
  <c r="G76" i="13"/>
  <c r="F76" i="13"/>
  <c r="E76" i="13"/>
  <c r="D76" i="13"/>
  <c r="H75" i="13"/>
  <c r="G75" i="13"/>
  <c r="F75" i="13"/>
  <c r="E75" i="13"/>
  <c r="D75" i="13"/>
  <c r="H73" i="13"/>
  <c r="G73" i="13"/>
  <c r="F73" i="13"/>
  <c r="E73" i="13"/>
  <c r="H72" i="13"/>
  <c r="G72" i="13"/>
  <c r="F72" i="13"/>
  <c r="E72" i="13"/>
  <c r="D72" i="13"/>
  <c r="H71" i="13"/>
  <c r="G71" i="13"/>
  <c r="F71" i="13"/>
  <c r="E71" i="13"/>
  <c r="D71" i="13"/>
  <c r="H70" i="13"/>
  <c r="G70" i="13"/>
  <c r="F70" i="13"/>
  <c r="E70" i="13"/>
  <c r="D70" i="13"/>
  <c r="H69" i="13"/>
  <c r="G69" i="13"/>
  <c r="F69" i="13"/>
  <c r="E69" i="13"/>
  <c r="D69" i="13"/>
  <c r="I68" i="13"/>
  <c r="H68" i="13"/>
  <c r="G68" i="13"/>
  <c r="F68" i="13"/>
  <c r="E68" i="13"/>
  <c r="D68" i="13"/>
  <c r="H67" i="13"/>
  <c r="H74" i="13" s="1"/>
  <c r="H79" i="13" s="1"/>
  <c r="H82" i="13" s="1"/>
  <c r="G67" i="13"/>
  <c r="G74" i="13" s="1"/>
  <c r="G79" i="13" s="1"/>
  <c r="G82" i="13" s="1"/>
  <c r="F67" i="13"/>
  <c r="F74" i="13" s="1"/>
  <c r="F79" i="13" s="1"/>
  <c r="F82" i="13" s="1"/>
  <c r="E67" i="13"/>
  <c r="E74" i="13" s="1"/>
  <c r="E79" i="13" s="1"/>
  <c r="E82" i="13" s="1"/>
  <c r="D67" i="13"/>
  <c r="D74" i="13" s="1"/>
  <c r="D79" i="13" s="1"/>
  <c r="D82" i="13" s="1"/>
  <c r="H65" i="13"/>
  <c r="G65" i="13"/>
  <c r="F65" i="13"/>
  <c r="E65" i="13"/>
  <c r="D65" i="13"/>
  <c r="H64" i="13"/>
  <c r="G64" i="13"/>
  <c r="F64" i="13"/>
  <c r="E64" i="13"/>
  <c r="D64" i="13"/>
  <c r="H63" i="13"/>
  <c r="G63" i="13"/>
  <c r="F63" i="13"/>
  <c r="E63" i="13"/>
  <c r="D63" i="13"/>
  <c r="H62" i="13"/>
  <c r="H66" i="13" s="1"/>
  <c r="G62" i="13"/>
  <c r="G66" i="13" s="1"/>
  <c r="F62" i="13"/>
  <c r="F66" i="13" s="1"/>
  <c r="E62" i="13"/>
  <c r="E66" i="13" s="1"/>
  <c r="D62" i="13"/>
  <c r="D66" i="13" s="1"/>
  <c r="H60" i="13"/>
  <c r="G60" i="13"/>
  <c r="F60" i="13"/>
  <c r="E60" i="13"/>
  <c r="D60" i="13"/>
  <c r="H59" i="13"/>
  <c r="G59" i="13"/>
  <c r="F59" i="13"/>
  <c r="E59" i="13"/>
  <c r="D59" i="13"/>
  <c r="H58" i="13"/>
  <c r="G58" i="13"/>
  <c r="F58" i="13"/>
  <c r="E58" i="13"/>
  <c r="D58" i="13"/>
  <c r="H55" i="13"/>
  <c r="G55" i="13"/>
  <c r="F55" i="13"/>
  <c r="E55" i="13"/>
  <c r="D55" i="13"/>
  <c r="H54" i="13"/>
  <c r="G54" i="13"/>
  <c r="F54" i="13"/>
  <c r="E54" i="13"/>
  <c r="D54" i="13"/>
  <c r="H53" i="13"/>
  <c r="G53" i="13"/>
  <c r="F53" i="13"/>
  <c r="E53" i="13"/>
  <c r="D53" i="13"/>
  <c r="D57" i="13" s="1"/>
  <c r="H52" i="13"/>
  <c r="H57" i="13" s="1"/>
  <c r="G52" i="13"/>
  <c r="G57" i="13" s="1"/>
  <c r="F52" i="13"/>
  <c r="F57" i="13" s="1"/>
  <c r="E52" i="13"/>
  <c r="E57" i="13" s="1"/>
  <c r="H50" i="13"/>
  <c r="G50" i="13"/>
  <c r="F50" i="13"/>
  <c r="E50" i="13"/>
  <c r="D50" i="13"/>
  <c r="D49" i="13"/>
  <c r="G48" i="13"/>
  <c r="D48" i="13"/>
  <c r="H47" i="13"/>
  <c r="G47" i="13"/>
  <c r="E47" i="13"/>
  <c r="D47" i="13"/>
  <c r="H46" i="13"/>
  <c r="G46" i="13"/>
  <c r="F46" i="13"/>
  <c r="E46" i="13"/>
  <c r="D46" i="13"/>
  <c r="H45" i="13"/>
  <c r="H51" i="13" s="1"/>
  <c r="G45" i="13"/>
  <c r="G51" i="13" s="1"/>
  <c r="F45" i="13"/>
  <c r="F51" i="13" s="1"/>
  <c r="E45" i="13"/>
  <c r="E51" i="13" s="1"/>
  <c r="D45" i="13"/>
  <c r="D51" i="13" s="1"/>
  <c r="H43" i="13"/>
  <c r="G43" i="13"/>
  <c r="F43" i="13"/>
  <c r="E43" i="13"/>
  <c r="D43" i="13"/>
  <c r="H42" i="13"/>
  <c r="G42" i="13"/>
  <c r="F42" i="13"/>
  <c r="E42" i="13"/>
  <c r="D42" i="13"/>
  <c r="H41" i="13"/>
  <c r="G41" i="13"/>
  <c r="F41" i="13"/>
  <c r="E41" i="13"/>
  <c r="D41" i="13"/>
  <c r="H40" i="13"/>
  <c r="H44" i="13" s="1"/>
  <c r="G40" i="13"/>
  <c r="G44" i="13" s="1"/>
  <c r="F40" i="13"/>
  <c r="F44" i="13" s="1"/>
  <c r="E40" i="13"/>
  <c r="E44" i="13" s="1"/>
  <c r="D40" i="13"/>
  <c r="D44" i="13" s="1"/>
  <c r="H39" i="13"/>
  <c r="G39" i="13"/>
  <c r="F39" i="13"/>
  <c r="E39" i="13"/>
  <c r="D39" i="13"/>
  <c r="F38" i="13"/>
  <c r="E38" i="13"/>
  <c r="H37" i="13"/>
  <c r="G37" i="13"/>
  <c r="F37" i="13"/>
  <c r="E37" i="13"/>
  <c r="D37" i="13"/>
  <c r="H36" i="13"/>
  <c r="G36" i="13"/>
  <c r="F36" i="13"/>
  <c r="E36" i="13"/>
  <c r="D36" i="13"/>
  <c r="H35" i="13"/>
  <c r="H85" i="13" s="1"/>
  <c r="G35" i="13"/>
  <c r="G85" i="13" s="1"/>
  <c r="F35" i="13"/>
  <c r="F85" i="13" s="1"/>
  <c r="E35" i="13"/>
  <c r="E85" i="13" s="1"/>
  <c r="D35" i="13"/>
  <c r="D85" i="13" s="1"/>
  <c r="H34" i="13"/>
  <c r="G34" i="13"/>
  <c r="F34" i="13"/>
  <c r="E34" i="13"/>
  <c r="D34" i="13"/>
  <c r="H33" i="13"/>
  <c r="G33" i="13"/>
  <c r="F33" i="13"/>
  <c r="E33" i="13"/>
  <c r="D33" i="13"/>
  <c r="H32" i="13"/>
  <c r="G32" i="13"/>
  <c r="F32" i="13"/>
  <c r="E32" i="13"/>
  <c r="D32" i="13"/>
  <c r="H31" i="13"/>
  <c r="G31" i="13"/>
  <c r="F31" i="13"/>
  <c r="E31" i="13"/>
  <c r="D31" i="13"/>
  <c r="H30" i="13"/>
  <c r="G30" i="13"/>
  <c r="F30" i="13"/>
  <c r="E30" i="13"/>
  <c r="D30" i="13"/>
  <c r="H29" i="13"/>
  <c r="G29" i="13"/>
  <c r="F29" i="13"/>
  <c r="E29" i="13"/>
  <c r="D29" i="13"/>
  <c r="H28" i="13"/>
  <c r="G28" i="13"/>
  <c r="F28" i="13"/>
  <c r="E28" i="13"/>
  <c r="D28" i="13"/>
  <c r="H27" i="13"/>
  <c r="G27" i="13"/>
  <c r="F27" i="13"/>
  <c r="E27" i="13"/>
  <c r="D27" i="13"/>
  <c r="H26" i="13"/>
  <c r="G26" i="13"/>
  <c r="F26" i="13"/>
  <c r="E26" i="13"/>
  <c r="D26" i="13"/>
  <c r="H25" i="13"/>
  <c r="G25" i="13"/>
  <c r="F25" i="13"/>
  <c r="E25" i="13"/>
  <c r="D25" i="13"/>
  <c r="H24" i="13"/>
  <c r="G24" i="13"/>
  <c r="F24" i="13"/>
  <c r="E24" i="13"/>
  <c r="D24" i="13"/>
  <c r="H23" i="13"/>
  <c r="G23" i="13"/>
  <c r="F23" i="13"/>
  <c r="E23" i="13"/>
  <c r="D23" i="13"/>
  <c r="H21" i="13"/>
  <c r="G21" i="13"/>
  <c r="F21" i="13"/>
  <c r="E21" i="13"/>
  <c r="D21" i="13"/>
  <c r="H20" i="13"/>
  <c r="G20" i="13"/>
  <c r="F20" i="13"/>
  <c r="E20" i="13"/>
  <c r="D20" i="13"/>
  <c r="H19" i="13"/>
  <c r="G19" i="13"/>
  <c r="F19" i="13"/>
  <c r="E19" i="13"/>
  <c r="D19" i="13"/>
  <c r="H17" i="13"/>
  <c r="G17" i="13"/>
  <c r="F17" i="13"/>
  <c r="E17" i="13"/>
  <c r="D17" i="13"/>
  <c r="H16" i="13"/>
  <c r="G16" i="13"/>
  <c r="H15" i="13"/>
  <c r="G15" i="13"/>
  <c r="F15" i="13"/>
  <c r="E15" i="13"/>
  <c r="D15" i="13"/>
  <c r="H14" i="13"/>
  <c r="G14" i="13"/>
  <c r="F14" i="13"/>
  <c r="E14" i="13"/>
  <c r="D14" i="13"/>
  <c r="H13" i="13"/>
  <c r="G13" i="13"/>
  <c r="F13" i="13"/>
  <c r="E13" i="13"/>
  <c r="D13" i="13"/>
  <c r="H12" i="13"/>
  <c r="G12" i="13"/>
  <c r="F12" i="13"/>
  <c r="E12" i="13"/>
  <c r="D12" i="13"/>
  <c r="H11" i="13"/>
  <c r="G11" i="13"/>
  <c r="F11" i="13"/>
  <c r="H10" i="13"/>
  <c r="G10" i="13"/>
  <c r="F10" i="13"/>
  <c r="E10" i="13"/>
  <c r="H9" i="13"/>
  <c r="G9" i="13"/>
  <c r="F9" i="13"/>
  <c r="E9" i="13"/>
  <c r="D9" i="13"/>
  <c r="H7" i="13"/>
  <c r="G7" i="13"/>
  <c r="F7" i="13"/>
  <c r="E7" i="13"/>
  <c r="D7" i="13"/>
  <c r="H6" i="13"/>
  <c r="G6" i="13"/>
  <c r="F6" i="13"/>
  <c r="E6" i="13"/>
  <c r="D6" i="13"/>
  <c r="H5" i="13"/>
  <c r="G5" i="13"/>
  <c r="F5" i="13"/>
  <c r="E5" i="13"/>
  <c r="D5" i="13"/>
  <c r="I73" i="13" l="1"/>
  <c r="I69" i="13" s="1"/>
  <c r="E20" i="14" l="1"/>
  <c r="H74" i="14"/>
  <c r="H75" i="14"/>
  <c r="H76" i="14"/>
  <c r="H77" i="14"/>
  <c r="H78" i="14"/>
  <c r="H79" i="14"/>
  <c r="H80" i="14"/>
  <c r="G74" i="14"/>
  <c r="G75" i="14"/>
  <c r="G76" i="14"/>
  <c r="G77" i="14"/>
  <c r="G78" i="14"/>
  <c r="G79" i="14"/>
  <c r="G80" i="14"/>
  <c r="F74" i="14"/>
  <c r="F75" i="14"/>
  <c r="F76" i="14"/>
  <c r="F77" i="14"/>
  <c r="F78" i="14"/>
  <c r="F79" i="14"/>
  <c r="F80" i="14"/>
  <c r="E74" i="14"/>
  <c r="E75" i="14"/>
  <c r="E76" i="14"/>
  <c r="E77" i="14"/>
  <c r="E78" i="14"/>
  <c r="E79" i="14"/>
  <c r="E80" i="14"/>
  <c r="D74" i="14"/>
  <c r="D75" i="14"/>
  <c r="D76" i="14"/>
  <c r="D77" i="14"/>
  <c r="D78" i="14"/>
  <c r="D79" i="14"/>
  <c r="D80" i="14"/>
  <c r="E73" i="14"/>
  <c r="F73" i="14"/>
  <c r="G73" i="14"/>
  <c r="H73" i="14"/>
  <c r="D73" i="14"/>
  <c r="F19" i="14"/>
  <c r="G19" i="14"/>
  <c r="H19" i="14"/>
  <c r="E19" i="14"/>
  <c r="D2" i="14" l="1"/>
  <c r="D16" i="14" l="1"/>
  <c r="E16" i="14"/>
  <c r="H16" i="14"/>
  <c r="G16" i="14"/>
  <c r="F16" i="14"/>
  <c r="D15" i="14"/>
  <c r="F15" i="14"/>
  <c r="E15" i="14"/>
  <c r="H15" i="14"/>
  <c r="G15" i="14"/>
  <c r="H14" i="14"/>
  <c r="G14" i="14"/>
  <c r="F14" i="14"/>
  <c r="E14" i="14"/>
  <c r="D14" i="14"/>
  <c r="H6" i="14" l="1"/>
  <c r="G6" i="14"/>
  <c r="F6" i="14"/>
  <c r="E6" i="14"/>
  <c r="D6" i="14"/>
  <c r="H5" i="14"/>
  <c r="G5" i="14"/>
  <c r="F5" i="14"/>
  <c r="E5" i="14"/>
  <c r="D5" i="14"/>
  <c r="F4" i="14"/>
  <c r="E4" i="14"/>
  <c r="D4" i="14"/>
  <c r="H4" i="14" l="1"/>
  <c r="H2" i="14" l="1"/>
  <c r="H3" i="14"/>
  <c r="G4" i="14"/>
  <c r="E3" i="14" l="1"/>
  <c r="E2" i="14"/>
  <c r="G2" i="14"/>
  <c r="G3" i="14"/>
  <c r="F2" i="14"/>
  <c r="F3" i="14"/>
  <c r="D3" i="14" l="1"/>
  <c r="D104" i="13"/>
  <c r="D92" i="13"/>
  <c r="D91" i="13"/>
  <c r="D89" i="13"/>
  <c r="D13" i="14" s="1"/>
  <c r="D88" i="13"/>
  <c r="D87" i="13"/>
  <c r="D99" i="13"/>
  <c r="D98" i="13"/>
  <c r="D97" i="13"/>
  <c r="D10" i="14" l="1"/>
  <c r="D54" i="14"/>
  <c r="D9" i="14"/>
  <c r="D102" i="13"/>
  <c r="D17" i="14"/>
  <c r="D93" i="13"/>
  <c r="D90" i="13"/>
  <c r="D103" i="13"/>
  <c r="E106" i="13"/>
  <c r="F106" i="13"/>
  <c r="G106" i="13"/>
  <c r="H106" i="13"/>
  <c r="E104" i="13"/>
  <c r="F104" i="13"/>
  <c r="G104" i="13"/>
  <c r="H104" i="13"/>
  <c r="E91" i="13"/>
  <c r="F91" i="13"/>
  <c r="G91" i="13"/>
  <c r="H91" i="13"/>
  <c r="E92" i="13"/>
  <c r="F92" i="13"/>
  <c r="G92" i="13"/>
  <c r="H92" i="13"/>
  <c r="H93" i="13" s="1"/>
  <c r="E87" i="13"/>
  <c r="F87" i="13"/>
  <c r="G87" i="13"/>
  <c r="H87" i="13"/>
  <c r="E88" i="13"/>
  <c r="F88" i="13"/>
  <c r="G88" i="13"/>
  <c r="H88" i="13"/>
  <c r="E89" i="13"/>
  <c r="E13" i="14" s="1"/>
  <c r="F89" i="13"/>
  <c r="F13" i="14" s="1"/>
  <c r="G89" i="13"/>
  <c r="G13" i="14" s="1"/>
  <c r="H89" i="13"/>
  <c r="H13" i="14" s="1"/>
  <c r="E99" i="13"/>
  <c r="F99" i="13"/>
  <c r="G99" i="13"/>
  <c r="H99" i="13"/>
  <c r="E98" i="13"/>
  <c r="F98" i="13"/>
  <c r="G98" i="13"/>
  <c r="H98" i="13"/>
  <c r="E97" i="13"/>
  <c r="F97" i="13"/>
  <c r="G97" i="13"/>
  <c r="H97" i="13"/>
  <c r="F57" i="14" l="1"/>
  <c r="F61" i="14"/>
  <c r="F65" i="14"/>
  <c r="F69" i="14"/>
  <c r="F54" i="14"/>
  <c r="F70" i="14"/>
  <c r="F58" i="14"/>
  <c r="F62" i="14"/>
  <c r="F66" i="14"/>
  <c r="F55" i="14"/>
  <c r="F59" i="14"/>
  <c r="F63" i="14"/>
  <c r="F67" i="14"/>
  <c r="F71" i="14"/>
  <c r="F56" i="14"/>
  <c r="F60" i="14"/>
  <c r="F64" i="14"/>
  <c r="F68" i="14"/>
  <c r="F72" i="14"/>
  <c r="E58" i="14"/>
  <c r="E62" i="14"/>
  <c r="E66" i="14"/>
  <c r="E70" i="14"/>
  <c r="E72" i="14"/>
  <c r="E55" i="14"/>
  <c r="E63" i="14"/>
  <c r="E67" i="14"/>
  <c r="E56" i="14"/>
  <c r="E60" i="14"/>
  <c r="E64" i="14"/>
  <c r="E68" i="14"/>
  <c r="E57" i="14"/>
  <c r="E61" i="14"/>
  <c r="E65" i="14"/>
  <c r="E69" i="14"/>
  <c r="E54" i="14"/>
  <c r="E59" i="14"/>
  <c r="E71" i="14"/>
  <c r="H55" i="14"/>
  <c r="H59" i="14"/>
  <c r="H63" i="14"/>
  <c r="H67" i="14"/>
  <c r="H71" i="14"/>
  <c r="H56" i="14"/>
  <c r="H60" i="14"/>
  <c r="H64" i="14"/>
  <c r="H68" i="14"/>
  <c r="H72" i="14"/>
  <c r="H54" i="14"/>
  <c r="H57" i="14"/>
  <c r="H61" i="14"/>
  <c r="H65" i="14"/>
  <c r="H69" i="14"/>
  <c r="H58" i="14"/>
  <c r="H62" i="14"/>
  <c r="H66" i="14"/>
  <c r="H70" i="14"/>
  <c r="G57" i="14"/>
  <c r="G61" i="14"/>
  <c r="G65" i="14"/>
  <c r="G69" i="14"/>
  <c r="G54" i="14"/>
  <c r="G58" i="14"/>
  <c r="G62" i="14"/>
  <c r="G66" i="14"/>
  <c r="G70" i="14"/>
  <c r="G55" i="14"/>
  <c r="G59" i="14"/>
  <c r="G63" i="14"/>
  <c r="G67" i="14"/>
  <c r="G71" i="14"/>
  <c r="G56" i="14"/>
  <c r="G60" i="14"/>
  <c r="G64" i="14"/>
  <c r="G68" i="14"/>
  <c r="G72" i="14"/>
  <c r="G9" i="14"/>
  <c r="F10" i="14"/>
  <c r="F9" i="14"/>
  <c r="D7" i="14"/>
  <c r="D11" i="14" s="1"/>
  <c r="D12" i="14"/>
  <c r="E10" i="14"/>
  <c r="E9" i="14"/>
  <c r="G10" i="14"/>
  <c r="H10" i="14"/>
  <c r="H12" i="14"/>
  <c r="H7" i="14"/>
  <c r="H9" i="14"/>
  <c r="H102" i="13"/>
  <c r="H17" i="14"/>
  <c r="D112" i="13"/>
  <c r="D18" i="14" s="1"/>
  <c r="D8" i="14"/>
  <c r="H113" i="13"/>
  <c r="H8" i="14"/>
  <c r="G102" i="13"/>
  <c r="G17" i="14"/>
  <c r="F102" i="13"/>
  <c r="F17" i="14"/>
  <c r="E102" i="13"/>
  <c r="E17" i="14"/>
  <c r="D113" i="13"/>
  <c r="G93" i="13"/>
  <c r="F93" i="13"/>
  <c r="E93" i="13"/>
  <c r="E90" i="13"/>
  <c r="H90" i="13"/>
  <c r="H112" i="13"/>
  <c r="H18" i="14" s="1"/>
  <c r="F90" i="13"/>
  <c r="F103" i="13"/>
  <c r="E103" i="13"/>
  <c r="H103" i="13"/>
  <c r="G90" i="13"/>
  <c r="G103" i="13"/>
  <c r="F7" i="14" l="1"/>
  <c r="F11" i="14" s="1"/>
  <c r="F12" i="14"/>
  <c r="H11" i="14"/>
  <c r="E7" i="14"/>
  <c r="E11" i="14" s="1"/>
  <c r="E12" i="14"/>
  <c r="G7" i="14"/>
  <c r="G11" i="14" s="1"/>
  <c r="G12" i="14"/>
  <c r="G112" i="13"/>
  <c r="G18" i="14" s="1"/>
  <c r="G8" i="14"/>
  <c r="E113" i="13"/>
  <c r="E8" i="14"/>
  <c r="F112" i="13"/>
  <c r="F18" i="14" s="1"/>
  <c r="F8" i="14"/>
  <c r="G113" i="13"/>
  <c r="F113" i="13"/>
  <c r="E112" i="13"/>
  <c r="E18" i="14" s="1"/>
  <c r="D106" i="13"/>
</calcChain>
</file>

<file path=xl/sharedStrings.xml><?xml version="1.0" encoding="utf-8"?>
<sst xmlns="http://schemas.openxmlformats.org/spreadsheetml/2006/main" count="386" uniqueCount="160">
  <si>
    <t>Figures</t>
  </si>
  <si>
    <t>BS</t>
  </si>
  <si>
    <t>Equity</t>
  </si>
  <si>
    <t>Share Capital</t>
  </si>
  <si>
    <t>Revenue Reserves</t>
  </si>
  <si>
    <t>LT Liabilities</t>
  </si>
  <si>
    <t>Long-term Borrowing</t>
  </si>
  <si>
    <t>Others</t>
  </si>
  <si>
    <t>ST Liabilities</t>
  </si>
  <si>
    <t>Trade &amp; Others Payable</t>
  </si>
  <si>
    <t>Interest &amp; Markup</t>
  </si>
  <si>
    <t>LT Assets</t>
  </si>
  <si>
    <t>PPE</t>
  </si>
  <si>
    <t>Deferred Tax</t>
  </si>
  <si>
    <t>ST Assets</t>
  </si>
  <si>
    <t>Store Spares &amp; Loose Tools</t>
  </si>
  <si>
    <t>Stock In Trade</t>
  </si>
  <si>
    <t>Trade Debts</t>
  </si>
  <si>
    <t>Loans &amp; Advances</t>
  </si>
  <si>
    <t>Other Receivables</t>
  </si>
  <si>
    <t>Cash &amp; Bank Balance</t>
  </si>
  <si>
    <t>Revenues</t>
  </si>
  <si>
    <t>Sales</t>
  </si>
  <si>
    <t>Expenses</t>
  </si>
  <si>
    <t>Cost of Sales</t>
  </si>
  <si>
    <t xml:space="preserve">Expenses </t>
  </si>
  <si>
    <t>Expense</t>
  </si>
  <si>
    <t>CFO</t>
  </si>
  <si>
    <t>CFI</t>
  </si>
  <si>
    <t>CFF</t>
  </si>
  <si>
    <t>Equity Issued</t>
  </si>
  <si>
    <t>LT assets</t>
  </si>
  <si>
    <t>Depreciation</t>
  </si>
  <si>
    <t>Amortization</t>
  </si>
  <si>
    <t>Notes</t>
  </si>
  <si>
    <t>Net Revenues</t>
  </si>
  <si>
    <t>COGS</t>
  </si>
  <si>
    <t>Total MFG cost</t>
  </si>
  <si>
    <t>Checks</t>
  </si>
  <si>
    <t>Total Assets</t>
  </si>
  <si>
    <t>Total Liabilities</t>
  </si>
  <si>
    <t>Total equity</t>
  </si>
  <si>
    <t>Difference</t>
  </si>
  <si>
    <t>Total revenues</t>
  </si>
  <si>
    <t>Total Expenses</t>
  </si>
  <si>
    <t>Net profit</t>
  </si>
  <si>
    <t>Preference Dividend</t>
  </si>
  <si>
    <t>EPS - Basic</t>
  </si>
  <si>
    <t>EPS - Diluted</t>
  </si>
  <si>
    <t>Selling Cost &amp; Distribution Cost</t>
  </si>
  <si>
    <t>Other Operating Expenses</t>
  </si>
  <si>
    <t>IS</t>
  </si>
  <si>
    <t>CFS</t>
  </si>
  <si>
    <t>Other Operating Income</t>
  </si>
  <si>
    <t>NOTES TO FS</t>
  </si>
  <si>
    <t>Income Statement Checks</t>
  </si>
  <si>
    <t>CashFlow Checks</t>
  </si>
  <si>
    <t>Revenue</t>
  </si>
  <si>
    <t>Cost of Goods Sold</t>
  </si>
  <si>
    <t>Admin &amp; Selling Expenses</t>
  </si>
  <si>
    <t>Other Income Investment Related</t>
  </si>
  <si>
    <t>Selling Expenses</t>
  </si>
  <si>
    <t>Administrative Expenses</t>
  </si>
  <si>
    <t>Repair and Maintenance</t>
  </si>
  <si>
    <t>Salaries and Wages</t>
  </si>
  <si>
    <t>Fuel and Power</t>
  </si>
  <si>
    <t>Raw Material Consumed</t>
  </si>
  <si>
    <t>Proceeds from Long Term Investment</t>
  </si>
  <si>
    <t>Proceeds from Disposal of Operating Fixed Assets</t>
  </si>
  <si>
    <t>Long Term Investment</t>
  </si>
  <si>
    <t>Long Term Financing</t>
  </si>
  <si>
    <t>Short term Financing</t>
  </si>
  <si>
    <t>Dividend Paid</t>
  </si>
  <si>
    <t>Other Non-Cash items</t>
  </si>
  <si>
    <t>Export Sales</t>
  </si>
  <si>
    <t>Local Sales</t>
  </si>
  <si>
    <t>Sales Tax and Others</t>
  </si>
  <si>
    <t>Opening Work In Progress</t>
  </si>
  <si>
    <t>Closing Work In Progress</t>
  </si>
  <si>
    <t>Opening Finished Goods</t>
  </si>
  <si>
    <t>Closing Finished Goods</t>
  </si>
  <si>
    <t>Total Cost Of Goods Sold</t>
  </si>
  <si>
    <t>Total Operating Cost</t>
  </si>
  <si>
    <t>Other income Non-Investment Related</t>
  </si>
  <si>
    <t>Fixed Capital Expenditure</t>
  </si>
  <si>
    <t>Interest and Dividend Received</t>
  </si>
  <si>
    <t>Total Cash Flow From Operating Activities</t>
  </si>
  <si>
    <t>Total Cash Flow From Investing Activities</t>
  </si>
  <si>
    <t>Total Cash Flow From Financing Activities</t>
  </si>
  <si>
    <t>Finance Cost</t>
  </si>
  <si>
    <t>Short Term Investments</t>
  </si>
  <si>
    <t>Long Term Investments</t>
  </si>
  <si>
    <t>Long Term Loans and Advances</t>
  </si>
  <si>
    <t>Long Term Deposits</t>
  </si>
  <si>
    <t>Short Term Borrowing</t>
  </si>
  <si>
    <t>Current Portion Of Long Term Liabilities</t>
  </si>
  <si>
    <t>Capital &amp; Other Reserves</t>
  </si>
  <si>
    <t>Surplus on Revaluation of Fixed Assets</t>
  </si>
  <si>
    <t>Long-Term Lease Liabilities</t>
  </si>
  <si>
    <t>Investment Property</t>
  </si>
  <si>
    <t>Cash Flow Generated From Operations</t>
  </si>
  <si>
    <t>Finance Cost Paid</t>
  </si>
  <si>
    <t>Income Tax Paid</t>
  </si>
  <si>
    <t>Weighted Average Number Of Shares Basic</t>
  </si>
  <si>
    <t>Weighted Average Number Of Shares-Diluted</t>
  </si>
  <si>
    <t>Quantative Data</t>
  </si>
  <si>
    <t>Current Taxation</t>
  </si>
  <si>
    <t>Provision For Taxation: Deferred</t>
  </si>
  <si>
    <t>Provision For Taxation: Current</t>
  </si>
  <si>
    <t>Market Price Per Share as at Quarter / Year End</t>
  </si>
  <si>
    <t>Quarter / Fiscal Year Ended</t>
  </si>
  <si>
    <t>Production Capacity</t>
  </si>
  <si>
    <t>Actual Production</t>
  </si>
  <si>
    <t>Issued Share Capital</t>
  </si>
  <si>
    <t>TOWELLERS LIMITED</t>
  </si>
  <si>
    <t>Formula</t>
  </si>
  <si>
    <t>Liquidity Ratios</t>
  </si>
  <si>
    <t>Current Ratio</t>
  </si>
  <si>
    <t>Current Assets / Current Liabilities</t>
  </si>
  <si>
    <t>Quick Ratio</t>
  </si>
  <si>
    <t>(Current Assets - Inventories) / Current Liabilities</t>
  </si>
  <si>
    <t>Cash Ratio</t>
  </si>
  <si>
    <t>Cash and Cash Equivalents / Current Liabilities</t>
  </si>
  <si>
    <t>Profitability Ratios</t>
  </si>
  <si>
    <t>Gross Profit Margin</t>
  </si>
  <si>
    <t>(Gross Profit / Net Sales) * 100</t>
  </si>
  <si>
    <t>Operating Profit Margin</t>
  </si>
  <si>
    <t>(Operating Income / Net Sales) * 100</t>
  </si>
  <si>
    <t>Net Profit Margin</t>
  </si>
  <si>
    <t>(Net Profit / Net Sales) * 100</t>
  </si>
  <si>
    <t>Return on Assets (ROA)</t>
  </si>
  <si>
    <t>(Net Profit / Average Total Assets) * 100</t>
  </si>
  <si>
    <t>Return on Equity (ROE)</t>
  </si>
  <si>
    <t>Solvency Ratios</t>
  </si>
  <si>
    <t>Debt to Equity Ratio</t>
  </si>
  <si>
    <t>Long Term Debt / Total Equity</t>
  </si>
  <si>
    <t>Times Interest Earned</t>
  </si>
  <si>
    <t>EBIT / Interest Expense</t>
  </si>
  <si>
    <t>Efficiency and Market Ratios</t>
  </si>
  <si>
    <t>Inventory Turnover Ratio</t>
  </si>
  <si>
    <t>Cost of Goods Sold / Average Inventory</t>
  </si>
  <si>
    <t>Days Sales Outstanding (DSO)</t>
  </si>
  <si>
    <t>(Average Accounts Receivable / Annual Sales) * 365</t>
  </si>
  <si>
    <t>Asset Turnover Ratio</t>
  </si>
  <si>
    <t>Net Sales / Average Total Assets</t>
  </si>
  <si>
    <t>Price-to-Earnings (P/E) Ratio</t>
  </si>
  <si>
    <t>Market Price per Share / Earnings per Share</t>
  </si>
  <si>
    <t>Asset turnover</t>
  </si>
  <si>
    <t>Financial Leverage</t>
  </si>
  <si>
    <t>Average Total assets/Average Shareholder equity</t>
  </si>
  <si>
    <t>Dupont Analysis</t>
  </si>
  <si>
    <t>Net Profit Margin*Financial Leverage*Asset turnover</t>
  </si>
  <si>
    <t>(Net Profit / Shareholders' Equity) * 100</t>
  </si>
  <si>
    <t>Horizontal Analysis</t>
  </si>
  <si>
    <t>Balance Sheet</t>
  </si>
  <si>
    <t>Income Statement</t>
  </si>
  <si>
    <t>Vertical Analysis</t>
  </si>
  <si>
    <t>PAKISTAN RUPEE'000</t>
  </si>
  <si>
    <t>unclaimed dividend</t>
  </si>
  <si>
    <t>p;lus prepayment and plus non current asset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</si>
</sst>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_);_(* \(#,##0\);_(* &quot;-&quot;_);_(@_)"/>
    <numFmt numFmtId="165" formatCode="_(* #,##0.00_);_(* \(#,##0.00\);_(* &quot;-&quot;??_);_(@_)"/>
    <numFmt numFmtId="166" formatCode="_(* #,##0.00_);_(* \(#,##0.00\);_(* &quot;-&quot;_);_(@_)"/>
    <numFmt numFmtId="167" formatCode="0.0000"/>
    <numFmt numFmtId="168" formatCode="0.0"/>
    <numFmt numFmtId="169" formatCode="0.0%"/>
    <numFmt numFmtId="170" formatCode="_(* #,##0.000_);_(* \(#,##0.000\);_(* &quot;-&quot;_);_(@_)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i/>
      <sz val="10"/>
      <name val="Arial"/>
      <family val="2"/>
    </font>
    <font>
      <b/>
      <i/>
      <sz val="11"/>
      <color rgb="FF000000"/>
      <name val="Arial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name val="Calibri"/>
      <family val="2"/>
      <scheme val="minor"/>
    </font>
    <font>
      <b/>
      <sz val="14"/>
      <color theme="2" tint="-0.89999084444715716"/>
      <name val="Arial Black"/>
      <family val="2"/>
    </font>
    <font>
      <b/>
      <i/>
      <sz val="12"/>
      <color rgb="FF000000"/>
      <name val="Calibri"/>
      <family val="2"/>
      <scheme val="minor"/>
    </font>
    <font>
      <b/>
      <i/>
      <sz val="12"/>
      <color rgb="FF000000"/>
      <name val="Calibri"/>
      <family val="2"/>
    </font>
    <font>
      <b/>
      <i/>
      <sz val="12"/>
      <color indexed="8"/>
      <name val="Calibri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i/>
      <sz val="10"/>
      <color theme="1"/>
      <name val="Arial"/>
      <family val="2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b/>
      <sz val="14"/>
      <color theme="2" tint="-0.89999084444715716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b/>
      <i/>
      <sz val="12"/>
      <color rgb="FF000000"/>
      <name val="Times New Roman"/>
      <family val="1"/>
    </font>
    <font>
      <b/>
      <i/>
      <sz val="12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 "/>
    </font>
  </fonts>
  <fills count="11">
    <fill>
      <patternFill patternType="none"/>
    </fill>
    <fill>
      <patternFill patternType="gray125"/>
    </fill>
    <fill>
      <patternFill patternType="solid">
        <fgColor rgb="FF009999"/>
        <bgColor rgb="FF000000"/>
      </patternFill>
    </fill>
    <fill>
      <patternFill patternType="solid">
        <fgColor rgb="FF00999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rgb="FFFF66CC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0">
    <xf numFmtId="0" fontId="0" fillId="0" borderId="0" xfId="0"/>
    <xf numFmtId="164" fontId="2" fillId="0" borderId="0" xfId="0" applyNumberFormat="1" applyFont="1"/>
    <xf numFmtId="164" fontId="3" fillId="0" borderId="0" xfId="0" quotePrefix="1" applyNumberFormat="1" applyFont="1" applyAlignment="1">
      <alignment horizontal="center"/>
    </xf>
    <xf numFmtId="164" fontId="9" fillId="0" borderId="0" xfId="0" quotePrefix="1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10" fillId="0" borderId="0" xfId="0" applyNumberFormat="1" applyFont="1"/>
    <xf numFmtId="164" fontId="0" fillId="0" borderId="0" xfId="0" applyNumberFormat="1"/>
    <xf numFmtId="164" fontId="9" fillId="0" borderId="0" xfId="0" applyNumberFormat="1" applyFont="1" applyAlignment="1">
      <alignment horizontal="right"/>
    </xf>
    <xf numFmtId="164" fontId="2" fillId="0" borderId="0" xfId="1" applyNumberFormat="1" applyFont="1" applyFill="1" applyBorder="1"/>
    <xf numFmtId="164" fontId="7" fillId="0" borderId="0" xfId="0" applyNumberFormat="1" applyFont="1"/>
    <xf numFmtId="164" fontId="7" fillId="0" borderId="0" xfId="0" applyNumberFormat="1" applyFont="1" applyAlignment="1">
      <alignment horizontal="left"/>
    </xf>
    <xf numFmtId="164" fontId="8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7" fillId="0" borderId="0" xfId="2" applyNumberFormat="1" applyFont="1" applyFill="1" applyBorder="1" applyAlignment="1">
      <alignment horizontal="center"/>
    </xf>
    <xf numFmtId="164" fontId="7" fillId="0" borderId="0" xfId="0" applyNumberFormat="1" applyFont="1" applyAlignment="1">
      <alignment horizontal="center"/>
    </xf>
    <xf numFmtId="164" fontId="7" fillId="0" borderId="0" xfId="1" applyNumberFormat="1" applyFont="1" applyFill="1" applyBorder="1" applyAlignment="1">
      <alignment horizontal="center"/>
    </xf>
    <xf numFmtId="0" fontId="14" fillId="0" borderId="6" xfId="0" applyFont="1" applyBorder="1" applyAlignment="1">
      <alignment wrapText="1"/>
    </xf>
    <xf numFmtId="0" fontId="15" fillId="0" borderId="6" xfId="0" applyFont="1" applyBorder="1" applyAlignment="1">
      <alignment wrapText="1"/>
    </xf>
    <xf numFmtId="0" fontId="16" fillId="0" borderId="6" xfId="0" applyFont="1" applyBorder="1" applyAlignment="1">
      <alignment wrapText="1"/>
    </xf>
    <xf numFmtId="0" fontId="17" fillId="0" borderId="6" xfId="0" applyFont="1" applyBorder="1" applyAlignment="1">
      <alignment horizontal="center" wrapText="1"/>
    </xf>
    <xf numFmtId="0" fontId="17" fillId="0" borderId="6" xfId="0" applyFont="1" applyBorder="1" applyAlignment="1">
      <alignment wrapText="1"/>
    </xf>
    <xf numFmtId="0" fontId="18" fillId="0" borderId="6" xfId="0" applyFont="1" applyBorder="1" applyAlignment="1">
      <alignment wrapText="1"/>
    </xf>
    <xf numFmtId="0" fontId="19" fillId="0" borderId="6" xfId="0" applyFont="1" applyBorder="1" applyAlignment="1">
      <alignment wrapText="1"/>
    </xf>
    <xf numFmtId="2" fontId="18" fillId="0" borderId="6" xfId="0" applyNumberFormat="1" applyFont="1" applyBorder="1" applyAlignment="1">
      <alignment horizontal="center" wrapText="1"/>
    </xf>
    <xf numFmtId="0" fontId="19" fillId="0" borderId="7" xfId="0" applyFont="1" applyBorder="1" applyAlignment="1">
      <alignment wrapText="1"/>
    </xf>
    <xf numFmtId="0" fontId="18" fillId="0" borderId="7" xfId="0" applyFont="1" applyBorder="1" applyAlignment="1">
      <alignment wrapText="1"/>
    </xf>
    <xf numFmtId="2" fontId="18" fillId="0" borderId="7" xfId="0" applyNumberFormat="1" applyFont="1" applyBorder="1" applyAlignment="1">
      <alignment horizontal="center" wrapText="1"/>
    </xf>
    <xf numFmtId="0" fontId="19" fillId="0" borderId="8" xfId="0" applyFont="1" applyBorder="1" applyAlignment="1">
      <alignment wrapText="1"/>
    </xf>
    <xf numFmtId="0" fontId="18" fillId="0" borderId="8" xfId="0" applyFont="1" applyBorder="1" applyAlignment="1">
      <alignment wrapText="1"/>
    </xf>
    <xf numFmtId="10" fontId="18" fillId="0" borderId="8" xfId="0" applyNumberFormat="1" applyFont="1" applyBorder="1" applyAlignment="1">
      <alignment horizontal="center" wrapText="1"/>
    </xf>
    <xf numFmtId="10" fontId="18" fillId="0" borderId="6" xfId="0" applyNumberFormat="1" applyFont="1" applyBorder="1" applyAlignment="1">
      <alignment horizontal="center" wrapText="1"/>
    </xf>
    <xf numFmtId="10" fontId="18" fillId="0" borderId="6" xfId="2" applyNumberFormat="1" applyFont="1" applyBorder="1" applyAlignment="1">
      <alignment horizontal="center" wrapText="1"/>
    </xf>
    <xf numFmtId="10" fontId="18" fillId="0" borderId="7" xfId="0" applyNumberFormat="1" applyFont="1" applyBorder="1" applyAlignment="1">
      <alignment horizontal="center" wrapText="1"/>
    </xf>
    <xf numFmtId="167" fontId="18" fillId="0" borderId="8" xfId="0" applyNumberFormat="1" applyFont="1" applyBorder="1" applyAlignment="1">
      <alignment horizontal="center" wrapText="1"/>
    </xf>
    <xf numFmtId="1" fontId="18" fillId="0" borderId="7" xfId="0" applyNumberFormat="1" applyFont="1" applyBorder="1" applyAlignment="1">
      <alignment horizontal="center" wrapText="1"/>
    </xf>
    <xf numFmtId="1" fontId="18" fillId="0" borderId="8" xfId="0" applyNumberFormat="1" applyFont="1" applyBorder="1" applyAlignment="1">
      <alignment horizontal="center" wrapText="1"/>
    </xf>
    <xf numFmtId="1" fontId="18" fillId="0" borderId="6" xfId="0" applyNumberFormat="1" applyFont="1" applyBorder="1" applyAlignment="1">
      <alignment horizontal="center" wrapText="1"/>
    </xf>
    <xf numFmtId="168" fontId="18" fillId="0" borderId="7" xfId="0" applyNumberFormat="1" applyFont="1" applyBorder="1" applyAlignment="1">
      <alignment horizontal="center" wrapText="1"/>
    </xf>
    <xf numFmtId="164" fontId="18" fillId="0" borderId="0" xfId="0" applyNumberFormat="1" applyFont="1"/>
    <xf numFmtId="164" fontId="21" fillId="0" borderId="0" xfId="0" applyNumberFormat="1" applyFont="1"/>
    <xf numFmtId="1" fontId="21" fillId="0" borderId="5" xfId="0" applyNumberFormat="1" applyFont="1" applyBorder="1" applyAlignment="1">
      <alignment horizontal="center"/>
    </xf>
    <xf numFmtId="164" fontId="21" fillId="0" borderId="0" xfId="0" quotePrefix="1" applyNumberFormat="1" applyFont="1" applyAlignment="1">
      <alignment horizontal="center"/>
    </xf>
    <xf numFmtId="164" fontId="18" fillId="0" borderId="1" xfId="0" applyNumberFormat="1" applyFont="1" applyBorder="1" applyAlignment="1">
      <alignment horizontal="center"/>
    </xf>
    <xf numFmtId="164" fontId="22" fillId="0" borderId="0" xfId="0" applyNumberFormat="1" applyFont="1"/>
    <xf numFmtId="164" fontId="18" fillId="0" borderId="0" xfId="0" applyNumberFormat="1" applyFont="1" applyAlignment="1">
      <alignment horizontal="left" indent="1"/>
    </xf>
    <xf numFmtId="164" fontId="22" fillId="0" borderId="0" xfId="0" applyNumberFormat="1" applyFont="1" applyAlignment="1">
      <alignment horizontal="left"/>
    </xf>
    <xf numFmtId="164" fontId="23" fillId="0" borderId="1" xfId="0" applyNumberFormat="1" applyFont="1" applyBorder="1" applyAlignment="1">
      <alignment horizontal="center"/>
    </xf>
    <xf numFmtId="164" fontId="18" fillId="0" borderId="0" xfId="0" applyNumberFormat="1" applyFont="1" applyAlignment="1">
      <alignment horizontal="center"/>
    </xf>
    <xf numFmtId="164" fontId="18" fillId="0" borderId="0" xfId="0" applyNumberFormat="1" applyFont="1" applyAlignment="1">
      <alignment horizontal="left"/>
    </xf>
    <xf numFmtId="164" fontId="18" fillId="0" borderId="1" xfId="0" applyNumberFormat="1" applyFont="1" applyBorder="1"/>
    <xf numFmtId="166" fontId="18" fillId="0" borderId="1" xfId="1" applyNumberFormat="1" applyFont="1" applyFill="1" applyBorder="1"/>
    <xf numFmtId="164" fontId="18" fillId="0" borderId="1" xfId="1" applyNumberFormat="1" applyFont="1" applyFill="1" applyBorder="1"/>
    <xf numFmtId="0" fontId="18" fillId="0" borderId="1" xfId="1" applyNumberFormat="1" applyFont="1" applyFill="1" applyBorder="1"/>
    <xf numFmtId="164" fontId="2" fillId="2" borderId="1" xfId="0" applyNumberFormat="1" applyFont="1" applyFill="1" applyBorder="1"/>
    <xf numFmtId="164" fontId="2" fillId="2" borderId="1" xfId="0" applyNumberFormat="1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2" fillId="4" borderId="1" xfId="0" applyNumberFormat="1" applyFont="1" applyFill="1" applyBorder="1"/>
    <xf numFmtId="164" fontId="2" fillId="4" borderId="1" xfId="0" applyNumberFormat="1" applyFont="1" applyFill="1" applyBorder="1" applyAlignment="1">
      <alignment horizontal="center"/>
    </xf>
    <xf numFmtId="164" fontId="2" fillId="5" borderId="1" xfId="0" applyNumberFormat="1" applyFont="1" applyFill="1" applyBorder="1"/>
    <xf numFmtId="164" fontId="2" fillId="5" borderId="1" xfId="0" applyNumberFormat="1" applyFont="1" applyFill="1" applyBorder="1" applyAlignment="1">
      <alignment horizontal="center"/>
    </xf>
    <xf numFmtId="164" fontId="2" fillId="6" borderId="1" xfId="0" applyNumberFormat="1" applyFont="1" applyFill="1" applyBorder="1"/>
    <xf numFmtId="164" fontId="2" fillId="6" borderId="1" xfId="0" applyNumberFormat="1" applyFont="1" applyFill="1" applyBorder="1" applyAlignment="1">
      <alignment horizontal="center"/>
    </xf>
    <xf numFmtId="164" fontId="2" fillId="7" borderId="1" xfId="0" applyNumberFormat="1" applyFont="1" applyFill="1" applyBorder="1"/>
    <xf numFmtId="164" fontId="2" fillId="7" borderId="1" xfId="0" applyNumberFormat="1" applyFont="1" applyFill="1" applyBorder="1" applyAlignment="1">
      <alignment horizontal="center"/>
    </xf>
    <xf numFmtId="164" fontId="24" fillId="7" borderId="1" xfId="0" applyNumberFormat="1" applyFont="1" applyFill="1" applyBorder="1"/>
    <xf numFmtId="164" fontId="11" fillId="8" borderId="1" xfId="0" applyNumberFormat="1" applyFont="1" applyFill="1" applyBorder="1" applyAlignment="1">
      <alignment horizontal="center"/>
    </xf>
    <xf numFmtId="164" fontId="25" fillId="7" borderId="1" xfId="0" applyNumberFormat="1" applyFont="1" applyFill="1" applyBorder="1"/>
    <xf numFmtId="164" fontId="0" fillId="7" borderId="1" xfId="0" applyNumberFormat="1" applyFill="1" applyBorder="1"/>
    <xf numFmtId="164" fontId="2" fillId="9" borderId="1" xfId="0" applyNumberFormat="1" applyFont="1" applyFill="1" applyBorder="1"/>
    <xf numFmtId="164" fontId="2" fillId="9" borderId="1" xfId="0" applyNumberFormat="1" applyFont="1" applyFill="1" applyBorder="1" applyAlignment="1">
      <alignment horizontal="center"/>
    </xf>
    <xf numFmtId="164" fontId="26" fillId="9" borderId="1" xfId="0" applyNumberFormat="1" applyFont="1" applyFill="1" applyBorder="1" applyAlignment="1">
      <alignment horizontal="center"/>
    </xf>
    <xf numFmtId="164" fontId="24" fillId="9" borderId="1" xfId="0" applyNumberFormat="1" applyFont="1" applyFill="1" applyBorder="1"/>
    <xf numFmtId="164" fontId="4" fillId="9" borderId="1" xfId="0" applyNumberFormat="1" applyFont="1" applyFill="1" applyBorder="1"/>
    <xf numFmtId="164" fontId="12" fillId="9" borderId="1" xfId="0" applyNumberFormat="1" applyFont="1" applyFill="1" applyBorder="1"/>
    <xf numFmtId="164" fontId="12" fillId="8" borderId="1" xfId="0" applyNumberFormat="1" applyFont="1" applyFill="1" applyBorder="1" applyAlignment="1">
      <alignment horizontal="center"/>
    </xf>
    <xf numFmtId="3" fontId="0" fillId="0" borderId="0" xfId="0" applyNumberFormat="1"/>
    <xf numFmtId="164" fontId="13" fillId="9" borderId="1" xfId="0" applyNumberFormat="1" applyFont="1" applyFill="1" applyBorder="1"/>
    <xf numFmtId="164" fontId="13" fillId="8" borderId="1" xfId="0" applyNumberFormat="1" applyFont="1" applyFill="1" applyBorder="1" applyAlignment="1">
      <alignment horizontal="center"/>
    </xf>
    <xf numFmtId="0" fontId="19" fillId="0" borderId="9" xfId="0" applyFont="1" applyBorder="1" applyAlignment="1">
      <alignment wrapText="1"/>
    </xf>
    <xf numFmtId="0" fontId="18" fillId="0" borderId="9" xfId="0" applyFont="1" applyBorder="1" applyAlignment="1">
      <alignment wrapText="1"/>
    </xf>
    <xf numFmtId="10" fontId="18" fillId="0" borderId="9" xfId="0" applyNumberFormat="1" applyFont="1" applyBorder="1" applyAlignment="1">
      <alignment horizontal="center" wrapText="1"/>
    </xf>
    <xf numFmtId="169" fontId="18" fillId="0" borderId="9" xfId="0" applyNumberFormat="1" applyFont="1" applyBorder="1" applyAlignment="1">
      <alignment horizontal="center" wrapText="1"/>
    </xf>
    <xf numFmtId="164" fontId="21" fillId="0" borderId="4" xfId="0" quotePrefix="1" applyNumberFormat="1" applyFont="1" applyBorder="1" applyAlignment="1">
      <alignment horizontal="center" vertical="center"/>
    </xf>
    <xf numFmtId="9" fontId="18" fillId="0" borderId="8" xfId="0" applyNumberFormat="1" applyFont="1" applyBorder="1" applyAlignment="1">
      <alignment horizontal="center" wrapText="1"/>
    </xf>
    <xf numFmtId="164" fontId="2" fillId="0" borderId="1" xfId="0" applyNumberFormat="1" applyFont="1" applyBorder="1" applyAlignment="1">
      <alignment horizontal="center"/>
    </xf>
    <xf numFmtId="170" fontId="18" fillId="0" borderId="1" xfId="1" applyNumberFormat="1" applyFont="1" applyFill="1" applyBorder="1"/>
    <xf numFmtId="164" fontId="20" fillId="10" borderId="2" xfId="0" applyNumberFormat="1" applyFont="1" applyFill="1" applyBorder="1" applyAlignment="1">
      <alignment horizontal="center"/>
    </xf>
    <xf numFmtId="164" fontId="10" fillId="10" borderId="3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6">
    <dxf>
      <font>
        <b val="0"/>
        <i val="0"/>
      </font>
      <numFmt numFmtId="171" formatCode="#,##0_);\(#,##0\)"/>
      <fill>
        <patternFill>
          <bgColor rgb="FF00B050"/>
        </patternFill>
      </fill>
    </dxf>
    <dxf>
      <numFmt numFmtId="171" formatCode="#,##0_);\(#,##0\)"/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 val="0"/>
        <i val="0"/>
      </font>
      <numFmt numFmtId="171" formatCode="#,##0_);\(#,##0\)"/>
      <fill>
        <patternFill>
          <bgColor rgb="FF00B050"/>
        </patternFill>
      </fill>
    </dxf>
    <dxf>
      <numFmt numFmtId="171" formatCode="#,##0_);\(#,##0\)"/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6CC"/>
      <color rgb="FF0099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Current Ratio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Ratios!$D$1:$H$1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Ratios!$D$2:$H$2</c:f>
              <c:numCache>
                <c:formatCode>0.00</c:formatCode>
                <c:ptCount val="5"/>
                <c:pt idx="0">
                  <c:v>1.1848642794796684</c:v>
                </c:pt>
                <c:pt idx="1">
                  <c:v>1.0400087356403487</c:v>
                </c:pt>
                <c:pt idx="2">
                  <c:v>1.2450418706320894</c:v>
                </c:pt>
                <c:pt idx="3">
                  <c:v>1.7735022915526613</c:v>
                </c:pt>
                <c:pt idx="4">
                  <c:v>1.2742691314827255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45-4CD9-BA83-F902EF4B5CD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63504240"/>
        <c:axId val="263506320"/>
      </c:barChart>
      <c:catAx>
        <c:axId val="26350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63506320"/>
        <c:crosses val="autoZero"/>
        <c:auto val="1"/>
        <c:lblAlgn val="ctr"/>
        <c:lblOffset val="100"/>
        <c:noMultiLvlLbl val="0"/>
      </c:catAx>
      <c:valAx>
        <c:axId val="26350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26350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188259</xdr:colOff>
      <xdr:row>0</xdr:row>
      <xdr:rowOff>0</xdr:rowOff>
    </xdr:from>
    <xdr:to>
      <xdr:col>15</xdr:col>
      <xdr:colOff>493059</xdr:colOff>
      <xdr:row>15</xdr:row>
      <xdr:rowOff>197224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"/>
  <dimension ref="A1:S152"/>
  <sheetViews>
    <sheetView showGridLines="0" tabSelected="1" topLeftCell="E89" zoomScale="56" zoomScaleNormal="66" workbookViewId="0">
      <selection activeCell="C43" sqref="C43"/>
    </sheetView>
  </sheetViews>
  <sheetFormatPr defaultColWidth="8" defaultRowHeight="14.5"/>
  <cols>
    <col min="1" max="1" width="32.453125" style="8" bestFit="1" customWidth="1"/>
    <col min="2" max="2" width="15.54296875" style="8" bestFit="1" customWidth="1"/>
    <col min="3" max="3" width="59.54296875" style="8" bestFit="1" customWidth="1"/>
    <col min="4" max="4" width="26.54296875" style="8" customWidth="1"/>
    <col min="5" max="5" width="21.08984375" style="8" bestFit="1" customWidth="1"/>
    <col min="6" max="6" width="25.1796875" style="8" customWidth="1"/>
    <col min="7" max="7" width="22.36328125" style="8" customWidth="1"/>
    <col min="8" max="8" width="27.54296875" style="8" customWidth="1"/>
    <col min="9" max="9" width="11.81640625" style="8" customWidth="1"/>
    <col min="10" max="10" width="8.1796875" style="8" bestFit="1" customWidth="1"/>
    <col min="11" max="11" width="10.1796875" style="8" bestFit="1" customWidth="1"/>
    <col min="12" max="13" width="10.54296875" style="8" bestFit="1" customWidth="1"/>
    <col min="14" max="14" width="10.1796875" style="8" bestFit="1" customWidth="1"/>
    <col min="15" max="16384" width="8" style="8"/>
  </cols>
  <sheetData>
    <row r="1" spans="1:15" ht="22.5" thickBot="1">
      <c r="A1" s="88" t="s">
        <v>114</v>
      </c>
      <c r="B1" s="89"/>
      <c r="C1" s="7"/>
      <c r="D1" s="1"/>
      <c r="E1" s="1"/>
      <c r="F1" s="1"/>
      <c r="G1" s="1"/>
      <c r="H1" s="1"/>
    </row>
    <row r="2" spans="1:15" ht="15.5">
      <c r="A2" s="40"/>
      <c r="B2" s="40"/>
      <c r="C2" s="41" t="s">
        <v>110</v>
      </c>
      <c r="D2" s="42">
        <v>2019</v>
      </c>
      <c r="E2" s="42">
        <v>2020</v>
      </c>
      <c r="F2" s="42">
        <v>2021</v>
      </c>
      <c r="G2" s="42">
        <v>2022</v>
      </c>
      <c r="H2" s="42">
        <v>2023</v>
      </c>
      <c r="I2" s="9"/>
    </row>
    <row r="3" spans="1:15" ht="15.5">
      <c r="A3" s="40"/>
      <c r="B3" s="40"/>
      <c r="C3" s="41" t="s">
        <v>0</v>
      </c>
      <c r="D3" s="84"/>
      <c r="E3" s="84"/>
      <c r="F3" s="84" t="s">
        <v>157</v>
      </c>
      <c r="G3" s="84"/>
      <c r="H3" s="84"/>
      <c r="I3" s="4"/>
      <c r="O3" s="3"/>
    </row>
    <row r="4" spans="1:15" ht="15.5">
      <c r="A4" s="40"/>
      <c r="B4" s="40"/>
      <c r="C4" s="41" t="s">
        <v>109</v>
      </c>
      <c r="D4" s="43">
        <v>32</v>
      </c>
      <c r="E4" s="43">
        <v>52</v>
      </c>
      <c r="F4" s="43">
        <v>46</v>
      </c>
      <c r="G4" s="43">
        <v>21</v>
      </c>
      <c r="H4" s="43">
        <v>25</v>
      </c>
      <c r="I4" s="4"/>
    </row>
    <row r="5" spans="1:15">
      <c r="A5" s="55" t="s">
        <v>1</v>
      </c>
      <c r="B5" s="55" t="s">
        <v>2</v>
      </c>
      <c r="C5" s="55" t="s">
        <v>3</v>
      </c>
      <c r="D5" s="56">
        <f>2402215560/1000</f>
        <v>2402215.56</v>
      </c>
      <c r="E5" s="56">
        <f t="shared" ref="E5:G5" si="0">2401190290/1000</f>
        <v>2401190.29</v>
      </c>
      <c r="F5" s="56">
        <f t="shared" si="0"/>
        <v>2401190.29</v>
      </c>
      <c r="G5" s="56">
        <f t="shared" si="0"/>
        <v>2401190.29</v>
      </c>
      <c r="H5" s="56">
        <f>2401190290/1000</f>
        <v>2401190.29</v>
      </c>
    </row>
    <row r="6" spans="1:15">
      <c r="A6" s="55" t="s">
        <v>1</v>
      </c>
      <c r="B6" s="55" t="s">
        <v>2</v>
      </c>
      <c r="C6" s="55" t="s">
        <v>96</v>
      </c>
      <c r="D6" s="57">
        <f t="shared" ref="D6:G6" si="1">600553890/1000</f>
        <v>600553.89</v>
      </c>
      <c r="E6" s="57">
        <f t="shared" si="1"/>
        <v>600553.89</v>
      </c>
      <c r="F6" s="57">
        <f t="shared" si="1"/>
        <v>600553.89</v>
      </c>
      <c r="G6" s="57">
        <f t="shared" si="1"/>
        <v>600553.89</v>
      </c>
      <c r="H6" s="57">
        <f>600553890/1000</f>
        <v>600553.89</v>
      </c>
    </row>
    <row r="7" spans="1:15">
      <c r="A7" s="55" t="s">
        <v>1</v>
      </c>
      <c r="B7" s="55" t="s">
        <v>2</v>
      </c>
      <c r="C7" s="55" t="s">
        <v>4</v>
      </c>
      <c r="D7" s="57">
        <f>12335668992/1000</f>
        <v>12335668.992000001</v>
      </c>
      <c r="E7" s="57">
        <f>10635654095/1000</f>
        <v>10635654.095000001</v>
      </c>
      <c r="F7" s="57">
        <f>15994391851/1000</f>
        <v>15994391.851</v>
      </c>
      <c r="G7" s="57">
        <f>21541641235/1000</f>
        <v>21541641.234999999</v>
      </c>
      <c r="H7" s="57">
        <f>17706379211/1000</f>
        <v>17706379.210999999</v>
      </c>
    </row>
    <row r="8" spans="1:15">
      <c r="A8" s="55" t="s">
        <v>1</v>
      </c>
      <c r="B8" s="55" t="s">
        <v>2</v>
      </c>
      <c r="C8" s="55" t="s">
        <v>97</v>
      </c>
      <c r="D8" s="57"/>
      <c r="E8" s="57"/>
      <c r="F8" s="57"/>
      <c r="G8" s="57">
        <v>0</v>
      </c>
      <c r="H8" s="57">
        <v>0</v>
      </c>
    </row>
    <row r="9" spans="1:15">
      <c r="A9" s="55" t="s">
        <v>1</v>
      </c>
      <c r="B9" s="55" t="s">
        <v>5</v>
      </c>
      <c r="C9" s="55" t="s">
        <v>6</v>
      </c>
      <c r="D9" s="57">
        <f>3657436300/1000</f>
        <v>3657436.3</v>
      </c>
      <c r="E9" s="57">
        <f>6005068426/1000</f>
        <v>6005068.426</v>
      </c>
      <c r="F9" s="57">
        <f>6402802708/1000</f>
        <v>6402802.7079999996</v>
      </c>
      <c r="G9" s="57">
        <f>13440603387/1000</f>
        <v>13440603.387</v>
      </c>
      <c r="H9" s="57">
        <f>12538265074/1000</f>
        <v>12538265.073999999</v>
      </c>
    </row>
    <row r="10" spans="1:15">
      <c r="A10" s="55" t="s">
        <v>1</v>
      </c>
      <c r="B10" s="55" t="s">
        <v>5</v>
      </c>
      <c r="C10" s="55" t="s">
        <v>98</v>
      </c>
      <c r="D10" s="56">
        <v>0</v>
      </c>
      <c r="E10" s="56">
        <f>71968923/1000</f>
        <v>71968.922999999995</v>
      </c>
      <c r="F10" s="56">
        <f>74518895/1000</f>
        <v>74518.895000000004</v>
      </c>
      <c r="G10" s="56">
        <f>56004356/1000</f>
        <v>56004.356</v>
      </c>
      <c r="H10" s="56">
        <f>68666567/1000</f>
        <v>68666.566999999995</v>
      </c>
    </row>
    <row r="11" spans="1:15">
      <c r="A11" s="55" t="s">
        <v>1</v>
      </c>
      <c r="B11" s="55" t="s">
        <v>5</v>
      </c>
      <c r="C11" s="55" t="s">
        <v>7</v>
      </c>
      <c r="D11" s="57">
        <v>0</v>
      </c>
      <c r="E11" s="57">
        <v>0</v>
      </c>
      <c r="F11" s="57">
        <f>191412367/1000</f>
        <v>191412.367</v>
      </c>
      <c r="G11" s="57">
        <f>832798931/1000</f>
        <v>832798.93099999998</v>
      </c>
      <c r="H11" s="57">
        <f>677389719/1000</f>
        <v>677389.71900000004</v>
      </c>
    </row>
    <row r="12" spans="1:15">
      <c r="A12" s="58" t="s">
        <v>1</v>
      </c>
      <c r="B12" s="58" t="s">
        <v>8</v>
      </c>
      <c r="C12" s="58" t="s">
        <v>9</v>
      </c>
      <c r="D12" s="59">
        <f>2894912065/1000</f>
        <v>2894912.0649999999</v>
      </c>
      <c r="E12" s="59">
        <f>4506394490/1000</f>
        <v>4506394.49</v>
      </c>
      <c r="F12" s="59">
        <f>4143474102/1000</f>
        <v>4143474.102</v>
      </c>
      <c r="G12" s="59">
        <f>(4553972203+63732091)/1000</f>
        <v>4617704.2939999998</v>
      </c>
      <c r="H12" s="59">
        <f>(4222922732+69141071)/1000</f>
        <v>4292063.8030000003</v>
      </c>
      <c r="I12" s="8" t="s">
        <v>158</v>
      </c>
    </row>
    <row r="13" spans="1:15">
      <c r="A13" s="58" t="s">
        <v>1</v>
      </c>
      <c r="B13" s="58" t="s">
        <v>8</v>
      </c>
      <c r="C13" s="58" t="s">
        <v>10</v>
      </c>
      <c r="D13" s="59">
        <f>431379587/1000</f>
        <v>431379.587</v>
      </c>
      <c r="E13" s="77">
        <f>463028006/1000</f>
        <v>463028.00599999999</v>
      </c>
      <c r="F13" s="59">
        <f>271720913/1000</f>
        <v>271720.913</v>
      </c>
      <c r="G13" s="59">
        <f>512941848/1000</f>
        <v>512941.848</v>
      </c>
      <c r="H13" s="59">
        <f>1397309345/1000</f>
        <v>1397309.345</v>
      </c>
    </row>
    <row r="14" spans="1:15">
      <c r="A14" s="58" t="s">
        <v>1</v>
      </c>
      <c r="B14" s="58" t="s">
        <v>8</v>
      </c>
      <c r="C14" s="58" t="s">
        <v>94</v>
      </c>
      <c r="D14" s="59">
        <f>20091978160/1000</f>
        <v>20091978.16</v>
      </c>
      <c r="E14" s="59">
        <f>22554435284/1000</f>
        <v>22554435.284000002</v>
      </c>
      <c r="F14" s="59">
        <f>18897913417/1000</f>
        <v>18897913.416999999</v>
      </c>
      <c r="G14" s="59">
        <f>12944009897/1000</f>
        <v>12944009.897</v>
      </c>
      <c r="H14" s="59">
        <f>27881717844/1000</f>
        <v>27881717.844000001</v>
      </c>
    </row>
    <row r="15" spans="1:15">
      <c r="A15" s="58" t="s">
        <v>1</v>
      </c>
      <c r="B15" s="58" t="s">
        <v>8</v>
      </c>
      <c r="C15" s="58" t="s">
        <v>95</v>
      </c>
      <c r="D15" s="59">
        <f>1093798900/1000</f>
        <v>1093798.8999999999</v>
      </c>
      <c r="E15" s="59">
        <f>512310173/1000</f>
        <v>512310.17300000001</v>
      </c>
      <c r="F15" s="59">
        <f>2792063629/1000</f>
        <v>2792063.6290000002</v>
      </c>
      <c r="G15" s="59">
        <f>2338047885/1000</f>
        <v>2338047.8849999998</v>
      </c>
      <c r="H15" s="59">
        <f>2137618315/1000</f>
        <v>2137618.3149999999</v>
      </c>
    </row>
    <row r="16" spans="1:15">
      <c r="A16" s="58" t="s">
        <v>1</v>
      </c>
      <c r="B16" s="58" t="s">
        <v>8</v>
      </c>
      <c r="C16" s="58" t="s">
        <v>106</v>
      </c>
      <c r="D16" s="59"/>
      <c r="E16" s="59"/>
      <c r="F16" s="59"/>
      <c r="G16" s="59">
        <f>150138087/1000</f>
        <v>150138.087</v>
      </c>
      <c r="H16" s="59">
        <f>144607140/1000</f>
        <v>144607.14000000001</v>
      </c>
    </row>
    <row r="17" spans="1:9">
      <c r="A17" s="55" t="s">
        <v>1</v>
      </c>
      <c r="B17" s="55" t="s">
        <v>11</v>
      </c>
      <c r="C17" s="55" t="s">
        <v>12</v>
      </c>
      <c r="D17" s="56">
        <f>11112476842/1000</f>
        <v>11112476.842</v>
      </c>
      <c r="E17" s="56">
        <f>16569284419/1000</f>
        <v>16569284.419</v>
      </c>
      <c r="F17" s="56">
        <f>17224473737/1000</f>
        <v>17224473.737</v>
      </c>
      <c r="G17" s="56">
        <f>22595891328/1000</f>
        <v>22595891.328000002</v>
      </c>
      <c r="H17" s="56">
        <f>23672994434/1000</f>
        <v>23672994.434</v>
      </c>
    </row>
    <row r="18" spans="1:9">
      <c r="A18" s="55" t="s">
        <v>1</v>
      </c>
      <c r="B18" s="55" t="s">
        <v>11</v>
      </c>
      <c r="C18" s="55" t="s">
        <v>99</v>
      </c>
      <c r="D18" s="56"/>
      <c r="E18" s="56"/>
      <c r="F18" s="56"/>
      <c r="G18" s="56"/>
      <c r="H18" s="56"/>
    </row>
    <row r="19" spans="1:9">
      <c r="A19" s="55" t="s">
        <v>1</v>
      </c>
      <c r="B19" s="55" t="s">
        <v>11</v>
      </c>
      <c r="C19" s="55" t="s">
        <v>91</v>
      </c>
      <c r="D19" s="56">
        <f>3309286040/1000</f>
        <v>3309286.04</v>
      </c>
      <c r="E19" s="56">
        <f>1886681200/1000</f>
        <v>1886681.2</v>
      </c>
      <c r="F19" s="56">
        <f>1886681200/1000</f>
        <v>1886681.2</v>
      </c>
      <c r="G19" s="56">
        <f>510128000/1000</f>
        <v>510128</v>
      </c>
      <c r="H19" s="56">
        <f>510128000/1000</f>
        <v>510128</v>
      </c>
    </row>
    <row r="20" spans="1:9">
      <c r="A20" s="55" t="s">
        <v>1</v>
      </c>
      <c r="B20" s="55" t="s">
        <v>11</v>
      </c>
      <c r="C20" s="55" t="s">
        <v>92</v>
      </c>
      <c r="D20" s="56">
        <f>15916295/1000</f>
        <v>15916.295</v>
      </c>
      <c r="E20" s="56">
        <f>11905910/1000</f>
        <v>11905.91</v>
      </c>
      <c r="F20" s="56">
        <f>18710927/1000</f>
        <v>18710.927</v>
      </c>
      <c r="G20" s="56">
        <f>21616477/1000</f>
        <v>21616.476999999999</v>
      </c>
      <c r="H20" s="56">
        <f>11154911/1000</f>
        <v>11154.911</v>
      </c>
    </row>
    <row r="21" spans="1:9">
      <c r="A21" s="55" t="s">
        <v>1</v>
      </c>
      <c r="B21" s="55" t="s">
        <v>11</v>
      </c>
      <c r="C21" s="55" t="s">
        <v>93</v>
      </c>
      <c r="D21" s="56">
        <f>26120190/1000</f>
        <v>26120.19</v>
      </c>
      <c r="E21" s="56">
        <f>31689760/1000</f>
        <v>31689.759999999998</v>
      </c>
      <c r="F21" s="56">
        <f>30467609/1000</f>
        <v>30467.609</v>
      </c>
      <c r="G21" s="56">
        <f>30734231/1000</f>
        <v>30734.231</v>
      </c>
      <c r="H21" s="56">
        <f>33959024/1000</f>
        <v>33959.023999999998</v>
      </c>
    </row>
    <row r="22" spans="1:9">
      <c r="A22" s="55" t="s">
        <v>1</v>
      </c>
      <c r="B22" s="55" t="s">
        <v>11</v>
      </c>
      <c r="C22" s="55" t="s">
        <v>13</v>
      </c>
      <c r="D22" s="56"/>
      <c r="E22" s="56"/>
      <c r="F22" s="56"/>
      <c r="G22" s="56"/>
      <c r="H22" s="56"/>
    </row>
    <row r="23" spans="1:9">
      <c r="A23" s="55" t="s">
        <v>1</v>
      </c>
      <c r="B23" s="55" t="s">
        <v>11</v>
      </c>
      <c r="C23" s="55" t="s">
        <v>7</v>
      </c>
      <c r="D23" s="56">
        <f>669454/1000</f>
        <v>669.45399999999995</v>
      </c>
      <c r="E23" s="56">
        <f>93182703/1000</f>
        <v>93182.702999999994</v>
      </c>
      <c r="F23" s="56">
        <f>107676333/1000</f>
        <v>107676.333</v>
      </c>
      <c r="G23" s="56">
        <f>75286878/1000</f>
        <v>75286.877999999997</v>
      </c>
      <c r="H23" s="56">
        <f>115018834/1000</f>
        <v>115018.834</v>
      </c>
    </row>
    <row r="24" spans="1:9">
      <c r="A24" s="60" t="s">
        <v>1</v>
      </c>
      <c r="B24" s="60" t="s">
        <v>14</v>
      </c>
      <c r="C24" s="60" t="s">
        <v>15</v>
      </c>
      <c r="D24" s="61">
        <f>752354029/1000</f>
        <v>752354.02899999998</v>
      </c>
      <c r="E24" s="61">
        <f>1604905978/1000</f>
        <v>1604905.9779999999</v>
      </c>
      <c r="F24" s="61">
        <f>1729136103/1000</f>
        <v>1729136.1029999999</v>
      </c>
      <c r="G24" s="61">
        <f>1737163960/1000</f>
        <v>1737163.96</v>
      </c>
      <c r="H24" s="61">
        <f>2511321040/1000</f>
        <v>2511321.04</v>
      </c>
    </row>
    <row r="25" spans="1:9">
      <c r="A25" s="60" t="s">
        <v>1</v>
      </c>
      <c r="B25" s="60" t="s">
        <v>14</v>
      </c>
      <c r="C25" s="60" t="s">
        <v>16</v>
      </c>
      <c r="D25" s="61">
        <f>15721247262/1000</f>
        <v>15721247.262</v>
      </c>
      <c r="E25" s="61">
        <f>19317385472/1000</f>
        <v>19317385.471999999</v>
      </c>
      <c r="F25" s="61">
        <f>18214419656/1000</f>
        <v>18214419.655999999</v>
      </c>
      <c r="G25" s="61">
        <f>21177210052/1000</f>
        <v>21177210.052000001</v>
      </c>
      <c r="H25" s="61">
        <f>23554034198/1000</f>
        <v>23554034.197999999</v>
      </c>
    </row>
    <row r="26" spans="1:9">
      <c r="A26" s="60" t="s">
        <v>1</v>
      </c>
      <c r="B26" s="60" t="s">
        <v>14</v>
      </c>
      <c r="C26" s="60" t="s">
        <v>17</v>
      </c>
      <c r="D26" s="61">
        <f>6426369277/1000</f>
        <v>6426369.2769999998</v>
      </c>
      <c r="E26" s="61">
        <f>4686630353/1000</f>
        <v>4686630.3530000001</v>
      </c>
      <c r="F26" s="61">
        <f>6782425428/1000</f>
        <v>6782425.4280000003</v>
      </c>
      <c r="G26" s="61">
        <f>7741005867/1000</f>
        <v>7741005.8669999996</v>
      </c>
      <c r="H26" s="61">
        <f>11409750014/1000</f>
        <v>11409750.014</v>
      </c>
    </row>
    <row r="27" spans="1:9">
      <c r="A27" s="60" t="s">
        <v>1</v>
      </c>
      <c r="B27" s="60" t="s">
        <v>14</v>
      </c>
      <c r="C27" s="60" t="s">
        <v>18</v>
      </c>
      <c r="D27" s="61">
        <f>2361354660/1000</f>
        <v>2361354.66</v>
      </c>
      <c r="E27" s="61">
        <f>1106668001/1000</f>
        <v>1106668.0009999999</v>
      </c>
      <c r="F27" s="61">
        <f>3269989437/1000</f>
        <v>3269989.4369999999</v>
      </c>
      <c r="G27" s="61">
        <f>1869297569/1000</f>
        <v>1869297.5689999999</v>
      </c>
      <c r="H27" s="61">
        <f>4070437994/1000</f>
        <v>4070437.9939999999</v>
      </c>
    </row>
    <row r="28" spans="1:9">
      <c r="A28" s="60" t="s">
        <v>1</v>
      </c>
      <c r="B28" s="60" t="s">
        <v>14</v>
      </c>
      <c r="C28" s="60" t="s">
        <v>19</v>
      </c>
      <c r="D28" s="61">
        <f>3743733633/1000</f>
        <v>3743733.6329999999</v>
      </c>
      <c r="E28" s="61">
        <f>2356969446/1000</f>
        <v>2356969.446</v>
      </c>
      <c r="F28" s="61">
        <f>2075932245/1000</f>
        <v>2075932.2450000001</v>
      </c>
      <c r="G28" s="61">
        <f>(1521609963+12242055+1875858200)/1000</f>
        <v>3409710.2179999999</v>
      </c>
      <c r="H28" s="61">
        <f>(3589740169+7824982)/1000</f>
        <v>3597565.1510000001</v>
      </c>
      <c r="I28" s="8" t="s">
        <v>159</v>
      </c>
    </row>
    <row r="29" spans="1:9">
      <c r="A29" s="60" t="s">
        <v>1</v>
      </c>
      <c r="B29" s="60" t="s">
        <v>14</v>
      </c>
      <c r="C29" s="60" t="s">
        <v>90</v>
      </c>
      <c r="D29" s="61">
        <f>20687395/1000</f>
        <v>20687.395</v>
      </c>
      <c r="E29" s="61">
        <f>37833033/1000</f>
        <v>37833.033000000003</v>
      </c>
      <c r="F29" s="61">
        <f>157494433/1000</f>
        <v>157494.43299999999</v>
      </c>
      <c r="G29" s="61">
        <f>58582472/1000</f>
        <v>58582.472000000002</v>
      </c>
      <c r="H29" s="61">
        <f>80364318/1000</f>
        <v>80364.317999999999</v>
      </c>
    </row>
    <row r="30" spans="1:9">
      <c r="A30" s="60" t="s">
        <v>1</v>
      </c>
      <c r="B30" s="60" t="s">
        <v>14</v>
      </c>
      <c r="C30" s="60" t="s">
        <v>20</v>
      </c>
      <c r="D30" s="61">
        <f>17728377/1000</f>
        <v>17728.377</v>
      </c>
      <c r="E30" s="61">
        <f>47467302/1000</f>
        <v>47467.302000000003</v>
      </c>
      <c r="F30" s="61">
        <f>272634954/1000</f>
        <v>272634.95400000003</v>
      </c>
      <c r="G30" s="61">
        <f>209007048/1000</f>
        <v>209007.04800000001</v>
      </c>
      <c r="H30" s="61">
        <f>279033280/1000</f>
        <v>279033.28000000003</v>
      </c>
    </row>
    <row r="31" spans="1:9">
      <c r="A31" s="62" t="s">
        <v>51</v>
      </c>
      <c r="B31" s="62" t="s">
        <v>21</v>
      </c>
      <c r="C31" s="62" t="s">
        <v>22</v>
      </c>
      <c r="D31" s="63">
        <f>39337640505/1000</f>
        <v>39337640.505000003</v>
      </c>
      <c r="E31" s="63">
        <f>35666860338/1000</f>
        <v>35666860.338</v>
      </c>
      <c r="F31" s="63">
        <f>49283753375/1000</f>
        <v>49283753.375</v>
      </c>
      <c r="G31" s="63">
        <f>61988039043/1000</f>
        <v>61988039.042999998</v>
      </c>
      <c r="H31" s="63">
        <f>67629278772/1000</f>
        <v>67629278.772</v>
      </c>
    </row>
    <row r="32" spans="1:9">
      <c r="A32" s="62" t="s">
        <v>51</v>
      </c>
      <c r="B32" s="62" t="s">
        <v>23</v>
      </c>
      <c r="C32" s="62" t="s">
        <v>24</v>
      </c>
      <c r="D32" s="63">
        <f>34450127944/1000</f>
        <v>34450127.943999998</v>
      </c>
      <c r="E32" s="63">
        <f>31462473755/1000</f>
        <v>31462473.754999999</v>
      </c>
      <c r="F32" s="63">
        <f>40314606582/1000</f>
        <v>40314606.582000002</v>
      </c>
      <c r="G32" s="63">
        <f>49013867586/1000</f>
        <v>49013867.586000003</v>
      </c>
      <c r="H32" s="63">
        <f>61040219028/1000</f>
        <v>61040219.027999997</v>
      </c>
    </row>
    <row r="33" spans="1:8">
      <c r="A33" s="62" t="s">
        <v>51</v>
      </c>
      <c r="B33" s="62" t="s">
        <v>23</v>
      </c>
      <c r="C33" s="62" t="s">
        <v>62</v>
      </c>
      <c r="D33" s="63">
        <f>278123593/1000</f>
        <v>278123.59299999999</v>
      </c>
      <c r="E33" s="63">
        <f>324246078/1000</f>
        <v>324246.07799999998</v>
      </c>
      <c r="F33" s="63">
        <f>311916781/1000</f>
        <v>311916.78100000002</v>
      </c>
      <c r="G33" s="63">
        <f>516587209/1000</f>
        <v>516587.20899999997</v>
      </c>
      <c r="H33" s="63">
        <f>497372207/1000</f>
        <v>497372.20699999999</v>
      </c>
    </row>
    <row r="34" spans="1:8">
      <c r="A34" s="62" t="s">
        <v>51</v>
      </c>
      <c r="B34" s="62" t="s">
        <v>23</v>
      </c>
      <c r="C34" s="62" t="s">
        <v>49</v>
      </c>
      <c r="D34" s="63">
        <f>944021613/1000</f>
        <v>944021.61300000001</v>
      </c>
      <c r="E34" s="63">
        <f>869064344/1000</f>
        <v>869064.34400000004</v>
      </c>
      <c r="F34" s="63">
        <f>1160598536/1000</f>
        <v>1160598.5360000001</v>
      </c>
      <c r="G34" s="63">
        <f>1705234527/1000</f>
        <v>1705234.527</v>
      </c>
      <c r="H34" s="63">
        <f>1617713504/1000</f>
        <v>1617713.504</v>
      </c>
    </row>
    <row r="35" spans="1:8">
      <c r="A35" s="62" t="s">
        <v>51</v>
      </c>
      <c r="B35" s="62" t="s">
        <v>21</v>
      </c>
      <c r="C35" s="62" t="s">
        <v>53</v>
      </c>
      <c r="D35" s="63">
        <f>2454439930/1000</f>
        <v>2454439.9300000002</v>
      </c>
      <c r="E35" s="63">
        <f>454010211/1000</f>
        <v>454010.21100000001</v>
      </c>
      <c r="F35" s="63">
        <f>864014535/1000</f>
        <v>864014.53500000003</v>
      </c>
      <c r="G35" s="63">
        <f>744258753/1000</f>
        <v>744258.75300000003</v>
      </c>
      <c r="H35" s="63">
        <f>937284589/1000</f>
        <v>937284.58900000004</v>
      </c>
    </row>
    <row r="36" spans="1:8">
      <c r="A36" s="62" t="s">
        <v>51</v>
      </c>
      <c r="B36" s="62" t="s">
        <v>23</v>
      </c>
      <c r="C36" s="62" t="s">
        <v>50</v>
      </c>
      <c r="D36" s="63">
        <f>273865080/1000</f>
        <v>273865.08</v>
      </c>
      <c r="E36" s="63">
        <f>95033845/1000</f>
        <v>95033.845000000001</v>
      </c>
      <c r="F36" s="63">
        <f>340448157/1000</f>
        <v>340448.15700000001</v>
      </c>
      <c r="G36" s="63">
        <f>944657875/1000</f>
        <v>944657.875</v>
      </c>
      <c r="H36" s="63">
        <f>79356566/1000</f>
        <v>79356.566000000006</v>
      </c>
    </row>
    <row r="37" spans="1:8">
      <c r="A37" s="62" t="s">
        <v>51</v>
      </c>
      <c r="B37" s="62" t="s">
        <v>23</v>
      </c>
      <c r="C37" s="62" t="s">
        <v>89</v>
      </c>
      <c r="D37" s="63">
        <f>2177576149/1000</f>
        <v>2177576.1490000002</v>
      </c>
      <c r="E37" s="63">
        <f>2660855936/1000</f>
        <v>2660855.9360000002</v>
      </c>
      <c r="F37" s="63">
        <f>1747035020/1000</f>
        <v>1747035.02</v>
      </c>
      <c r="G37" s="63">
        <f>2204096284/1000</f>
        <v>2204096.284</v>
      </c>
      <c r="H37" s="63">
        <f>5418814780/1000</f>
        <v>5418814.7800000003</v>
      </c>
    </row>
    <row r="38" spans="1:8">
      <c r="A38" s="62" t="s">
        <v>51</v>
      </c>
      <c r="B38" s="62" t="s">
        <v>25</v>
      </c>
      <c r="C38" s="62" t="s">
        <v>107</v>
      </c>
      <c r="D38" s="63"/>
      <c r="E38" s="63">
        <f>443827211/1000</f>
        <v>443827.21100000001</v>
      </c>
      <c r="F38" s="63">
        <f>674306049/1000</f>
        <v>674306.049</v>
      </c>
      <c r="G38" s="63">
        <v>0</v>
      </c>
      <c r="H38" s="63">
        <v>0</v>
      </c>
    </row>
    <row r="39" spans="1:8">
      <c r="A39" s="62" t="s">
        <v>51</v>
      </c>
      <c r="B39" s="62" t="s">
        <v>26</v>
      </c>
      <c r="C39" s="62" t="s">
        <v>108</v>
      </c>
      <c r="D39" s="63">
        <f>500774516/1000</f>
        <v>500774.516</v>
      </c>
      <c r="E39" s="63">
        <f>870374395/1000</f>
        <v>870374.39500000002</v>
      </c>
      <c r="F39" s="63">
        <f>513342536/1000</f>
        <v>513342.53600000002</v>
      </c>
      <c r="G39" s="63">
        <f>879652699/1000</f>
        <v>879652.69900000002</v>
      </c>
      <c r="H39" s="63">
        <f>912014984/1000</f>
        <v>912014.98400000005</v>
      </c>
    </row>
    <row r="40" spans="1:8">
      <c r="A40" s="64" t="s">
        <v>52</v>
      </c>
      <c r="B40" s="64" t="s">
        <v>27</v>
      </c>
      <c r="C40" s="64" t="s">
        <v>100</v>
      </c>
      <c r="D40" s="65">
        <f>2490020970/1000</f>
        <v>2490020.9700000002</v>
      </c>
      <c r="E40" s="65">
        <f>4543812553/1000</f>
        <v>4543812.5530000003</v>
      </c>
      <c r="F40" s="65">
        <f>5884060745/1000</f>
        <v>5884060.7450000001</v>
      </c>
      <c r="G40" s="65">
        <f>9807081784/1000</f>
        <v>9807081.784</v>
      </c>
      <c r="H40" s="65">
        <f>-4453413789/1000</f>
        <v>-4453413.7889999999</v>
      </c>
    </row>
    <row r="41" spans="1:8">
      <c r="A41" s="64" t="s">
        <v>52</v>
      </c>
      <c r="B41" s="64" t="s">
        <v>27</v>
      </c>
      <c r="C41" s="64" t="s">
        <v>101</v>
      </c>
      <c r="D41" s="65">
        <f>-1957292244/1000</f>
        <v>-1957292.2439999999</v>
      </c>
      <c r="E41" s="65">
        <f>-2683448970/1000</f>
        <v>-2683448.9700000002</v>
      </c>
      <c r="F41" s="65">
        <f>-1878533131/1000</f>
        <v>-1878533.1310000001</v>
      </c>
      <c r="G41" s="65">
        <f>-1894176292/1000</f>
        <v>-1894176.2919999999</v>
      </c>
      <c r="H41" s="65">
        <f>-3224793/1000</f>
        <v>-3224.7930000000001</v>
      </c>
    </row>
    <row r="42" spans="1:8">
      <c r="A42" s="64" t="s">
        <v>52</v>
      </c>
      <c r="B42" s="64" t="s">
        <v>27</v>
      </c>
      <c r="C42" s="64" t="s">
        <v>102</v>
      </c>
      <c r="D42" s="65">
        <f>-329536085/1000</f>
        <v>-329536.08500000002</v>
      </c>
      <c r="E42" s="65">
        <f>-276289686/1000</f>
        <v>-276289.68599999999</v>
      </c>
      <c r="F42" s="65">
        <f>-325774547/1000</f>
        <v>-325774.54700000002</v>
      </c>
      <c r="G42" s="65">
        <f>-450656596/1000</f>
        <v>-450656.59600000002</v>
      </c>
      <c r="H42" s="65">
        <f>-4552739224/1000</f>
        <v>-4552739.2240000004</v>
      </c>
    </row>
    <row r="43" spans="1:8">
      <c r="A43" s="64" t="s">
        <v>52</v>
      </c>
      <c r="B43" s="64" t="s">
        <v>27</v>
      </c>
      <c r="C43" s="64" t="s">
        <v>7</v>
      </c>
      <c r="D43" s="65">
        <f>-5400072/1000</f>
        <v>-5400.0720000000001</v>
      </c>
      <c r="E43" s="65">
        <f>-1771300/1000</f>
        <v>-1771.3</v>
      </c>
      <c r="F43" s="65">
        <f>-11063615/1000</f>
        <v>-11063.615</v>
      </c>
      <c r="G43" s="65">
        <f>-4910464/1000</f>
        <v>-4910.4639999999999</v>
      </c>
      <c r="H43" s="65">
        <f>-902237072/1000</f>
        <v>-902237.07200000004</v>
      </c>
    </row>
    <row r="44" spans="1:8" ht="15.5">
      <c r="A44" s="64" t="s">
        <v>52</v>
      </c>
      <c r="B44" s="64" t="s">
        <v>27</v>
      </c>
      <c r="C44" s="66" t="s">
        <v>86</v>
      </c>
      <c r="D44" s="67">
        <f>SUM(D40:D43)</f>
        <v>197792.56900000025</v>
      </c>
      <c r="E44" s="67">
        <f t="shared" ref="E44:H44" si="2">SUM(E40:E43)</f>
        <v>1582302.5970000001</v>
      </c>
      <c r="F44" s="67">
        <f t="shared" si="2"/>
        <v>3668689.4519999996</v>
      </c>
      <c r="G44" s="67">
        <f>SUM(G40:G43)</f>
        <v>7457338.432000001</v>
      </c>
      <c r="H44" s="67">
        <f t="shared" si="2"/>
        <v>-9911614.8780000005</v>
      </c>
    </row>
    <row r="45" spans="1:8">
      <c r="A45" s="64" t="s">
        <v>52</v>
      </c>
      <c r="B45" s="64" t="s">
        <v>28</v>
      </c>
      <c r="C45" s="64" t="s">
        <v>84</v>
      </c>
      <c r="D45" s="65">
        <f>-682912942/1000</f>
        <v>-682912.94200000004</v>
      </c>
      <c r="E45" s="65">
        <f>-1699375399/1000</f>
        <v>-1699375.399</v>
      </c>
      <c r="F45" s="65">
        <f>-1867069998/1000</f>
        <v>-1867069.9979999999</v>
      </c>
      <c r="G45" s="65">
        <f>-6958326115/1000</f>
        <v>-6958326.1150000002</v>
      </c>
      <c r="H45" s="65">
        <f>-2797872040/1000</f>
        <v>-2797872.04</v>
      </c>
    </row>
    <row r="46" spans="1:8">
      <c r="A46" s="64" t="s">
        <v>52</v>
      </c>
      <c r="B46" s="64" t="s">
        <v>28</v>
      </c>
      <c r="C46" s="64" t="s">
        <v>68</v>
      </c>
      <c r="D46" s="65">
        <f>3125264/1000</f>
        <v>3125.2640000000001</v>
      </c>
      <c r="E46" s="65">
        <f>55059447/1000</f>
        <v>55059.447</v>
      </c>
      <c r="F46" s="65">
        <f>68579715/1000</f>
        <v>68579.714999999997</v>
      </c>
      <c r="G46" s="65">
        <f>51256547/1000</f>
        <v>51256.546999999999</v>
      </c>
      <c r="H46" s="65">
        <f>120188050/1000</f>
        <v>120188.05</v>
      </c>
    </row>
    <row r="47" spans="1:8">
      <c r="A47" s="64" t="s">
        <v>52</v>
      </c>
      <c r="B47" s="64" t="s">
        <v>28</v>
      </c>
      <c r="C47" s="64" t="s">
        <v>85</v>
      </c>
      <c r="D47" s="65">
        <f>524840320/1000</f>
        <v>524840.31999999995</v>
      </c>
      <c r="E47" s="65">
        <f>173303295/1000</f>
        <v>173303.29500000001</v>
      </c>
      <c r="F47" s="65">
        <v>0</v>
      </c>
      <c r="G47" s="65">
        <f>-591164/1000</f>
        <v>-591.16399999999999</v>
      </c>
      <c r="H47" s="65">
        <f>-1733750/1000</f>
        <v>-1733.75</v>
      </c>
    </row>
    <row r="48" spans="1:8">
      <c r="A48" s="64" t="s">
        <v>52</v>
      </c>
      <c r="B48" s="64" t="s">
        <v>28</v>
      </c>
      <c r="C48" s="64" t="s">
        <v>69</v>
      </c>
      <c r="D48" s="65">
        <f>-10435298011/1000</f>
        <v>-10435298.011</v>
      </c>
      <c r="E48" s="65">
        <v>0</v>
      </c>
      <c r="F48" s="65">
        <v>0</v>
      </c>
      <c r="G48" s="65">
        <f>100000/1000</f>
        <v>100</v>
      </c>
      <c r="H48" s="65">
        <v>0</v>
      </c>
    </row>
    <row r="49" spans="1:8">
      <c r="A49" s="64" t="s">
        <v>52</v>
      </c>
      <c r="B49" s="64" t="s">
        <v>28</v>
      </c>
      <c r="C49" s="64" t="s">
        <v>67</v>
      </c>
      <c r="D49" s="65">
        <f>322000000/1000</f>
        <v>322000</v>
      </c>
      <c r="E49" s="65">
        <v>0</v>
      </c>
      <c r="F49" s="65">
        <v>0</v>
      </c>
      <c r="G49" s="65">
        <v>0</v>
      </c>
      <c r="H49" s="65">
        <v>0</v>
      </c>
    </row>
    <row r="50" spans="1:8">
      <c r="A50" s="64" t="s">
        <v>52</v>
      </c>
      <c r="B50" s="64" t="s">
        <v>28</v>
      </c>
      <c r="C50" s="64" t="s">
        <v>7</v>
      </c>
      <c r="D50" s="65">
        <f>9670897136/1000</f>
        <v>9670897.1359999999</v>
      </c>
      <c r="E50" s="65">
        <f>-1246234579/1000</f>
        <v>-1246234.5789999999</v>
      </c>
      <c r="F50" s="65">
        <f>-108234702/1000</f>
        <v>-108234.702</v>
      </c>
      <c r="G50" s="65">
        <f>-104300954/1000</f>
        <v>-104300.954</v>
      </c>
      <c r="H50" s="65">
        <f>-23642433/1000</f>
        <v>-23642.433000000001</v>
      </c>
    </row>
    <row r="51" spans="1:8" ht="15.5">
      <c r="A51" s="64" t="s">
        <v>52</v>
      </c>
      <c r="B51" s="64" t="s">
        <v>28</v>
      </c>
      <c r="C51" s="66" t="s">
        <v>87</v>
      </c>
      <c r="D51" s="67">
        <f>SUM(D45:D50)</f>
        <v>-597348.23300000094</v>
      </c>
      <c r="E51" s="67">
        <f t="shared" ref="E51:H51" si="3">SUM(E45:E50)</f>
        <v>-2717247.236</v>
      </c>
      <c r="F51" s="67">
        <f t="shared" si="3"/>
        <v>-1906724.9849999999</v>
      </c>
      <c r="G51" s="67">
        <f t="shared" si="3"/>
        <v>-7011861.6859999998</v>
      </c>
      <c r="H51" s="67">
        <f t="shared" si="3"/>
        <v>-2703060.1730000004</v>
      </c>
    </row>
    <row r="52" spans="1:8">
      <c r="A52" s="64" t="s">
        <v>52</v>
      </c>
      <c r="B52" s="64" t="s">
        <v>29</v>
      </c>
      <c r="C52" s="68" t="s">
        <v>70</v>
      </c>
      <c r="D52" s="65"/>
      <c r="E52" s="65">
        <f>1115640000/1000</f>
        <v>1115640</v>
      </c>
      <c r="F52" s="65">
        <f>4308932735/1000</f>
        <v>4308932.7350000003</v>
      </c>
      <c r="G52" s="65">
        <f>7189040964/1000</f>
        <v>7189040.9639999997</v>
      </c>
      <c r="H52" s="65">
        <f>-1247946585/1000</f>
        <v>-1247946.585</v>
      </c>
    </row>
    <row r="53" spans="1:8">
      <c r="A53" s="64" t="s">
        <v>52</v>
      </c>
      <c r="B53" s="64" t="s">
        <v>29</v>
      </c>
      <c r="C53" s="68" t="s">
        <v>71</v>
      </c>
      <c r="D53" s="65">
        <f>3069986304/1000</f>
        <v>3069986.304</v>
      </c>
      <c r="E53" s="65">
        <f>1689805188/1000</f>
        <v>1689805.1880000001</v>
      </c>
      <c r="F53" s="65">
        <f>-3656521867/1000</f>
        <v>-3656521.8670000001</v>
      </c>
      <c r="G53" s="65">
        <f>-5953903520/1000</f>
        <v>-5953903.5199999996</v>
      </c>
      <c r="H53" s="65">
        <f>14937707947/1000</f>
        <v>14937707.947000001</v>
      </c>
    </row>
    <row r="54" spans="1:8">
      <c r="A54" s="64" t="s">
        <v>52</v>
      </c>
      <c r="B54" s="64" t="s">
        <v>29</v>
      </c>
      <c r="C54" s="69" t="s">
        <v>72</v>
      </c>
      <c r="D54" s="65">
        <f>-1307123217/1000</f>
        <v>-1307123.2169999999</v>
      </c>
      <c r="E54" s="65">
        <f>-601884884/1000</f>
        <v>-601884.88399999996</v>
      </c>
      <c r="F54" s="65">
        <f>-240915306/1000</f>
        <v>-240915.30600000001</v>
      </c>
      <c r="G54" s="65">
        <f>-1907138228/1000</f>
        <v>-1907138.2279999999</v>
      </c>
      <c r="H54" s="65">
        <f>-955067136/1000</f>
        <v>-955067.13600000006</v>
      </c>
    </row>
    <row r="55" spans="1:8">
      <c r="A55" s="64" t="s">
        <v>52</v>
      </c>
      <c r="B55" s="64" t="s">
        <v>29</v>
      </c>
      <c r="C55" s="69" t="s">
        <v>7</v>
      </c>
      <c r="D55" s="65">
        <f>-1422023900/1000</f>
        <v>-1422023.9</v>
      </c>
      <c r="E55" s="65">
        <f>-1042460359/1000</f>
        <v>-1042460.3590000001</v>
      </c>
      <c r="F55" s="65">
        <f>-1948292377/1000</f>
        <v>-1948292.3770000001</v>
      </c>
      <c r="G55" s="65">
        <f>-45505776/1000</f>
        <v>-45505.775999999998</v>
      </c>
      <c r="H55" s="65">
        <f>-49992943/1000</f>
        <v>-49992.942999999999</v>
      </c>
    </row>
    <row r="56" spans="1:8">
      <c r="A56" s="64" t="s">
        <v>52</v>
      </c>
      <c r="B56" s="64" t="s">
        <v>29</v>
      </c>
      <c r="C56" s="69" t="s">
        <v>30</v>
      </c>
      <c r="D56" s="65"/>
      <c r="E56" s="65"/>
      <c r="F56" s="65"/>
      <c r="G56" s="65"/>
      <c r="H56" s="65"/>
    </row>
    <row r="57" spans="1:8" ht="15.5">
      <c r="A57" s="64" t="s">
        <v>52</v>
      </c>
      <c r="B57" s="64" t="s">
        <v>29</v>
      </c>
      <c r="C57" s="66" t="s">
        <v>88</v>
      </c>
      <c r="D57" s="67">
        <f>SUM(D52:D56)</f>
        <v>340839.18700000015</v>
      </c>
      <c r="E57" s="67">
        <f t="shared" ref="E57:H57" si="4">SUM(E52:E56)</f>
        <v>1161099.9449999998</v>
      </c>
      <c r="F57" s="67">
        <f t="shared" si="4"/>
        <v>-1536796.8149999999</v>
      </c>
      <c r="G57" s="67">
        <f t="shared" si="4"/>
        <v>-717506.55999999971</v>
      </c>
      <c r="H57" s="67">
        <f t="shared" si="4"/>
        <v>12684701.283</v>
      </c>
    </row>
    <row r="58" spans="1:8">
      <c r="A58" s="70" t="s">
        <v>52</v>
      </c>
      <c r="B58" s="70" t="s">
        <v>31</v>
      </c>
      <c r="C58" s="70" t="s">
        <v>32</v>
      </c>
      <c r="D58" s="71">
        <f>927070671/1000</f>
        <v>927070.67099999997</v>
      </c>
      <c r="E58" s="71">
        <f>940819536/1000</f>
        <v>940819.53599999996</v>
      </c>
      <c r="F58" s="71">
        <f>1206775315/1000</f>
        <v>1206775.3149999999</v>
      </c>
      <c r="G58" s="71">
        <f>1248384305/1000</f>
        <v>1248384.3049999999</v>
      </c>
      <c r="H58" s="71">
        <f>1638621705/1000</f>
        <v>1638621.7050000001</v>
      </c>
    </row>
    <row r="59" spans="1:8">
      <c r="A59" s="70" t="s">
        <v>52</v>
      </c>
      <c r="B59" s="70" t="s">
        <v>31</v>
      </c>
      <c r="C59" s="70" t="s">
        <v>33</v>
      </c>
      <c r="D59" s="71">
        <f>559136/1000</f>
        <v>559.13599999999997</v>
      </c>
      <c r="E59" s="71">
        <f>559136/1000</f>
        <v>559.13599999999997</v>
      </c>
      <c r="F59" s="71">
        <f>132399/1000</f>
        <v>132.399</v>
      </c>
      <c r="G59" s="71">
        <f>233626/1000</f>
        <v>233.626</v>
      </c>
      <c r="H59" s="71">
        <f>478970/1000</f>
        <v>478.97</v>
      </c>
    </row>
    <row r="60" spans="1:8">
      <c r="A60" s="70" t="s">
        <v>52</v>
      </c>
      <c r="B60" s="70" t="s">
        <v>31</v>
      </c>
      <c r="C60" s="70" t="s">
        <v>73</v>
      </c>
      <c r="D60" s="71">
        <f>1562391163/1000</f>
        <v>1562391.1629999999</v>
      </c>
      <c r="E60" s="71">
        <f>3602433881/1000</f>
        <v>3602433.8810000001</v>
      </c>
      <c r="F60" s="71">
        <f>4677153031/1000</f>
        <v>4677153.0310000004</v>
      </c>
      <c r="G60" s="71">
        <f>8558463853/1000</f>
        <v>8558463.8530000001</v>
      </c>
      <c r="H60" s="71">
        <f>-2814313114/1000</f>
        <v>-2814313.1140000001</v>
      </c>
    </row>
    <row r="61" spans="1:8">
      <c r="A61" s="72" t="s">
        <v>54</v>
      </c>
      <c r="B61" s="70"/>
      <c r="C61" s="70"/>
      <c r="D61" s="71"/>
      <c r="E61" s="71"/>
      <c r="F61" s="71"/>
      <c r="G61" s="71"/>
      <c r="H61" s="71"/>
    </row>
    <row r="62" spans="1:8">
      <c r="A62" s="70" t="s">
        <v>34</v>
      </c>
      <c r="B62" s="70" t="s">
        <v>21</v>
      </c>
      <c r="C62" s="70" t="s">
        <v>74</v>
      </c>
      <c r="D62" s="71">
        <f>19471414677/1000</f>
        <v>19471414.677000001</v>
      </c>
      <c r="E62" s="71">
        <f>18823841683/1000</f>
        <v>18823841.682999998</v>
      </c>
      <c r="F62" s="71">
        <f>26306479135/1000</f>
        <v>26306479.135000002</v>
      </c>
      <c r="G62" s="71">
        <f>50105117237/1000</f>
        <v>50105117.237000003</v>
      </c>
      <c r="H62" s="71">
        <f>49018598898/1000</f>
        <v>49018598.898000002</v>
      </c>
    </row>
    <row r="63" spans="1:8">
      <c r="A63" s="70" t="s">
        <v>34</v>
      </c>
      <c r="B63" s="70" t="s">
        <v>21</v>
      </c>
      <c r="C63" s="70" t="s">
        <v>75</v>
      </c>
      <c r="D63" s="71">
        <f>19416371556/1000</f>
        <v>19416371.556000002</v>
      </c>
      <c r="E63" s="71">
        <f>19060707291/1000</f>
        <v>19060707.291000001</v>
      </c>
      <c r="F63" s="71">
        <f>26243643686/1000</f>
        <v>26243643.686000001</v>
      </c>
      <c r="G63" s="71">
        <f>13562076587/1000</f>
        <v>13562076.586999999</v>
      </c>
      <c r="H63" s="71">
        <f>21088244668/1000</f>
        <v>21088244.668000001</v>
      </c>
    </row>
    <row r="64" spans="1:8">
      <c r="A64" s="70" t="s">
        <v>34</v>
      </c>
      <c r="B64" s="70" t="s">
        <v>21</v>
      </c>
      <c r="C64" s="70" t="s">
        <v>76</v>
      </c>
      <c r="D64" s="71">
        <f>22809032/1000</f>
        <v>22809.031999999999</v>
      </c>
      <c r="E64" s="71">
        <f>2803549717/1000</f>
        <v>2803549.7170000002</v>
      </c>
      <c r="F64" s="71">
        <f>3909476696/1000</f>
        <v>3909476.696</v>
      </c>
      <c r="G64" s="71">
        <f>1981065841/1000</f>
        <v>1981065.841</v>
      </c>
      <c r="H64" s="71">
        <f>3018983552/1000</f>
        <v>3018983.5520000001</v>
      </c>
    </row>
    <row r="65" spans="1:9">
      <c r="A65" s="70" t="s">
        <v>34</v>
      </c>
      <c r="B65" s="70" t="s">
        <v>21</v>
      </c>
      <c r="C65" s="70" t="s">
        <v>7</v>
      </c>
      <c r="D65" s="71">
        <f>-472663304/1000</f>
        <v>-472663.304</v>
      </c>
      <c r="E65" s="71">
        <f>-585861081/1000</f>
        <v>-585861.08100000001</v>
      </c>
      <c r="F65" s="71">
        <f>-643107250/1000</f>
        <v>-643107.25</v>
      </c>
      <c r="G65" s="71">
        <f>-301911060/1000</f>
        <v>-301911.06</v>
      </c>
      <c r="H65" s="71">
        <f>-541418758/1000</f>
        <v>-541418.75800000003</v>
      </c>
    </row>
    <row r="66" spans="1:9" ht="15.5">
      <c r="A66" s="70" t="s">
        <v>34</v>
      </c>
      <c r="B66" s="70" t="s">
        <v>21</v>
      </c>
      <c r="C66" s="73" t="s">
        <v>35</v>
      </c>
      <c r="D66" s="67">
        <f>+D62+D63-D64-D65</f>
        <v>39337640.505000003</v>
      </c>
      <c r="E66" s="67">
        <f t="shared" ref="E66:H66" si="5">+E62+E63-E64-E65</f>
        <v>35666860.338</v>
      </c>
      <c r="F66" s="67">
        <f t="shared" si="5"/>
        <v>49283753.375</v>
      </c>
      <c r="G66" s="67">
        <f t="shared" si="5"/>
        <v>61988039.043000005</v>
      </c>
      <c r="H66" s="67">
        <f t="shared" si="5"/>
        <v>67629278.772</v>
      </c>
    </row>
    <row r="67" spans="1:9">
      <c r="A67" s="70" t="s">
        <v>34</v>
      </c>
      <c r="B67" s="70" t="s">
        <v>36</v>
      </c>
      <c r="C67" s="70" t="s">
        <v>66</v>
      </c>
      <c r="D67" s="71">
        <f>25900574363/1000</f>
        <v>25900574.363000002</v>
      </c>
      <c r="E67" s="71">
        <f>24959293740/1000</f>
        <v>24959293.739999998</v>
      </c>
      <c r="F67" s="71">
        <f>31441347919/1000</f>
        <v>31441347.919</v>
      </c>
      <c r="G67" s="71">
        <f>39834598466/1000</f>
        <v>39834598.465999998</v>
      </c>
      <c r="H67" s="71">
        <f>48196207681/1000</f>
        <v>48196207.681000002</v>
      </c>
    </row>
    <row r="68" spans="1:9">
      <c r="A68" s="70" t="s">
        <v>34</v>
      </c>
      <c r="B68" s="70" t="s">
        <v>36</v>
      </c>
      <c r="C68" s="70" t="s">
        <v>65</v>
      </c>
      <c r="D68" s="71">
        <f>3609586036/1000</f>
        <v>3609586.0359999998</v>
      </c>
      <c r="E68" s="71">
        <f>3485857589/1000</f>
        <v>3485857.5890000002</v>
      </c>
      <c r="F68" s="71">
        <f>3387268587/1000</f>
        <v>3387268.5869999998</v>
      </c>
      <c r="G68" s="71">
        <f>4567651058/1000</f>
        <v>4567651.0580000002</v>
      </c>
      <c r="H68" s="71">
        <f>7125692031/1000</f>
        <v>7125692.0310000004</v>
      </c>
      <c r="I68" s="8">
        <f>34945619811/1000</f>
        <v>34945619.810999997</v>
      </c>
    </row>
    <row r="69" spans="1:9">
      <c r="A69" s="70" t="s">
        <v>34</v>
      </c>
      <c r="B69" s="70" t="s">
        <v>36</v>
      </c>
      <c r="C69" s="70" t="s">
        <v>15</v>
      </c>
      <c r="D69" s="71">
        <f>1240985576/1000</f>
        <v>1240985.5759999999</v>
      </c>
      <c r="E69" s="71">
        <f>572848736/1000</f>
        <v>572848.73600000003</v>
      </c>
      <c r="F69" s="71">
        <f>773427430/1000</f>
        <v>773427.43</v>
      </c>
      <c r="G69" s="71">
        <f>1009158733/1000</f>
        <v>1009158.733</v>
      </c>
      <c r="H69" s="71">
        <f>1143086060/1000</f>
        <v>1143086.06</v>
      </c>
      <c r="I69" s="8">
        <f>I68-I73</f>
        <v>519964.03299999982</v>
      </c>
    </row>
    <row r="70" spans="1:9">
      <c r="A70" s="70" t="s">
        <v>34</v>
      </c>
      <c r="B70" s="70" t="s">
        <v>36</v>
      </c>
      <c r="C70" s="70" t="s">
        <v>64</v>
      </c>
      <c r="D70" s="71">
        <f>2363341717/1000</f>
        <v>2363341.7170000002</v>
      </c>
      <c r="E70" s="71">
        <f>2616810127/1000</f>
        <v>2616810.1269999999</v>
      </c>
      <c r="F70" s="71">
        <f>2926350242/1000</f>
        <v>2926350.2420000001</v>
      </c>
      <c r="G70" s="71">
        <f>3307742216/1000</f>
        <v>3307742.216</v>
      </c>
      <c r="H70" s="71">
        <f>3603384088/1000</f>
        <v>3603384.088</v>
      </c>
    </row>
    <row r="71" spans="1:9">
      <c r="A71" s="70" t="s">
        <v>34</v>
      </c>
      <c r="B71" s="70" t="s">
        <v>36</v>
      </c>
      <c r="C71" s="70" t="s">
        <v>32</v>
      </c>
      <c r="D71" s="71">
        <f>920054208/1000</f>
        <v>920054.20799999998</v>
      </c>
      <c r="E71" s="71">
        <f>899464915/1000</f>
        <v>899464.91500000004</v>
      </c>
      <c r="F71" s="71">
        <f>1144747414/1000</f>
        <v>1144747.4140000001</v>
      </c>
      <c r="G71" s="71">
        <f>1183419195/1000</f>
        <v>1183419.1950000001</v>
      </c>
      <c r="H71" s="71">
        <f>1565050680/1000</f>
        <v>1565050.68</v>
      </c>
    </row>
    <row r="72" spans="1:9">
      <c r="A72" s="70" t="s">
        <v>34</v>
      </c>
      <c r="B72" s="70" t="s">
        <v>36</v>
      </c>
      <c r="C72" s="70" t="s">
        <v>63</v>
      </c>
      <c r="D72" s="71">
        <f>391113878/1000</f>
        <v>391113.87800000003</v>
      </c>
      <c r="E72" s="71">
        <f>464676453/1000</f>
        <v>464676.45299999998</v>
      </c>
      <c r="F72" s="71">
        <f>488142740/1000</f>
        <v>488142.74</v>
      </c>
      <c r="G72" s="71">
        <f>588751469/1000</f>
        <v>588751.46900000004</v>
      </c>
      <c r="H72" s="71">
        <f>712205098/1000</f>
        <v>712205.098</v>
      </c>
    </row>
    <row r="73" spans="1:9">
      <c r="A73" s="70" t="s">
        <v>34</v>
      </c>
      <c r="B73" s="70" t="s">
        <v>36</v>
      </c>
      <c r="C73" s="70" t="s">
        <v>7</v>
      </c>
      <c r="D73" s="71">
        <v>519964</v>
      </c>
      <c r="E73" s="71">
        <f>230693620/1000</f>
        <v>230693.62</v>
      </c>
      <c r="F73" s="71">
        <f>417955281/1000</f>
        <v>417955.28100000002</v>
      </c>
      <c r="G73" s="71">
        <f>514692641/1000</f>
        <v>514692.641</v>
      </c>
      <c r="H73" s="71">
        <f>311075965/1000</f>
        <v>311075.96500000003</v>
      </c>
      <c r="I73" s="8">
        <f>SUM(D67:D72)</f>
        <v>34425655.777999997</v>
      </c>
    </row>
    <row r="74" spans="1:9" ht="15.5">
      <c r="A74" s="74" t="s">
        <v>34</v>
      </c>
      <c r="B74" s="74" t="s">
        <v>36</v>
      </c>
      <c r="C74" s="75" t="s">
        <v>37</v>
      </c>
      <c r="D74" s="76">
        <f>SUM(D67:D73)</f>
        <v>34945619.777999997</v>
      </c>
      <c r="E74" s="76">
        <f t="shared" ref="E74:H74" si="6">SUM(E67:E73)</f>
        <v>33229645.180000003</v>
      </c>
      <c r="F74" s="76">
        <f t="shared" si="6"/>
        <v>40579239.612999998</v>
      </c>
      <c r="G74" s="76">
        <f t="shared" si="6"/>
        <v>51006013.777999997</v>
      </c>
      <c r="H74" s="76">
        <f t="shared" si="6"/>
        <v>62656701.603000008</v>
      </c>
    </row>
    <row r="75" spans="1:9">
      <c r="A75" s="70" t="s">
        <v>34</v>
      </c>
      <c r="B75" s="70" t="s">
        <v>36</v>
      </c>
      <c r="C75" s="70" t="s">
        <v>77</v>
      </c>
      <c r="D75" s="71">
        <f>902207503/1000</f>
        <v>902207.50300000003</v>
      </c>
      <c r="E75" s="71">
        <f>1039191965/1000</f>
        <v>1039191.965</v>
      </c>
      <c r="F75" s="71">
        <f>1131081567/1000</f>
        <v>1131081.567</v>
      </c>
      <c r="G75" s="77">
        <f>2081215813/1000</f>
        <v>2081215.8130000001</v>
      </c>
      <c r="H75" s="71">
        <f>2378018568/1000</f>
        <v>2378018.568</v>
      </c>
    </row>
    <row r="76" spans="1:9">
      <c r="A76" s="70" t="s">
        <v>34</v>
      </c>
      <c r="B76" s="70" t="s">
        <v>36</v>
      </c>
      <c r="C76" s="70" t="s">
        <v>78</v>
      </c>
      <c r="D76" s="71">
        <f>1039191965/1000</f>
        <v>1039191.965</v>
      </c>
      <c r="E76" s="71">
        <f>1131081567/1000</f>
        <v>1131081.567</v>
      </c>
      <c r="F76" s="71">
        <f>2081215813/1000</f>
        <v>2081215.8130000001</v>
      </c>
      <c r="G76" s="71">
        <f>2378018568/1000</f>
        <v>2378018.568</v>
      </c>
      <c r="H76" s="71">
        <f>2557921137/1000</f>
        <v>2557921.1370000001</v>
      </c>
    </row>
    <row r="77" spans="1:9">
      <c r="A77" s="70" t="s">
        <v>34</v>
      </c>
      <c r="B77" s="70" t="s">
        <v>36</v>
      </c>
      <c r="C77" s="70" t="s">
        <v>79</v>
      </c>
      <c r="D77" s="71">
        <f>2240321996/1000</f>
        <v>2240321.9959999998</v>
      </c>
      <c r="E77" s="71">
        <f>2598829401/1000</f>
        <v>2598829.4010000001</v>
      </c>
      <c r="F77" s="71">
        <f>4274111224/1000</f>
        <v>4274111.2240000004</v>
      </c>
      <c r="G77" s="71">
        <f>3588610009/1000</f>
        <v>3588610.0090000001</v>
      </c>
      <c r="H77" s="71">
        <f>5283953446/1000</f>
        <v>5283953.4460000005</v>
      </c>
    </row>
    <row r="78" spans="1:9">
      <c r="A78" s="70" t="s">
        <v>34</v>
      </c>
      <c r="B78" s="70" t="s">
        <v>36</v>
      </c>
      <c r="C78" s="70" t="s">
        <v>80</v>
      </c>
      <c r="D78" s="71">
        <f>2598829401/1000</f>
        <v>2598829.4010000001</v>
      </c>
      <c r="E78" s="71">
        <f>4274111224/1000</f>
        <v>4274111.2240000004</v>
      </c>
      <c r="F78" s="71">
        <f>3588610009/1000</f>
        <v>3588610.0090000001</v>
      </c>
      <c r="G78" s="71">
        <f>5283953446/1000</f>
        <v>5283953.4460000005</v>
      </c>
      <c r="H78" s="71">
        <f>6720533452/1000</f>
        <v>6720533.4519999996</v>
      </c>
    </row>
    <row r="79" spans="1:9" ht="15.5">
      <c r="A79" s="70" t="s">
        <v>34</v>
      </c>
      <c r="B79" s="70" t="s">
        <v>36</v>
      </c>
      <c r="C79" s="78" t="s">
        <v>81</v>
      </c>
      <c r="D79" s="79">
        <f>(D74+D75-D76+D77-D78)</f>
        <v>34450127.910999991</v>
      </c>
      <c r="E79" s="79">
        <f t="shared" ref="E79:H79" si="7">(E74+E75-E76+E77-E78)</f>
        <v>31462473.755000003</v>
      </c>
      <c r="F79" s="79">
        <f t="shared" si="7"/>
        <v>40314606.581999995</v>
      </c>
      <c r="G79" s="79">
        <f t="shared" si="7"/>
        <v>49013867.586000003</v>
      </c>
      <c r="H79" s="79">
        <f t="shared" si="7"/>
        <v>61040219.028000005</v>
      </c>
    </row>
    <row r="80" spans="1:9">
      <c r="A80" s="70" t="s">
        <v>34</v>
      </c>
      <c r="B80" s="70" t="s">
        <v>23</v>
      </c>
      <c r="C80" s="70" t="s">
        <v>62</v>
      </c>
      <c r="D80" s="71">
        <f>278123593/1000</f>
        <v>278123.59299999999</v>
      </c>
      <c r="E80" s="71">
        <f>324246078/1000</f>
        <v>324246.07799999998</v>
      </c>
      <c r="F80" s="71">
        <f>311916781/1000</f>
        <v>311916.78100000002</v>
      </c>
      <c r="G80" s="71">
        <f>516587209/1000</f>
        <v>516587.20899999997</v>
      </c>
      <c r="H80" s="71">
        <f>497372207/1000</f>
        <v>497372.20699999999</v>
      </c>
    </row>
    <row r="81" spans="1:19">
      <c r="A81" s="70" t="s">
        <v>34</v>
      </c>
      <c r="B81" s="70" t="s">
        <v>23</v>
      </c>
      <c r="C81" s="70" t="s">
        <v>61</v>
      </c>
      <c r="D81" s="71">
        <f>944021613/1000</f>
        <v>944021.61300000001</v>
      </c>
      <c r="E81" s="71">
        <f>869064344/1000</f>
        <v>869064.34400000004</v>
      </c>
      <c r="F81" s="71">
        <f>1160598536/1000</f>
        <v>1160598.5360000001</v>
      </c>
      <c r="G81" s="71">
        <f>1705234527/1000</f>
        <v>1705234.527</v>
      </c>
      <c r="H81" s="71">
        <f>1617713504/1000</f>
        <v>1617713.504</v>
      </c>
    </row>
    <row r="82" spans="1:19" ht="15.5">
      <c r="A82" s="70" t="s">
        <v>34</v>
      </c>
      <c r="B82" s="70" t="s">
        <v>23</v>
      </c>
      <c r="C82" s="73" t="s">
        <v>82</v>
      </c>
      <c r="D82" s="67">
        <f>SUM(D79:D81)</f>
        <v>35672273.116999991</v>
      </c>
      <c r="E82" s="67">
        <f t="shared" ref="E82:H82" si="8">SUM(E79:E81)</f>
        <v>32655784.177000005</v>
      </c>
      <c r="F82" s="67">
        <f t="shared" si="8"/>
        <v>41787121.898999996</v>
      </c>
      <c r="G82" s="67">
        <f t="shared" si="8"/>
        <v>51235689.322000004</v>
      </c>
      <c r="H82" s="67">
        <f t="shared" si="8"/>
        <v>63155304.739000008</v>
      </c>
    </row>
    <row r="83" spans="1:19">
      <c r="A83" s="70" t="s">
        <v>34</v>
      </c>
      <c r="B83" s="70" t="s">
        <v>21</v>
      </c>
      <c r="C83" s="70" t="s">
        <v>60</v>
      </c>
      <c r="D83" s="71">
        <f>2389308900/1000</f>
        <v>2389308.9</v>
      </c>
      <c r="E83" s="71">
        <f>379395570/1000</f>
        <v>379395.57</v>
      </c>
      <c r="F83" s="71">
        <f>625665587/1000</f>
        <v>625665.58700000006</v>
      </c>
      <c r="G83" s="71">
        <f>744258753/1000</f>
        <v>744258.75300000003</v>
      </c>
      <c r="H83" s="71">
        <f>937284589/1000</f>
        <v>937284.58900000004</v>
      </c>
    </row>
    <row r="84" spans="1:19">
      <c r="A84" s="70" t="s">
        <v>34</v>
      </c>
      <c r="B84" s="70" t="s">
        <v>21</v>
      </c>
      <c r="C84" s="70" t="s">
        <v>83</v>
      </c>
      <c r="D84" s="71">
        <f>65131030/1000</f>
        <v>65131.03</v>
      </c>
      <c r="E84" s="71">
        <f>74614641/1000</f>
        <v>74614.641000000003</v>
      </c>
      <c r="F84" s="71">
        <f>238348948/1000</f>
        <v>238348.948</v>
      </c>
      <c r="G84" s="71"/>
      <c r="H84" s="71"/>
      <c r="L84" s="1"/>
    </row>
    <row r="85" spans="1:19" ht="15.5">
      <c r="A85" s="40"/>
      <c r="B85" s="40"/>
      <c r="C85" s="40"/>
      <c r="D85" s="86">
        <f>D35-D83-D84</f>
        <v>2.6193447411060333E-10</v>
      </c>
      <c r="E85" s="86">
        <f t="shared" ref="E85:H85" si="9">E35-E83-E84</f>
        <v>0</v>
      </c>
      <c r="F85" s="86">
        <f t="shared" si="9"/>
        <v>0</v>
      </c>
      <c r="G85" s="86">
        <f t="shared" si="9"/>
        <v>0</v>
      </c>
      <c r="H85" s="86">
        <f t="shared" si="9"/>
        <v>0</v>
      </c>
      <c r="L85" s="1"/>
    </row>
    <row r="86" spans="1:19" ht="15.5">
      <c r="A86" s="45" t="s">
        <v>38</v>
      </c>
      <c r="B86" s="40"/>
      <c r="C86" s="40"/>
      <c r="D86" s="40"/>
      <c r="E86" s="40"/>
      <c r="F86" s="40"/>
      <c r="G86" s="40"/>
      <c r="H86" s="40"/>
      <c r="I86" s="4"/>
      <c r="K86" s="1"/>
      <c r="L86" s="1"/>
    </row>
    <row r="87" spans="1:19" ht="15.5">
      <c r="A87" s="46" t="s">
        <v>39</v>
      </c>
      <c r="B87" s="40"/>
      <c r="C87" s="40"/>
      <c r="D87" s="44">
        <f>SUM(D17:D30)</f>
        <v>43507943.453999996</v>
      </c>
      <c r="E87" s="44">
        <f t="shared" ref="E87:H87" si="10">SUM(E17:E30)</f>
        <v>47750603.577000007</v>
      </c>
      <c r="F87" s="44">
        <f t="shared" si="10"/>
        <v>51770042.061999999</v>
      </c>
      <c r="G87" s="44">
        <f t="shared" si="10"/>
        <v>59435634.100000001</v>
      </c>
      <c r="H87" s="44">
        <f t="shared" si="10"/>
        <v>69845761.197999999</v>
      </c>
      <c r="I87" s="4"/>
    </row>
    <row r="88" spans="1:19" ht="15.5">
      <c r="A88" s="46" t="s">
        <v>40</v>
      </c>
      <c r="B88" s="40"/>
      <c r="C88" s="40"/>
      <c r="D88" s="44">
        <f>+SUM(D9:D16)</f>
        <v>28169505.011999998</v>
      </c>
      <c r="E88" s="44">
        <f t="shared" ref="E88:H88" si="11">+SUM(E9:E16)</f>
        <v>34113205.302000001</v>
      </c>
      <c r="F88" s="44">
        <f t="shared" si="11"/>
        <v>32773906.030999999</v>
      </c>
      <c r="G88" s="44">
        <f t="shared" si="11"/>
        <v>34892248.685000002</v>
      </c>
      <c r="H88" s="44">
        <f t="shared" si="11"/>
        <v>49137637.806999996</v>
      </c>
      <c r="I88" s="5"/>
      <c r="K88" s="1"/>
      <c r="L88" s="1"/>
    </row>
    <row r="89" spans="1:19" ht="15.5">
      <c r="A89" s="46" t="s">
        <v>41</v>
      </c>
      <c r="B89" s="40"/>
      <c r="C89" s="40"/>
      <c r="D89" s="44">
        <f>SUM(D5:D8)</f>
        <v>15338438.442000002</v>
      </c>
      <c r="E89" s="44">
        <f t="shared" ref="E89:H89" si="12">SUM(E5:E8)</f>
        <v>13637398.275</v>
      </c>
      <c r="F89" s="44">
        <f t="shared" si="12"/>
        <v>18996136.030999999</v>
      </c>
      <c r="G89" s="44">
        <f t="shared" si="12"/>
        <v>24543385.414999999</v>
      </c>
      <c r="H89" s="44">
        <f t="shared" si="12"/>
        <v>20708123.390999999</v>
      </c>
      <c r="I89" s="4"/>
      <c r="K89" s="1"/>
      <c r="L89" s="1"/>
      <c r="S89" s="1"/>
    </row>
    <row r="90" spans="1:19" ht="15.5">
      <c r="A90" s="45" t="s">
        <v>42</v>
      </c>
      <c r="B90" s="40"/>
      <c r="C90" s="40"/>
      <c r="D90" s="44">
        <f>D87-(D88+D89)</f>
        <v>0</v>
      </c>
      <c r="E90" s="44">
        <f t="shared" ref="E90:H90" si="13">E87-(E88+E89)</f>
        <v>0</v>
      </c>
      <c r="F90" s="44">
        <f t="shared" si="13"/>
        <v>0</v>
      </c>
      <c r="G90" s="44">
        <f t="shared" si="13"/>
        <v>0</v>
      </c>
      <c r="H90" s="44">
        <f t="shared" si="13"/>
        <v>0</v>
      </c>
      <c r="I90" s="4"/>
      <c r="K90" s="1"/>
      <c r="L90" s="1"/>
      <c r="S90" s="1"/>
    </row>
    <row r="91" spans="1:19" ht="15.5">
      <c r="A91" s="46" t="s">
        <v>43</v>
      </c>
      <c r="B91" s="40"/>
      <c r="C91" s="40"/>
      <c r="D91" s="44">
        <f>D31+D35</f>
        <v>41792080.435000002</v>
      </c>
      <c r="E91" s="44">
        <f t="shared" ref="E91:H91" si="14">E31+E35</f>
        <v>36120870.549000002</v>
      </c>
      <c r="F91" s="44">
        <f t="shared" si="14"/>
        <v>50147767.909999996</v>
      </c>
      <c r="G91" s="44">
        <f t="shared" si="14"/>
        <v>62732297.795999996</v>
      </c>
      <c r="H91" s="44">
        <f t="shared" si="14"/>
        <v>68566563.361000001</v>
      </c>
      <c r="I91" s="6"/>
      <c r="K91" s="1"/>
      <c r="L91" s="1"/>
      <c r="S91" s="1"/>
    </row>
    <row r="92" spans="1:19" ht="15.5">
      <c r="A92" s="46" t="s">
        <v>44</v>
      </c>
      <c r="B92" s="40"/>
      <c r="C92" s="40"/>
      <c r="D92" s="44">
        <f>SUM(D32:D34)+SUM(D36:D39)</f>
        <v>38624488.894999996</v>
      </c>
      <c r="E92" s="44">
        <f t="shared" ref="E92:H92" si="15">SUM(E32:E34)+SUM(E36:E39)</f>
        <v>36725875.564000003</v>
      </c>
      <c r="F92" s="44">
        <f t="shared" si="15"/>
        <v>45062253.661000006</v>
      </c>
      <c r="G92" s="44">
        <f t="shared" si="15"/>
        <v>55264096.180000007</v>
      </c>
      <c r="H92" s="44">
        <f t="shared" si="15"/>
        <v>69565491.069000006</v>
      </c>
      <c r="I92" s="1"/>
      <c r="K92" s="1"/>
      <c r="L92" s="1"/>
    </row>
    <row r="93" spans="1:19" ht="15.5">
      <c r="A93" s="47" t="s">
        <v>45</v>
      </c>
      <c r="B93" s="40"/>
      <c r="C93" s="40"/>
      <c r="D93" s="48">
        <f>D91-D92</f>
        <v>3167591.5400000066</v>
      </c>
      <c r="E93" s="48">
        <f t="shared" ref="E93:H93" si="16">E91-E92</f>
        <v>-605005.0150000006</v>
      </c>
      <c r="F93" s="48">
        <f t="shared" si="16"/>
        <v>5085514.2489999905</v>
      </c>
      <c r="G93" s="48">
        <f t="shared" si="16"/>
        <v>7468201.6159999892</v>
      </c>
      <c r="H93" s="48">
        <f t="shared" si="16"/>
        <v>-998927.70800000429</v>
      </c>
      <c r="I93" s="1"/>
      <c r="K93" s="1"/>
      <c r="L93" s="1"/>
      <c r="S93" s="1"/>
    </row>
    <row r="94" spans="1:19" ht="15.5">
      <c r="A94" s="46" t="s">
        <v>46</v>
      </c>
      <c r="B94" s="40"/>
      <c r="C94" s="40"/>
      <c r="D94" s="40">
        <v>0</v>
      </c>
      <c r="E94" s="40">
        <v>0</v>
      </c>
      <c r="F94" s="40">
        <v>0</v>
      </c>
      <c r="G94" s="40">
        <v>0</v>
      </c>
      <c r="H94" s="40">
        <v>0</v>
      </c>
      <c r="I94" s="1"/>
      <c r="K94" s="1"/>
      <c r="L94" s="1"/>
      <c r="S94" s="1"/>
    </row>
    <row r="95" spans="1:19" ht="15.5">
      <c r="A95" s="46"/>
      <c r="B95" s="40"/>
      <c r="C95" s="40"/>
      <c r="D95" s="40"/>
      <c r="E95" s="40"/>
      <c r="F95" s="40"/>
      <c r="G95" s="40"/>
      <c r="H95" s="40"/>
      <c r="I95" s="4"/>
      <c r="K95" s="1"/>
      <c r="L95" s="1"/>
      <c r="S95" s="1"/>
    </row>
    <row r="96" spans="1:19" ht="15.5">
      <c r="A96" s="45" t="s">
        <v>56</v>
      </c>
      <c r="B96" s="40"/>
      <c r="C96" s="40"/>
      <c r="D96" s="40"/>
      <c r="E96" s="40"/>
      <c r="F96" s="40"/>
      <c r="G96" s="40"/>
      <c r="H96" s="40"/>
      <c r="I96" s="4"/>
      <c r="K96" s="1"/>
      <c r="L96" s="1"/>
      <c r="S96" s="1"/>
    </row>
    <row r="97" spans="1:19" ht="15.5">
      <c r="A97" s="46" t="s">
        <v>27</v>
      </c>
      <c r="B97" s="40"/>
      <c r="C97" s="40"/>
      <c r="D97" s="44">
        <f>D44-SUM(D40:D43)</f>
        <v>0</v>
      </c>
      <c r="E97" s="44">
        <f t="shared" ref="E97:H97" si="17">E44-SUM(E40:E43)</f>
        <v>0</v>
      </c>
      <c r="F97" s="44">
        <f t="shared" si="17"/>
        <v>0</v>
      </c>
      <c r="G97" s="44">
        <f t="shared" si="17"/>
        <v>0</v>
      </c>
      <c r="H97" s="44">
        <f t="shared" si="17"/>
        <v>0</v>
      </c>
      <c r="I97" s="4"/>
      <c r="K97" s="1"/>
      <c r="L97" s="1"/>
      <c r="S97" s="1"/>
    </row>
    <row r="98" spans="1:19" ht="15.5">
      <c r="A98" s="46" t="s">
        <v>28</v>
      </c>
      <c r="B98" s="40"/>
      <c r="C98" s="40"/>
      <c r="D98" s="44">
        <f>D51-SUM(D45:D50)</f>
        <v>0</v>
      </c>
      <c r="E98" s="44">
        <f t="shared" ref="E98:H98" si="18">E51-SUM(E45:E50)</f>
        <v>0</v>
      </c>
      <c r="F98" s="44">
        <f t="shared" si="18"/>
        <v>0</v>
      </c>
      <c r="G98" s="44">
        <f t="shared" si="18"/>
        <v>0</v>
      </c>
      <c r="H98" s="44">
        <f t="shared" si="18"/>
        <v>0</v>
      </c>
      <c r="I98" s="4"/>
      <c r="K98" s="1"/>
      <c r="L98" s="1"/>
      <c r="S98" s="1"/>
    </row>
    <row r="99" spans="1:19" ht="15.5">
      <c r="A99" s="46" t="s">
        <v>29</v>
      </c>
      <c r="B99" s="40"/>
      <c r="C99" s="40"/>
      <c r="D99" s="44">
        <f>D57-SUM(D52:D56)</f>
        <v>0</v>
      </c>
      <c r="E99" s="44">
        <f t="shared" ref="E99:H99" si="19">E57-SUM(E52:E56)</f>
        <v>0</v>
      </c>
      <c r="F99" s="44">
        <f t="shared" si="19"/>
        <v>0</v>
      </c>
      <c r="G99" s="44">
        <f t="shared" si="19"/>
        <v>0</v>
      </c>
      <c r="H99" s="44">
        <f t="shared" si="19"/>
        <v>0</v>
      </c>
      <c r="S99" s="1"/>
    </row>
    <row r="100" spans="1:19" ht="15.5">
      <c r="A100" s="46"/>
      <c r="B100" s="40"/>
      <c r="C100" s="40"/>
      <c r="D100" s="49"/>
      <c r="E100" s="49"/>
      <c r="F100" s="49"/>
      <c r="G100" s="49"/>
      <c r="H100" s="49"/>
      <c r="I100" s="4"/>
      <c r="J100" s="1"/>
      <c r="S100" s="1"/>
    </row>
    <row r="101" spans="1:19" ht="15.5">
      <c r="A101" s="45" t="s">
        <v>55</v>
      </c>
      <c r="B101" s="40"/>
      <c r="C101" s="40"/>
      <c r="D101" s="40"/>
      <c r="E101" s="40"/>
      <c r="F101" s="40"/>
      <c r="G101" s="40"/>
      <c r="H101" s="40"/>
      <c r="I101" s="4"/>
      <c r="J101" s="1"/>
      <c r="M101" s="1"/>
      <c r="N101" s="1"/>
      <c r="S101" s="1"/>
    </row>
    <row r="102" spans="1:19" s="1" customFormat="1" ht="15.5">
      <c r="A102" s="50" t="s">
        <v>57</v>
      </c>
      <c r="B102" s="40"/>
      <c r="C102" s="40"/>
      <c r="D102" s="44">
        <f>D31-D66</f>
        <v>0</v>
      </c>
      <c r="E102" s="44">
        <f t="shared" ref="E102:G102" si="20">E31-E66</f>
        <v>0</v>
      </c>
      <c r="F102" s="44">
        <f t="shared" si="20"/>
        <v>0</v>
      </c>
      <c r="G102" s="44">
        <f t="shared" si="20"/>
        <v>0</v>
      </c>
      <c r="H102" s="44">
        <f>H31-H66</f>
        <v>0</v>
      </c>
      <c r="I102" s="4"/>
      <c r="K102" s="8"/>
      <c r="L102" s="8"/>
      <c r="O102" s="8"/>
      <c r="P102" s="8"/>
      <c r="Q102" s="8"/>
      <c r="R102" s="8"/>
    </row>
    <row r="103" spans="1:19" s="1" customFormat="1" ht="15.5">
      <c r="A103" s="50" t="s">
        <v>58</v>
      </c>
      <c r="B103" s="40"/>
      <c r="C103" s="40"/>
      <c r="D103" s="44">
        <f>D32-D79</f>
        <v>3.3000007271766663E-2</v>
      </c>
      <c r="E103" s="44">
        <f t="shared" ref="E103:H103" si="21">E32-E79</f>
        <v>0</v>
      </c>
      <c r="F103" s="44">
        <f t="shared" si="21"/>
        <v>0</v>
      </c>
      <c r="G103" s="44">
        <f t="shared" si="21"/>
        <v>0</v>
      </c>
      <c r="H103" s="44">
        <f t="shared" si="21"/>
        <v>0</v>
      </c>
      <c r="I103" s="2"/>
      <c r="J103" s="8"/>
      <c r="K103" s="8"/>
      <c r="L103" s="8"/>
      <c r="Q103" s="8"/>
      <c r="R103" s="8"/>
    </row>
    <row r="104" spans="1:19" s="1" customFormat="1" ht="15.5">
      <c r="A104" s="40" t="s">
        <v>59</v>
      </c>
      <c r="B104" s="40"/>
      <c r="C104" s="40"/>
      <c r="D104" s="44">
        <f>SUM(D33:D34)-SUM(D80:D81)</f>
        <v>0</v>
      </c>
      <c r="E104" s="44">
        <f t="shared" ref="E104:H104" si="22">SUM(E33:E34)-SUM(E80:E81)</f>
        <v>0</v>
      </c>
      <c r="F104" s="44">
        <f t="shared" si="22"/>
        <v>0</v>
      </c>
      <c r="G104" s="44">
        <f t="shared" si="22"/>
        <v>0</v>
      </c>
      <c r="H104" s="44">
        <f t="shared" si="22"/>
        <v>0</v>
      </c>
      <c r="K104" s="8"/>
      <c r="L104" s="8"/>
      <c r="M104" s="8"/>
      <c r="N104" s="8"/>
      <c r="Q104" s="8"/>
      <c r="R104" s="8"/>
      <c r="S104" s="8"/>
    </row>
    <row r="105" spans="1:19" ht="15.5">
      <c r="A105" s="40"/>
      <c r="B105" s="40"/>
      <c r="C105" s="40"/>
      <c r="D105" s="43"/>
      <c r="E105" s="43"/>
      <c r="F105" s="43"/>
      <c r="G105" s="43"/>
      <c r="H105" s="43"/>
      <c r="I105" s="1"/>
      <c r="J105" s="1"/>
      <c r="M105" s="1"/>
      <c r="N105" s="1"/>
      <c r="O105" s="1"/>
      <c r="P105" s="1"/>
    </row>
    <row r="106" spans="1:19" s="1" customFormat="1" ht="15.5">
      <c r="A106" s="51" t="s">
        <v>105</v>
      </c>
      <c r="B106" s="51" t="s">
        <v>34</v>
      </c>
      <c r="C106" s="51" t="s">
        <v>113</v>
      </c>
      <c r="D106" s="51">
        <f>D5</f>
        <v>2402215.56</v>
      </c>
      <c r="E106" s="51">
        <f t="shared" ref="E106:H106" si="23">E5</f>
        <v>2401190.29</v>
      </c>
      <c r="F106" s="51">
        <f t="shared" si="23"/>
        <v>2401190.29</v>
      </c>
      <c r="G106" s="51">
        <f t="shared" si="23"/>
        <v>2401190.29</v>
      </c>
      <c r="H106" s="51">
        <f t="shared" si="23"/>
        <v>2401190.29</v>
      </c>
      <c r="K106" s="8"/>
      <c r="L106" s="8"/>
      <c r="O106" s="8"/>
      <c r="P106" s="8"/>
      <c r="S106" s="8"/>
    </row>
    <row r="107" spans="1:19" s="1" customFormat="1" ht="15.5">
      <c r="A107" s="51" t="s">
        <v>105</v>
      </c>
      <c r="B107" s="51" t="s">
        <v>34</v>
      </c>
      <c r="C107" s="51" t="s">
        <v>103</v>
      </c>
      <c r="D107" s="51">
        <f>240221556/1000</f>
        <v>240221.55600000001</v>
      </c>
      <c r="E107" s="51">
        <f>240148723/1000</f>
        <v>240148.723</v>
      </c>
      <c r="F107" s="51">
        <f t="shared" ref="F107:H108" si="24">240119029/1000</f>
        <v>240119.02900000001</v>
      </c>
      <c r="G107" s="51">
        <f t="shared" si="24"/>
        <v>240119.02900000001</v>
      </c>
      <c r="H107" s="51">
        <f t="shared" si="24"/>
        <v>240119.02900000001</v>
      </c>
      <c r="K107" s="8"/>
      <c r="L107" s="8"/>
      <c r="S107" s="8"/>
    </row>
    <row r="108" spans="1:19" s="1" customFormat="1" ht="15.5">
      <c r="A108" s="51" t="s">
        <v>105</v>
      </c>
      <c r="B108" s="51" t="s">
        <v>34</v>
      </c>
      <c r="C108" s="51" t="s">
        <v>104</v>
      </c>
      <c r="D108" s="51">
        <f>240221556/1000</f>
        <v>240221.55600000001</v>
      </c>
      <c r="E108" s="51">
        <f>240148723/1000</f>
        <v>240148.723</v>
      </c>
      <c r="F108" s="51">
        <f t="shared" si="24"/>
        <v>240119.02900000001</v>
      </c>
      <c r="G108" s="51">
        <f t="shared" si="24"/>
        <v>240119.02900000001</v>
      </c>
      <c r="H108" s="51">
        <f t="shared" si="24"/>
        <v>240119.02900000001</v>
      </c>
      <c r="K108" s="8"/>
      <c r="L108" s="8"/>
      <c r="S108" s="8"/>
    </row>
    <row r="109" spans="1:19" s="1" customFormat="1" ht="15.5">
      <c r="A109" s="51" t="s">
        <v>105</v>
      </c>
      <c r="B109" s="51" t="s">
        <v>34</v>
      </c>
      <c r="C109" s="51" t="s">
        <v>111</v>
      </c>
      <c r="D109" s="51">
        <v>0</v>
      </c>
      <c r="E109" s="51">
        <v>0</v>
      </c>
      <c r="F109" s="51">
        <v>0</v>
      </c>
      <c r="G109" s="51">
        <v>0</v>
      </c>
      <c r="H109" s="51">
        <v>0</v>
      </c>
      <c r="K109" s="8"/>
      <c r="L109" s="8"/>
      <c r="Q109" s="8"/>
      <c r="R109" s="8"/>
      <c r="S109" s="8"/>
    </row>
    <row r="110" spans="1:19" s="1" customFormat="1" ht="15.5">
      <c r="A110" s="51" t="s">
        <v>105</v>
      </c>
      <c r="B110" s="51" t="s">
        <v>34</v>
      </c>
      <c r="C110" s="51" t="s">
        <v>112</v>
      </c>
      <c r="D110" s="51">
        <v>0</v>
      </c>
      <c r="E110" s="51">
        <v>0</v>
      </c>
      <c r="F110" s="51">
        <v>0</v>
      </c>
      <c r="G110" s="51">
        <v>0</v>
      </c>
      <c r="H110" s="51">
        <v>0</v>
      </c>
      <c r="I110" s="10"/>
      <c r="K110" s="8"/>
      <c r="L110" s="8"/>
      <c r="S110" s="8"/>
    </row>
    <row r="111" spans="1:19" s="1" customFormat="1" ht="15.5">
      <c r="A111" s="40"/>
      <c r="B111" s="40"/>
      <c r="C111" s="40"/>
      <c r="D111" s="40"/>
      <c r="E111" s="40"/>
      <c r="F111" s="40"/>
      <c r="G111" s="40"/>
      <c r="H111" s="40"/>
      <c r="I111" s="10"/>
      <c r="K111" s="8"/>
      <c r="L111" s="8"/>
      <c r="S111" s="8"/>
    </row>
    <row r="112" spans="1:19" s="1" customFormat="1" ht="15.5">
      <c r="A112" s="40"/>
      <c r="B112" s="40"/>
      <c r="C112" s="51" t="s">
        <v>47</v>
      </c>
      <c r="D112" s="52">
        <f>+D93/D107</f>
        <v>13.186125311751816</v>
      </c>
      <c r="E112" s="87">
        <f t="shared" ref="E112:H112" si="25">+E93/E107</f>
        <v>-2.5192930757329099</v>
      </c>
      <c r="F112" s="52">
        <f t="shared" si="25"/>
        <v>21.179138822021432</v>
      </c>
      <c r="G112" s="52">
        <f t="shared" si="25"/>
        <v>31.102081526408259</v>
      </c>
      <c r="H112" s="52">
        <f t="shared" si="25"/>
        <v>-4.1601355467750301</v>
      </c>
      <c r="I112" s="8"/>
      <c r="J112" s="8"/>
      <c r="K112" s="8"/>
      <c r="L112" s="8"/>
      <c r="S112" s="8"/>
    </row>
    <row r="113" spans="1:19" s="1" customFormat="1" ht="15.5">
      <c r="A113" s="40"/>
      <c r="B113" s="40"/>
      <c r="C113" s="51" t="s">
        <v>48</v>
      </c>
      <c r="D113" s="54">
        <f>(D93+D94)/D108</f>
        <v>13.186125311751816</v>
      </c>
      <c r="E113" s="53">
        <f t="shared" ref="E113:H113" si="26">(E93+E94)/E108</f>
        <v>-2.5192930757329099</v>
      </c>
      <c r="F113" s="53">
        <f t="shared" si="26"/>
        <v>21.179138822021432</v>
      </c>
      <c r="G113" s="53">
        <f t="shared" si="26"/>
        <v>31.102081526408259</v>
      </c>
      <c r="H113" s="53">
        <f t="shared" si="26"/>
        <v>-4.1601355467750301</v>
      </c>
      <c r="I113" s="8"/>
      <c r="J113" s="8"/>
      <c r="K113" s="8"/>
      <c r="L113" s="8"/>
      <c r="M113" s="8"/>
      <c r="S113" s="8"/>
    </row>
    <row r="114" spans="1:19">
      <c r="N114" s="1"/>
      <c r="O114" s="1"/>
      <c r="P114" s="1"/>
      <c r="Q114" s="1"/>
      <c r="R114" s="1"/>
    </row>
    <row r="115" spans="1:19" ht="15.5">
      <c r="B115" s="11"/>
      <c r="C115" s="13"/>
      <c r="D115" s="14"/>
      <c r="E115" s="14"/>
      <c r="F115" s="14"/>
      <c r="G115" s="14"/>
      <c r="H115" s="14"/>
      <c r="N115" s="1"/>
      <c r="O115" s="1"/>
    </row>
    <row r="116" spans="1:19">
      <c r="B116" s="12"/>
      <c r="C116" s="11"/>
      <c r="D116" s="15"/>
      <c r="E116" s="15"/>
      <c r="F116" s="15"/>
      <c r="G116" s="15"/>
      <c r="H116" s="15"/>
      <c r="O116" s="1"/>
    </row>
    <row r="117" spans="1:19">
      <c r="B117" s="12"/>
      <c r="C117" s="11"/>
      <c r="D117" s="15"/>
      <c r="E117" s="15"/>
      <c r="F117" s="15"/>
      <c r="G117" s="15"/>
      <c r="H117" s="15"/>
      <c r="O117" s="1"/>
    </row>
    <row r="118" spans="1:19">
      <c r="B118" s="12"/>
      <c r="C118" s="11"/>
      <c r="D118" s="15"/>
      <c r="E118" s="15"/>
      <c r="F118" s="15"/>
      <c r="G118" s="15"/>
      <c r="H118" s="15"/>
    </row>
    <row r="119" spans="1:19">
      <c r="B119" s="12"/>
      <c r="C119" s="11"/>
      <c r="D119" s="15"/>
      <c r="E119" s="15"/>
      <c r="F119" s="15"/>
      <c r="G119" s="15"/>
      <c r="H119" s="15"/>
    </row>
    <row r="120" spans="1:19">
      <c r="B120" s="12"/>
      <c r="C120" s="11"/>
      <c r="D120" s="15"/>
      <c r="E120" s="15"/>
      <c r="F120" s="15"/>
      <c r="G120" s="15"/>
      <c r="H120" s="15"/>
    </row>
    <row r="121" spans="1:19">
      <c r="B121" s="12"/>
      <c r="C121" s="11"/>
      <c r="D121" s="15"/>
      <c r="E121" s="15"/>
      <c r="F121" s="15"/>
      <c r="G121" s="15"/>
      <c r="H121" s="15"/>
    </row>
    <row r="122" spans="1:19">
      <c r="B122" s="12"/>
      <c r="C122" s="11"/>
      <c r="D122" s="15"/>
      <c r="E122" s="15"/>
      <c r="F122" s="15"/>
      <c r="G122" s="15"/>
      <c r="H122" s="15"/>
    </row>
    <row r="123" spans="1:19">
      <c r="B123" s="11"/>
      <c r="C123" s="11"/>
      <c r="D123" s="16"/>
      <c r="E123" s="16"/>
      <c r="F123" s="16"/>
      <c r="G123" s="16"/>
      <c r="H123" s="16"/>
    </row>
    <row r="124" spans="1:19" ht="15.5">
      <c r="B124" s="11"/>
      <c r="C124" s="13"/>
      <c r="D124" s="14"/>
      <c r="E124" s="14"/>
      <c r="F124" s="14"/>
      <c r="G124" s="14"/>
      <c r="H124" s="14"/>
    </row>
    <row r="125" spans="1:19">
      <c r="B125" s="12"/>
      <c r="C125" s="11"/>
      <c r="D125" s="16"/>
      <c r="E125" s="16"/>
      <c r="F125" s="16"/>
      <c r="G125" s="16"/>
      <c r="H125" s="16"/>
    </row>
    <row r="126" spans="1:19">
      <c r="B126" s="12"/>
      <c r="C126" s="11"/>
      <c r="D126" s="16"/>
      <c r="E126" s="16"/>
      <c r="F126" s="16"/>
      <c r="G126" s="16"/>
      <c r="H126" s="16"/>
    </row>
    <row r="127" spans="1:19">
      <c r="B127" s="12"/>
      <c r="C127" s="11"/>
      <c r="D127" s="16"/>
      <c r="E127" s="16"/>
      <c r="F127" s="16"/>
      <c r="G127" s="16"/>
      <c r="H127" s="16"/>
    </row>
    <row r="128" spans="1:19">
      <c r="B128" s="12"/>
      <c r="C128" s="11"/>
      <c r="D128" s="16"/>
      <c r="E128" s="16"/>
      <c r="F128" s="16"/>
      <c r="G128" s="16"/>
      <c r="H128" s="16"/>
    </row>
    <row r="129" spans="2:14" ht="15.5">
      <c r="B129" s="12"/>
      <c r="C129" s="13"/>
      <c r="D129" s="14"/>
      <c r="E129" s="14"/>
      <c r="F129" s="14"/>
      <c r="G129" s="14"/>
      <c r="H129" s="14"/>
    </row>
    <row r="130" spans="2:14">
      <c r="B130" s="12"/>
      <c r="C130" s="11"/>
      <c r="D130" s="15"/>
      <c r="E130" s="15"/>
      <c r="F130" s="15"/>
      <c r="G130" s="15"/>
      <c r="H130" s="15"/>
    </row>
    <row r="131" spans="2:14">
      <c r="B131" s="12"/>
      <c r="C131" s="11"/>
      <c r="D131" s="15"/>
      <c r="E131" s="15"/>
      <c r="F131" s="15"/>
      <c r="G131" s="15"/>
      <c r="H131" s="15"/>
    </row>
    <row r="132" spans="2:14">
      <c r="B132" s="12"/>
      <c r="C132" s="11"/>
      <c r="D132" s="15"/>
      <c r="E132" s="15"/>
      <c r="F132" s="15"/>
      <c r="G132" s="15"/>
      <c r="H132" s="15"/>
    </row>
    <row r="133" spans="2:14">
      <c r="B133" s="11"/>
      <c r="C133" s="11"/>
      <c r="D133" s="15"/>
      <c r="E133" s="15"/>
      <c r="F133" s="15"/>
      <c r="G133" s="15"/>
      <c r="H133" s="15"/>
    </row>
    <row r="134" spans="2:14" ht="15.5">
      <c r="B134" s="11"/>
      <c r="C134" s="13"/>
      <c r="D134" s="14"/>
      <c r="E134" s="14"/>
      <c r="F134" s="14"/>
      <c r="G134" s="14"/>
      <c r="H134" s="14"/>
    </row>
    <row r="135" spans="2:14">
      <c r="B135" s="12"/>
      <c r="C135" s="11"/>
      <c r="D135" s="16"/>
      <c r="E135" s="16"/>
      <c r="F135" s="16"/>
      <c r="G135" s="16"/>
      <c r="H135" s="16"/>
    </row>
    <row r="136" spans="2:14">
      <c r="B136" s="12"/>
      <c r="C136" s="11"/>
      <c r="D136" s="16"/>
      <c r="E136" s="16"/>
      <c r="F136" s="16"/>
      <c r="G136" s="16"/>
      <c r="H136" s="16"/>
    </row>
    <row r="137" spans="2:14">
      <c r="B137" s="12"/>
      <c r="C137" s="11"/>
      <c r="D137" s="16"/>
      <c r="E137" s="16"/>
      <c r="F137" s="16"/>
      <c r="G137" s="16"/>
      <c r="H137" s="16"/>
    </row>
    <row r="138" spans="2:14">
      <c r="B138" s="12"/>
      <c r="C138" s="11"/>
      <c r="D138" s="16"/>
      <c r="E138" s="16"/>
      <c r="F138" s="16"/>
      <c r="G138" s="16"/>
      <c r="H138" s="16"/>
    </row>
    <row r="139" spans="2:14">
      <c r="B139" s="12"/>
      <c r="C139" s="11"/>
      <c r="D139" s="16"/>
      <c r="E139" s="16"/>
      <c r="F139" s="16"/>
      <c r="G139" s="16"/>
      <c r="H139" s="16"/>
    </row>
    <row r="140" spans="2:14">
      <c r="B140" s="12"/>
      <c r="C140" s="11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</row>
    <row r="141" spans="2:14">
      <c r="B141" s="12"/>
      <c r="C141" s="11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</row>
    <row r="142" spans="2:14">
      <c r="B142" s="12"/>
      <c r="C142" s="11"/>
      <c r="D142" s="16"/>
      <c r="E142" s="16"/>
      <c r="F142" s="16"/>
      <c r="G142" s="16"/>
      <c r="H142" s="16"/>
      <c r="I142" s="17"/>
      <c r="J142" s="17"/>
      <c r="K142" s="17"/>
      <c r="L142" s="16"/>
      <c r="M142" s="17"/>
      <c r="N142" s="17"/>
    </row>
    <row r="143" spans="2:14">
      <c r="B143" s="12"/>
      <c r="C143" s="11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</row>
    <row r="144" spans="2:14">
      <c r="B144" s="12"/>
      <c r="C144" s="11"/>
      <c r="D144" s="17"/>
      <c r="E144" s="17"/>
      <c r="F144" s="17"/>
      <c r="G144" s="17"/>
      <c r="H144" s="17"/>
      <c r="I144" s="16"/>
      <c r="J144" s="16"/>
      <c r="K144" s="17"/>
      <c r="L144" s="16"/>
      <c r="M144" s="16"/>
      <c r="N144" s="16"/>
    </row>
    <row r="145" spans="2:14">
      <c r="B145" s="12"/>
      <c r="C145" s="11"/>
      <c r="D145" s="16"/>
      <c r="E145" s="16"/>
      <c r="F145" s="16"/>
      <c r="G145" s="16"/>
      <c r="H145" s="16"/>
      <c r="I145" s="14"/>
      <c r="J145" s="14"/>
      <c r="K145" s="14"/>
      <c r="L145" s="14"/>
      <c r="M145" s="14"/>
      <c r="N145" s="14"/>
    </row>
    <row r="146" spans="2:14">
      <c r="B146" s="12"/>
      <c r="C146" s="11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</row>
    <row r="147" spans="2:14" ht="15.5">
      <c r="B147" s="11"/>
      <c r="C147" s="13"/>
      <c r="D147" s="14"/>
      <c r="E147" s="14"/>
      <c r="F147" s="14"/>
      <c r="G147" s="14"/>
      <c r="H147" s="14"/>
      <c r="I147" s="16"/>
      <c r="J147" s="16"/>
      <c r="K147" s="16"/>
      <c r="L147" s="16"/>
      <c r="M147" s="16"/>
      <c r="N147" s="16"/>
    </row>
    <row r="148" spans="2:14">
      <c r="B148" s="12"/>
      <c r="C148" s="11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</row>
    <row r="149" spans="2:14">
      <c r="B149" s="12"/>
      <c r="C149" s="11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</row>
    <row r="150" spans="2:14">
      <c r="B150" s="12"/>
      <c r="C150" s="11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</row>
    <row r="151" spans="2:14">
      <c r="B151" s="12"/>
      <c r="C151" s="11"/>
      <c r="D151" s="16"/>
      <c r="E151" s="16"/>
      <c r="F151" s="16"/>
      <c r="G151" s="16"/>
      <c r="H151" s="16"/>
    </row>
    <row r="152" spans="2:14">
      <c r="B152" s="12"/>
      <c r="C152" s="11"/>
      <c r="D152" s="16"/>
      <c r="E152" s="16"/>
      <c r="F152" s="16"/>
      <c r="G152" s="16"/>
      <c r="H152" s="16"/>
    </row>
  </sheetData>
  <mergeCells count="1">
    <mergeCell ref="A1:B1"/>
  </mergeCells>
  <conditionalFormatting sqref="D90:H90 D97:H99 D102:H104">
    <cfRule type="cellIs" dxfId="5" priority="12" operator="notEqual">
      <formula>0</formula>
    </cfRule>
    <cfRule type="cellIs" dxfId="4" priority="13" operator="equal">
      <formula>0</formula>
    </cfRule>
  </conditionalFormatting>
  <conditionalFormatting sqref="D100:H100">
    <cfRule type="cellIs" dxfId="3" priority="51" operator="equal">
      <formula>0</formula>
    </cfRule>
    <cfRule type="cellIs" dxfId="2" priority="52" operator="notEqual">
      <formula>"&lt;&gt;0"</formula>
    </cfRule>
    <cfRule type="iconSet" priority="53">
      <iconSet iconSet="3Symbols2">
        <cfvo type="percent" val="0"/>
        <cfvo type="percent" val="33"/>
        <cfvo type="percent" val="67"/>
      </iconSet>
    </cfRule>
  </conditionalFormatting>
  <conditionalFormatting sqref="D85:H85">
    <cfRule type="cellIs" dxfId="1" priority="1" operator="notEqual">
      <formula>0</formula>
    </cfRule>
    <cfRule type="cellIs" dxfId="0" priority="2" operator="equal">
      <formula>0</formula>
    </cfRule>
  </conditionalFormatting>
  <printOptions horizontalCentered="1" verticalCentered="1"/>
  <pageMargins left="0.25" right="0.25" top="0.47" bottom="0.28999999999999998" header="0.3" footer="0.3"/>
  <pageSetup scale="42" orientation="portrait" r:id="rId1"/>
  <headerFooter>
    <oddHeader>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11"/>
  <sheetViews>
    <sheetView showGridLines="0" topLeftCell="A35" zoomScale="37" zoomScaleNormal="85" workbookViewId="0">
      <selection activeCell="A54" sqref="A54:H80"/>
    </sheetView>
  </sheetViews>
  <sheetFormatPr defaultRowHeight="14.5"/>
  <cols>
    <col min="1" max="1" width="23" bestFit="1" customWidth="1"/>
    <col min="2" max="2" width="13.08984375" customWidth="1"/>
    <col min="3" max="3" width="16.26953125" customWidth="1"/>
    <col min="4" max="4" width="15.26953125" customWidth="1"/>
    <col min="5" max="5" width="10.08984375" customWidth="1"/>
    <col min="6" max="6" width="14" customWidth="1"/>
    <col min="7" max="7" width="13.08984375" customWidth="1"/>
    <col min="8" max="8" width="14.36328125" customWidth="1"/>
  </cols>
  <sheetData>
    <row r="1" spans="1:26" ht="16" thickBot="1">
      <c r="A1" s="23"/>
      <c r="B1" s="23"/>
      <c r="C1" s="21" t="s">
        <v>115</v>
      </c>
      <c r="D1" s="21">
        <v>2019</v>
      </c>
      <c r="E1" s="21">
        <v>2020</v>
      </c>
      <c r="F1" s="21">
        <v>2021</v>
      </c>
      <c r="G1" s="21">
        <v>2022</v>
      </c>
      <c r="H1" s="21">
        <v>2023</v>
      </c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47" thickBot="1">
      <c r="A2" s="22" t="s">
        <v>116</v>
      </c>
      <c r="B2" s="24" t="s">
        <v>117</v>
      </c>
      <c r="C2" s="23" t="s">
        <v>118</v>
      </c>
      <c r="D2" s="25">
        <f>SUM(Nishat!D24:D30)/SUM(Nishat!D12:D15)</f>
        <v>1.1848642794796684</v>
      </c>
      <c r="E2" s="25">
        <f>SUM(Nishat!E24:E30)/SUM(Nishat!E12:E15)</f>
        <v>1.0400087356403487</v>
      </c>
      <c r="F2" s="25">
        <f>SUM(Nishat!F24:F30)/SUM(Nishat!F12:F15)</f>
        <v>1.2450418706320894</v>
      </c>
      <c r="G2" s="25">
        <f>SUM(Nishat!G24:G30)/SUM(Nishat!G12:G15)</f>
        <v>1.7735022915526613</v>
      </c>
      <c r="H2" s="25">
        <f>SUM(Nishat!H24:H30)/SUM(Nishat!H12:H15)</f>
        <v>1.2742691314827255</v>
      </c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62.5" thickBot="1">
      <c r="A3" s="23"/>
      <c r="B3" s="24" t="s">
        <v>119</v>
      </c>
      <c r="C3" s="23" t="s">
        <v>120</v>
      </c>
      <c r="D3" s="25">
        <f>SUM(Nishat!D26:D30)/SUM(Nishat!D12:D15)</f>
        <v>0.51280344754607998</v>
      </c>
      <c r="E3" s="25">
        <f>SUM(Nishat!E26:E30)/SUM(Nishat!E12:E15)</f>
        <v>0.29374799540387103</v>
      </c>
      <c r="F3" s="25">
        <f>SUM(Nishat!F26:F30)/SUM(Nishat!F12:F15)</f>
        <v>0.48107235101360701</v>
      </c>
      <c r="G3" s="25">
        <f>SUM(Nishat!G26:G30)/SUM(Nishat!G12:G15)</f>
        <v>0.65094772468517759</v>
      </c>
      <c r="H3" s="25">
        <f>SUM(Nishat!H26:H30)/SUM(Nishat!H12:H15)</f>
        <v>0.54432521181015436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 spans="1:26" ht="62.5" thickBot="1">
      <c r="A4" s="23"/>
      <c r="B4" s="26" t="s">
        <v>121</v>
      </c>
      <c r="C4" s="27" t="s">
        <v>122</v>
      </c>
      <c r="D4" s="28">
        <f>Nishat!D30/SUM(Nishat!D12:D16)</f>
        <v>7.2325095071722732E-4</v>
      </c>
      <c r="E4" s="28">
        <f>Nishat!E30/SUM(Nishat!E12:E16)</f>
        <v>1.6930738209149864E-3</v>
      </c>
      <c r="F4" s="28">
        <f>Nishat!F30/SUM(Nishat!F12:F16)</f>
        <v>1.044371411775925E-2</v>
      </c>
      <c r="G4" s="28">
        <f>Nishat!G30/SUM(Nishat!G12:G16)</f>
        <v>1.0164307438057083E-2</v>
      </c>
      <c r="H4" s="28">
        <f>Nishat!H30/SUM(Nishat!H12:H16)</f>
        <v>7.7826351270036545E-3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 spans="1:26" ht="31.5" thickBot="1">
      <c r="A5" s="22" t="s">
        <v>123</v>
      </c>
      <c r="B5" s="29" t="s">
        <v>124</v>
      </c>
      <c r="C5" s="30" t="s">
        <v>125</v>
      </c>
      <c r="D5" s="31">
        <f>(Nishat!D31-Nishat!D32)/Nishat!D31</f>
        <v>0.12424518853332797</v>
      </c>
      <c r="E5" s="31">
        <f>(Nishat!E31-Nishat!E32)/Nishat!E31</f>
        <v>0.11787935756488735</v>
      </c>
      <c r="F5" s="31">
        <f>(Nishat!F31-Nishat!F32)/Nishat!F31</f>
        <v>0.18198992931308974</v>
      </c>
      <c r="G5" s="31">
        <f>(Nishat!G31-Nishat!G32)/Nishat!G31</f>
        <v>0.20930120806047831</v>
      </c>
      <c r="H5" s="31">
        <f>(Nishat!H31-Nishat!H32)/Nishat!H31</f>
        <v>9.7429099698280647E-2</v>
      </c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 spans="1:26" ht="47" thickBot="1">
      <c r="A6" s="23"/>
      <c r="B6" s="24" t="s">
        <v>126</v>
      </c>
      <c r="C6" s="23" t="s">
        <v>127</v>
      </c>
      <c r="D6" s="32">
        <f>((Nishat!D31+Nishat!D35)-(SUM(Nishat!D32:D34)+Nishat!D36))/Nishat!D31</f>
        <v>0.14860937590440784</v>
      </c>
      <c r="E6" s="32">
        <f>((Nishat!E31+Nishat!E35)-(SUM(Nishat!E32:E34)+Nishat!E36))/Nishat!E31</f>
        <v>9.4486940960415822E-2</v>
      </c>
      <c r="F6" s="32">
        <f>((Nishat!F31+Nishat!F35)-(SUM(Nishat!F32:F34)+Nishat!F36))/Nishat!F31</f>
        <v>0.16273512678659682</v>
      </c>
      <c r="G6" s="32">
        <f>((Nishat!G31+Nishat!G35)-(SUM(Nishat!G32:G34)+Nishat!G36))/Nishat!G31</f>
        <v>0.17022559128996309</v>
      </c>
      <c r="H6" s="32">
        <f>((Nishat!H31+Nishat!H35)-(SUM(Nishat!H32:H34)+Nishat!H36))/Nishat!H31</f>
        <v>7.884014368947441E-2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 spans="1:26" ht="31.5" thickBot="1">
      <c r="A7" s="23"/>
      <c r="B7" s="24" t="s">
        <v>128</v>
      </c>
      <c r="C7" s="23" t="s">
        <v>129</v>
      </c>
      <c r="D7" s="33">
        <f>Nishat!D93/Nishat!D91</f>
        <v>7.5794062105298168E-2</v>
      </c>
      <c r="E7" s="33">
        <f>Nishat!E93/Nishat!E91</f>
        <v>-1.6749458299441512E-2</v>
      </c>
      <c r="F7" s="33">
        <f>Nishat!F93/Nishat!F91</f>
        <v>0.10141058038967843</v>
      </c>
      <c r="G7" s="33">
        <f>Nishat!G93/Nishat!G91</f>
        <v>0.11904874966139348</v>
      </c>
      <c r="H7" s="33">
        <f>Nishat!H93/Nishat!H91</f>
        <v>-1.4568729407374451E-2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 spans="1:26" ht="47" thickBot="1">
      <c r="A8" s="23"/>
      <c r="B8" s="24" t="s">
        <v>130</v>
      </c>
      <c r="C8" s="23" t="s">
        <v>131</v>
      </c>
      <c r="D8" s="32">
        <f>Nishat!D93/Nishat!D87</f>
        <v>7.2804901554334153E-2</v>
      </c>
      <c r="E8" s="32">
        <f>Nishat!E93/Nishat!E87</f>
        <v>-1.267010193964151E-2</v>
      </c>
      <c r="F8" s="32">
        <f>Nishat!F93/Nishat!F87</f>
        <v>9.8232762548455324E-2</v>
      </c>
      <c r="G8" s="32">
        <f>Nishat!G93/Nishat!G87</f>
        <v>0.1256519212604815</v>
      </c>
      <c r="H8" s="32">
        <f>Nishat!H93/Nishat!H87</f>
        <v>-1.430190881832079E-2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47" thickBot="1">
      <c r="A9" s="23"/>
      <c r="B9" s="24" t="s">
        <v>147</v>
      </c>
      <c r="C9" s="23" t="s">
        <v>144</v>
      </c>
      <c r="D9" s="82">
        <f>Nishat!D91/Nishat!D87</f>
        <v>0.96056207481251932</v>
      </c>
      <c r="E9" s="82">
        <f>Nishat!E91/Nishat!E87</f>
        <v>0.75644846019073797</v>
      </c>
      <c r="F9" s="82">
        <f>Nishat!F91/Nishat!F87</f>
        <v>0.96866384326948851</v>
      </c>
      <c r="G9" s="82">
        <f>Nishat!G91/Nishat!G87</f>
        <v>1.0554661146620121</v>
      </c>
      <c r="H9" s="82">
        <f>Nishat!H91/Nishat!H87</f>
        <v>0.98168539056545312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 spans="1:26" ht="62.5" thickBot="1">
      <c r="A10" s="23"/>
      <c r="B10" s="24" t="s">
        <v>148</v>
      </c>
      <c r="C10" s="23" t="s">
        <v>149</v>
      </c>
      <c r="D10" s="82">
        <f>Nishat!D87/Nishat!D89</f>
        <v>2.8365301734279367</v>
      </c>
      <c r="E10" s="82">
        <f>Nishat!E87/Nishat!E89</f>
        <v>3.5014452620729086</v>
      </c>
      <c r="F10" s="82">
        <f>Nishat!F87/Nishat!F89</f>
        <v>2.7252932900415066</v>
      </c>
      <c r="G10" s="82">
        <f>Nishat!G87/Nishat!G89</f>
        <v>2.4216559001544735</v>
      </c>
      <c r="H10" s="82">
        <f>Nishat!H87/Nishat!H89</f>
        <v>3.3728677330730901</v>
      </c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 spans="1:26" ht="62.5" thickBot="1">
      <c r="A11" s="23"/>
      <c r="B11" s="80" t="s">
        <v>150</v>
      </c>
      <c r="C11" s="81" t="s">
        <v>151</v>
      </c>
      <c r="D11" s="83">
        <f>D7*D9*D10</f>
        <v>0.20651330003231932</v>
      </c>
      <c r="E11" s="83">
        <f>E7*E9*E10</f>
        <v>-4.4363668406538527E-2</v>
      </c>
      <c r="F11" s="83">
        <f>F7*F9*F10</f>
        <v>0.26771308863554588</v>
      </c>
      <c r="G11" s="83">
        <f>G7*G9*G10</f>
        <v>0.30428571648619035</v>
      </c>
      <c r="H11" s="83">
        <f>H7*H9*H10</f>
        <v>-4.8238446774667681E-2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 spans="1:26" ht="47" thickBot="1">
      <c r="A12" s="23"/>
      <c r="B12" s="26" t="s">
        <v>132</v>
      </c>
      <c r="C12" s="27" t="s">
        <v>152</v>
      </c>
      <c r="D12" s="34">
        <f>Nishat!D93/(Nishat!D89)</f>
        <v>0.2065133000323193</v>
      </c>
      <c r="E12" s="34">
        <f>Nishat!E93/(Nishat!E89)</f>
        <v>-4.4363668406538534E-2</v>
      </c>
      <c r="F12" s="34">
        <f>Nishat!F93/(Nishat!F89)</f>
        <v>0.26771308863554594</v>
      </c>
      <c r="G12" s="34">
        <f>Nishat!G93/(Nishat!G89)</f>
        <v>0.30428571648619035</v>
      </c>
      <c r="H12" s="34">
        <f>Nishat!H93/(Nishat!H89)</f>
        <v>-4.8238446774667681E-2</v>
      </c>
      <c r="I12" s="34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 spans="1:26" ht="31.5" thickBot="1">
      <c r="A13" s="22" t="s">
        <v>133</v>
      </c>
      <c r="B13" s="29" t="s">
        <v>134</v>
      </c>
      <c r="C13" s="30" t="s">
        <v>135</v>
      </c>
      <c r="D13" s="35">
        <f>Nishat!D9/Nishat!D89</f>
        <v>0.23844906467043858</v>
      </c>
      <c r="E13" s="35">
        <f>Nishat!E9/Nishat!E89</f>
        <v>0.44033827456725794</v>
      </c>
      <c r="F13" s="35">
        <f>Nishat!F9/Nishat!F89</f>
        <v>0.33705816264692973</v>
      </c>
      <c r="G13" s="35">
        <f>Nishat!G9/Nishat!G89</f>
        <v>0.54762630174016691</v>
      </c>
      <c r="H13" s="35">
        <f>Nishat!H9/Nishat!H89</f>
        <v>0.60547567914576372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spans="1:26" ht="47" thickBot="1">
      <c r="A14" s="23"/>
      <c r="B14" s="26" t="s">
        <v>136</v>
      </c>
      <c r="C14" s="27" t="s">
        <v>137</v>
      </c>
      <c r="D14" s="36">
        <f>(Nishat!D33+Nishat!D35-Nishat!D36)/Nishat!D37</f>
        <v>1.1290987202119653</v>
      </c>
      <c r="E14" s="36">
        <f>(Nishat!E33+Nishat!E35-Nishat!E36)/Nishat!E37</f>
        <v>0.25676791996002296</v>
      </c>
      <c r="F14" s="36">
        <f>(Nishat!F33+Nishat!F35-Nishat!F36)/Nishat!F37</f>
        <v>0.47822919943528097</v>
      </c>
      <c r="G14" s="36">
        <f>(Nishat!G33+Nishat!G35-Nishat!G36)/Nishat!G37</f>
        <v>0.14345475254201737</v>
      </c>
      <c r="H14" s="36">
        <f>(Nishat!H33+Nishat!H35-Nishat!H36)/Nishat!H37</f>
        <v>0.25011008588117861</v>
      </c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</row>
    <row r="15" spans="1:26" ht="47" thickBot="1">
      <c r="A15" s="22" t="s">
        <v>138</v>
      </c>
      <c r="B15" s="29" t="s">
        <v>139</v>
      </c>
      <c r="C15" s="30" t="s">
        <v>140</v>
      </c>
      <c r="D15" s="37">
        <f>Nishat!D32/((Nishat!D25+373961416)/2)</f>
        <v>0.17681119121708389</v>
      </c>
      <c r="E15" s="37">
        <f>Nishat!E32/((Nishat!E25+Nishat!D25)/2)</f>
        <v>1.7958733717637421</v>
      </c>
      <c r="F15" s="37">
        <f>Nishat!F32/((Nishat!F25+Nishat!E25)/2)</f>
        <v>2.1482903070880508</v>
      </c>
      <c r="G15" s="37">
        <f>Nishat!G32/((Nishat!G25+Nishat!F25)/2)</f>
        <v>2.4885422588162593</v>
      </c>
      <c r="H15" s="37">
        <f>Nishat!H32/((Nishat!H25+Nishat!G25)/2)</f>
        <v>2.7291983512396931</v>
      </c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 spans="1:26" ht="78" thickBot="1">
      <c r="A16" s="23"/>
      <c r="B16" s="24" t="s">
        <v>141</v>
      </c>
      <c r="C16" s="23" t="s">
        <v>142</v>
      </c>
      <c r="D16" s="38">
        <f>(((Nishat!D26+252894905)/Nishat!D31))*365</f>
        <v>2406.1500358435137</v>
      </c>
      <c r="E16" s="38">
        <f>(((Nishat!E26+Nishat!D26)/Nishat!E31))*365</f>
        <v>113.7258740049069</v>
      </c>
      <c r="F16" s="38">
        <f>(((Nishat!F26+Nishat!E26)/Nishat!F31))*365</f>
        <v>84.94087956759644</v>
      </c>
      <c r="G16" s="38">
        <f>(((Nishat!G26+Nishat!F26)/Nishat!G31))*365</f>
        <v>85.517343418425526</v>
      </c>
      <c r="H16" s="38">
        <f>(((Nishat!H26+Nishat!G26)/Nishat!H31))*365</f>
        <v>103.35798375331815</v>
      </c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 spans="1:26" ht="47" thickBot="1">
      <c r="A17" s="23"/>
      <c r="B17" s="24" t="s">
        <v>143</v>
      </c>
      <c r="C17" s="23" t="s">
        <v>144</v>
      </c>
      <c r="D17" s="38">
        <f>Nishat!D66/((2605809063+Nishat!D87)/2)</f>
        <v>2.969643905140049E-2</v>
      </c>
      <c r="E17" s="38">
        <f>Nishat!E66/((Nishat!D87+Nishat!E87)/2)</f>
        <v>0.78166618905041674</v>
      </c>
      <c r="F17" s="38">
        <f>Nishat!F66/((Nishat!E87+Nishat!F87)/2)</f>
        <v>0.99042270191395865</v>
      </c>
      <c r="G17" s="38">
        <f>Nishat!G66/((Nishat!F87+Nishat!G87)/2)</f>
        <v>1.1148358821666315</v>
      </c>
      <c r="H17" s="38">
        <f>Nishat!H66/((Nishat!G87+Nishat!H87)/2)</f>
        <v>1.046233738676956</v>
      </c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 spans="1:26" ht="47" thickBot="1">
      <c r="A18" s="23"/>
      <c r="B18" s="26" t="s">
        <v>145</v>
      </c>
      <c r="C18" s="27" t="s">
        <v>146</v>
      </c>
      <c r="D18" s="39">
        <f>Nishat!D4/Nishat!D112</f>
        <v>2.4267932575675411</v>
      </c>
      <c r="E18" s="39">
        <f>Nishat!E4/Nishat!E112</f>
        <v>-20.640710880718878</v>
      </c>
      <c r="F18" s="39">
        <f>Nishat!F4/Nishat!F112</f>
        <v>2.1719485568587227</v>
      </c>
      <c r="G18" s="39">
        <f>Nishat!G4/Nishat!G112</f>
        <v>0.67519596661622949</v>
      </c>
      <c r="H18" s="39">
        <f>Nishat!H4/Nishat!H112</f>
        <v>-6.0094195775376109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 spans="1:26" ht="31.5" thickBot="1">
      <c r="A19" s="22" t="s">
        <v>153</v>
      </c>
      <c r="B19" s="29" t="s">
        <v>154</v>
      </c>
      <c r="C19" s="55" t="s">
        <v>3</v>
      </c>
      <c r="D19" s="85">
        <v>0</v>
      </c>
      <c r="E19" s="85">
        <f>(Nishat!D5-Nishat!E5)/Nishat!E5</f>
        <v>4.2698406880531679E-4</v>
      </c>
      <c r="F19" s="85">
        <f>(Nishat!E5-Nishat!F5)/Nishat!F5</f>
        <v>0</v>
      </c>
      <c r="G19" s="85">
        <f>(Nishat!F5-Nishat!G5)/Nishat!G5</f>
        <v>0</v>
      </c>
      <c r="H19" s="85">
        <f>(Nishat!G5-Nishat!H5)/Nishat!H5</f>
        <v>0</v>
      </c>
      <c r="I19" s="18"/>
      <c r="J19" s="18"/>
      <c r="K19" s="18"/>
      <c r="L19" s="18"/>
      <c r="M19" s="18"/>
      <c r="N19" s="18"/>
      <c r="O19" s="18"/>
      <c r="P19" s="18"/>
      <c r="Q19" s="18"/>
      <c r="R19" s="18"/>
    </row>
    <row r="20" spans="1:26" ht="16" thickBot="1">
      <c r="A20" s="22"/>
      <c r="B20" s="24"/>
      <c r="C20" s="55" t="s">
        <v>96</v>
      </c>
      <c r="D20" s="85">
        <v>0</v>
      </c>
      <c r="E20" s="85">
        <f>(Nishat!E6-Nishat!D6)/Nishat!D6</f>
        <v>0</v>
      </c>
      <c r="F20" s="85">
        <f>(Nishat!F6-Nishat!E6)/Nishat!E6</f>
        <v>0</v>
      </c>
      <c r="G20" s="85">
        <f>(Nishat!G6-Nishat!F6)/Nishat!F6</f>
        <v>0</v>
      </c>
      <c r="H20" s="85">
        <f>(Nishat!H6-Nishat!G6)/Nishat!G6</f>
        <v>0</v>
      </c>
      <c r="I20" s="18"/>
      <c r="J20" s="18"/>
      <c r="K20" s="18"/>
      <c r="L20" s="18"/>
      <c r="M20" s="18"/>
      <c r="N20" s="18"/>
      <c r="O20" s="18"/>
      <c r="P20" s="18"/>
      <c r="Q20" s="18"/>
      <c r="R20" s="18"/>
    </row>
    <row r="21" spans="1:26" ht="16" thickBot="1">
      <c r="A21" s="22"/>
      <c r="B21" s="24"/>
      <c r="C21" s="55" t="s">
        <v>4</v>
      </c>
      <c r="D21" s="85">
        <v>0</v>
      </c>
      <c r="E21" s="85">
        <f>(Nishat!E7-Nishat!D7)/Nishat!D7</f>
        <v>-0.13781294699967253</v>
      </c>
      <c r="F21" s="85">
        <f>(Nishat!F7-Nishat!E7)/Nishat!E7</f>
        <v>0.50384656252775573</v>
      </c>
      <c r="G21" s="85">
        <f>(Nishat!G7-Nishat!F7)/Nishat!F7</f>
        <v>0.34682465177025001</v>
      </c>
      <c r="H21" s="85">
        <f>(Nishat!H7-Nishat!G7)/Nishat!G7</f>
        <v>-0.17803945308348276</v>
      </c>
      <c r="I21" s="18"/>
      <c r="J21" s="18"/>
      <c r="K21" s="18"/>
      <c r="L21" s="18"/>
      <c r="M21" s="18"/>
      <c r="N21" s="18"/>
      <c r="O21" s="18"/>
      <c r="P21" s="18"/>
      <c r="Q21" s="18"/>
      <c r="R21" s="18"/>
    </row>
    <row r="22" spans="1:26" ht="16" thickBot="1">
      <c r="A22" s="22"/>
      <c r="B22" s="24"/>
      <c r="C22" s="55" t="s">
        <v>97</v>
      </c>
      <c r="D22" s="85">
        <v>0</v>
      </c>
      <c r="E22" s="85" t="e">
        <f>(Nishat!E8-Nishat!D8)/Nishat!D8</f>
        <v>#DIV/0!</v>
      </c>
      <c r="F22" s="85" t="e">
        <f>(Nishat!F8-Nishat!E8)/Nishat!E8</f>
        <v>#DIV/0!</v>
      </c>
      <c r="G22" s="85" t="e">
        <f>(Nishat!G8-Nishat!F8)/Nishat!F8</f>
        <v>#DIV/0!</v>
      </c>
      <c r="H22" s="85" t="e">
        <f>(Nishat!H8-Nishat!G8)/Nishat!G8</f>
        <v>#DIV/0!</v>
      </c>
      <c r="I22" s="18"/>
      <c r="J22" s="18"/>
      <c r="K22" s="18"/>
      <c r="L22" s="18"/>
      <c r="M22" s="18"/>
      <c r="N22" s="18"/>
      <c r="O22" s="18"/>
      <c r="P22" s="18"/>
      <c r="Q22" s="18"/>
      <c r="R22" s="18"/>
    </row>
    <row r="23" spans="1:26" ht="16" thickBot="1">
      <c r="A23" s="22"/>
      <c r="B23" s="24"/>
      <c r="C23" s="55" t="s">
        <v>6</v>
      </c>
      <c r="D23" s="85">
        <v>0</v>
      </c>
      <c r="E23" s="85">
        <f>(Nishat!E9-Nishat!D9)/Nishat!D9</f>
        <v>0.64187915617286362</v>
      </c>
      <c r="F23" s="85">
        <f>(Nishat!F9-Nishat!E9)/Nishat!E9</f>
        <v>6.6233097407839545E-2</v>
      </c>
      <c r="G23" s="85">
        <f>(Nishat!G9-Nishat!F9)/Nishat!F9</f>
        <v>1.0991750019419779</v>
      </c>
      <c r="H23" s="85">
        <f>(Nishat!H9-Nishat!G9)/Nishat!G9</f>
        <v>-6.713525330810366E-2</v>
      </c>
      <c r="I23" s="18"/>
      <c r="J23" s="18"/>
      <c r="K23" s="18"/>
      <c r="L23" s="18"/>
      <c r="M23" s="18"/>
      <c r="N23" s="18"/>
      <c r="O23" s="18"/>
      <c r="P23" s="18"/>
      <c r="Q23" s="18"/>
      <c r="R23" s="18"/>
    </row>
    <row r="24" spans="1:26" ht="16" thickBot="1">
      <c r="A24" s="22"/>
      <c r="B24" s="24"/>
      <c r="C24" s="55" t="s">
        <v>98</v>
      </c>
      <c r="D24" s="85">
        <v>0</v>
      </c>
      <c r="E24" s="85" t="e">
        <f>(Nishat!E10-Nishat!D10)/Nishat!D10</f>
        <v>#DIV/0!</v>
      </c>
      <c r="F24" s="85">
        <f>(Nishat!F10-Nishat!E10)/Nishat!E10</f>
        <v>3.543157092958038E-2</v>
      </c>
      <c r="G24" s="85">
        <f>(Nishat!G10-Nishat!F10)/Nishat!F10</f>
        <v>-0.24845428800306288</v>
      </c>
      <c r="H24" s="85">
        <f>(Nishat!H10-Nishat!G10)/Nishat!G10</f>
        <v>0.22609332388359213</v>
      </c>
      <c r="I24" s="18"/>
      <c r="J24" s="18"/>
      <c r="K24" s="18"/>
      <c r="L24" s="18"/>
      <c r="M24" s="18"/>
      <c r="N24" s="18"/>
      <c r="O24" s="18"/>
      <c r="P24" s="18"/>
      <c r="Q24" s="18"/>
      <c r="R24" s="18"/>
    </row>
    <row r="25" spans="1:26" ht="16" thickBot="1">
      <c r="A25" s="22"/>
      <c r="B25" s="24"/>
      <c r="C25" s="55" t="s">
        <v>7</v>
      </c>
      <c r="D25" s="85">
        <v>0</v>
      </c>
      <c r="E25" s="85" t="e">
        <f>(Nishat!E11-Nishat!D11)/Nishat!D11</f>
        <v>#DIV/0!</v>
      </c>
      <c r="F25" s="85" t="e">
        <f>(Nishat!F11-Nishat!E11)/Nishat!E11</f>
        <v>#DIV/0!</v>
      </c>
      <c r="G25" s="85">
        <f>(Nishat!G11-Nishat!F11)/Nishat!F11</f>
        <v>3.350810472972209</v>
      </c>
      <c r="H25" s="85">
        <f>(Nishat!H11-Nishat!G11)/Nishat!G11</f>
        <v>-0.18661072464801223</v>
      </c>
      <c r="I25" s="18"/>
      <c r="J25" s="18"/>
      <c r="K25" s="18"/>
      <c r="L25" s="18"/>
      <c r="M25" s="18"/>
      <c r="N25" s="18"/>
      <c r="O25" s="18"/>
      <c r="P25" s="18"/>
      <c r="Q25" s="18"/>
      <c r="R25" s="18"/>
    </row>
    <row r="26" spans="1:26" ht="16" thickBot="1">
      <c r="A26" s="22"/>
      <c r="B26" s="24"/>
      <c r="C26" s="58" t="s">
        <v>9</v>
      </c>
      <c r="D26" s="85">
        <v>0</v>
      </c>
      <c r="E26" s="85">
        <f>(Nishat!E12-Nishat!D12)/Nishat!D12</f>
        <v>0.55666023313215918</v>
      </c>
      <c r="F26" s="85">
        <f>(Nishat!F12-Nishat!E12)/Nishat!E12</f>
        <v>-8.0534535714826036E-2</v>
      </c>
      <c r="G26" s="85">
        <f>(Nishat!G12-Nishat!F12)/Nishat!F12</f>
        <v>0.11445231231711939</v>
      </c>
      <c r="H26" s="85">
        <f>(Nishat!H12-Nishat!G12)/Nishat!G12</f>
        <v>-7.0519996575596974E-2</v>
      </c>
      <c r="I26" s="18"/>
      <c r="J26" s="18"/>
      <c r="K26" s="18"/>
      <c r="L26" s="18"/>
      <c r="M26" s="18"/>
      <c r="N26" s="18"/>
      <c r="O26" s="18"/>
      <c r="P26" s="18"/>
      <c r="Q26" s="18"/>
      <c r="R26" s="18"/>
    </row>
    <row r="27" spans="1:26" ht="16" thickBot="1">
      <c r="A27" s="22"/>
      <c r="B27" s="24"/>
      <c r="C27" s="58" t="s">
        <v>10</v>
      </c>
      <c r="D27" s="85">
        <v>0</v>
      </c>
      <c r="E27" s="85">
        <f>(Nishat!E13-Nishat!D13)/Nishat!D13</f>
        <v>7.336559251701448E-2</v>
      </c>
      <c r="F27" s="85">
        <f>(Nishat!F13-Nishat!E13)/Nishat!E13</f>
        <v>-0.413165274067677</v>
      </c>
      <c r="G27" s="85">
        <f>(Nishat!G13-Nishat!F13)/Nishat!F13</f>
        <v>0.8877525558733862</v>
      </c>
      <c r="H27" s="85">
        <f>(Nishat!H13-Nishat!G13)/Nishat!G13</f>
        <v>1.7241086888274322</v>
      </c>
      <c r="I27" s="18"/>
      <c r="J27" s="18"/>
      <c r="K27" s="18"/>
      <c r="L27" s="18"/>
      <c r="M27" s="18"/>
      <c r="N27" s="18"/>
      <c r="O27" s="18"/>
      <c r="P27" s="18"/>
      <c r="Q27" s="18"/>
      <c r="R27" s="18"/>
    </row>
    <row r="28" spans="1:26" ht="16" thickBot="1">
      <c r="A28" s="22"/>
      <c r="B28" s="24"/>
      <c r="C28" s="58" t="s">
        <v>94</v>
      </c>
      <c r="D28" s="85">
        <v>0</v>
      </c>
      <c r="E28" s="85">
        <f>(Nishat!E14-Nishat!D14)/Nishat!D14</f>
        <v>0.1225592176335514</v>
      </c>
      <c r="F28" s="85">
        <f>(Nishat!F14-Nishat!E14)/Nishat!E14</f>
        <v>-0.16211985895270542</v>
      </c>
      <c r="G28" s="85">
        <f>(Nishat!G14-Nishat!F14)/Nishat!F14</f>
        <v>-0.31505613284501799</v>
      </c>
      <c r="H28" s="85">
        <f>(Nishat!H14-Nishat!G14)/Nishat!G14</f>
        <v>1.1540247624858564</v>
      </c>
      <c r="I28" s="18"/>
      <c r="J28" s="18"/>
      <c r="K28" s="18"/>
      <c r="L28" s="18"/>
      <c r="M28" s="18"/>
      <c r="N28" s="18"/>
      <c r="O28" s="18"/>
      <c r="P28" s="18"/>
      <c r="Q28" s="18"/>
      <c r="R28" s="18"/>
    </row>
    <row r="29" spans="1:26" ht="16" thickBot="1">
      <c r="A29" s="22"/>
      <c r="B29" s="24"/>
      <c r="C29" s="58" t="s">
        <v>95</v>
      </c>
      <c r="D29" s="85">
        <v>0</v>
      </c>
      <c r="E29" s="85">
        <f>(Nishat!E15-Nishat!D15)/Nishat!D15</f>
        <v>-0.53162306800637671</v>
      </c>
      <c r="F29" s="85">
        <f>(Nishat!F15-Nishat!E15)/Nishat!E15</f>
        <v>4.4499476609065898</v>
      </c>
      <c r="G29" s="85">
        <f>(Nishat!G15-Nishat!F15)/Nishat!F15</f>
        <v>-0.16260938299698055</v>
      </c>
      <c r="H29" s="85">
        <f>(Nishat!H15-Nishat!G15)/Nishat!G15</f>
        <v>-8.5725177523470544E-2</v>
      </c>
      <c r="I29" s="18"/>
      <c r="J29" s="18"/>
      <c r="K29" s="18"/>
      <c r="L29" s="18"/>
      <c r="M29" s="18"/>
      <c r="N29" s="18"/>
      <c r="O29" s="18"/>
      <c r="P29" s="18"/>
      <c r="Q29" s="18"/>
      <c r="R29" s="18"/>
    </row>
    <row r="30" spans="1:26" ht="16" thickBot="1">
      <c r="A30" s="22"/>
      <c r="B30" s="24"/>
      <c r="C30" s="58" t="s">
        <v>106</v>
      </c>
      <c r="D30" s="85">
        <v>0</v>
      </c>
      <c r="E30" s="85" t="e">
        <f>(Nishat!E16-Nishat!D16)/Nishat!D16</f>
        <v>#DIV/0!</v>
      </c>
      <c r="F30" s="85" t="e">
        <f>(Nishat!F16-Nishat!E16)/Nishat!E16</f>
        <v>#DIV/0!</v>
      </c>
      <c r="G30" s="85" t="e">
        <f>(Nishat!G16-Nishat!F16)/Nishat!F16</f>
        <v>#DIV/0!</v>
      </c>
      <c r="H30" s="85">
        <f>(Nishat!H16-Nishat!G16)/Nishat!G16</f>
        <v>-3.6839066691984598E-2</v>
      </c>
      <c r="I30" s="18"/>
      <c r="J30" s="18"/>
      <c r="K30" s="18"/>
      <c r="L30" s="18"/>
      <c r="M30" s="18"/>
      <c r="N30" s="18"/>
      <c r="O30" s="18"/>
      <c r="P30" s="18"/>
      <c r="Q30" s="18"/>
      <c r="R30" s="18"/>
    </row>
    <row r="31" spans="1:26" ht="16" thickBot="1">
      <c r="A31" s="22"/>
      <c r="B31" s="24"/>
      <c r="C31" s="55" t="s">
        <v>12</v>
      </c>
      <c r="D31" s="85">
        <v>0</v>
      </c>
      <c r="E31" s="85">
        <f>(Nishat!E17-Nishat!D17)/Nishat!D17</f>
        <v>0.49105232385059305</v>
      </c>
      <c r="F31" s="85">
        <f>(Nishat!F17-Nishat!E17)/Nishat!E17</f>
        <v>3.9542402763555334E-2</v>
      </c>
      <c r="G31" s="85">
        <f>(Nishat!G17-Nishat!F17)/Nishat!F17</f>
        <v>0.31184799448830919</v>
      </c>
      <c r="H31" s="85">
        <f>(Nishat!H17-Nishat!G17)/Nishat!G17</f>
        <v>4.7668095511916891E-2</v>
      </c>
      <c r="I31" s="18"/>
      <c r="J31" s="18"/>
      <c r="K31" s="18"/>
      <c r="L31" s="18"/>
      <c r="M31" s="18"/>
      <c r="N31" s="18"/>
      <c r="O31" s="18"/>
      <c r="P31" s="18"/>
      <c r="Q31" s="18"/>
      <c r="R31" s="18"/>
    </row>
    <row r="32" spans="1:26" ht="16" thickBot="1">
      <c r="A32" s="22"/>
      <c r="B32" s="24"/>
      <c r="C32" s="55" t="s">
        <v>99</v>
      </c>
      <c r="D32" s="85">
        <v>0</v>
      </c>
      <c r="E32" s="85" t="e">
        <f>(Nishat!E18-Nishat!D18)/Nishat!D18</f>
        <v>#DIV/0!</v>
      </c>
      <c r="F32" s="85" t="e">
        <f>(Nishat!F18-Nishat!E18)/Nishat!E18</f>
        <v>#DIV/0!</v>
      </c>
      <c r="G32" s="85" t="e">
        <f>(Nishat!G18-Nishat!F18)/Nishat!F18</f>
        <v>#DIV/0!</v>
      </c>
      <c r="H32" s="85" t="e">
        <f>(Nishat!H18-Nishat!G18)/Nishat!G18</f>
        <v>#DIV/0!</v>
      </c>
      <c r="I32" s="18"/>
      <c r="J32" s="18"/>
      <c r="K32" s="18"/>
      <c r="L32" s="18"/>
      <c r="M32" s="18"/>
      <c r="N32" s="18"/>
      <c r="O32" s="18"/>
      <c r="P32" s="18"/>
      <c r="Q32" s="18"/>
      <c r="R32" s="18"/>
    </row>
    <row r="33" spans="1:18" ht="16" thickBot="1">
      <c r="A33" s="22"/>
      <c r="B33" s="24"/>
      <c r="C33" s="55" t="s">
        <v>91</v>
      </c>
      <c r="D33" s="85">
        <v>0</v>
      </c>
      <c r="E33" s="85">
        <f>(Nishat!E19-Nishat!D19)/Nishat!D19</f>
        <v>-0.42988270666382167</v>
      </c>
      <c r="F33" s="85">
        <f>(Nishat!F19-Nishat!E19)/Nishat!E19</f>
        <v>0</v>
      </c>
      <c r="G33" s="85">
        <f>(Nishat!G19-Nishat!F19)/Nishat!F19</f>
        <v>-0.72961621709062452</v>
      </c>
      <c r="H33" s="85">
        <f>(Nishat!H19-Nishat!G19)/Nishat!G19</f>
        <v>0</v>
      </c>
      <c r="I33" s="18"/>
      <c r="J33" s="18"/>
      <c r="K33" s="18"/>
      <c r="L33" s="18"/>
      <c r="M33" s="18"/>
      <c r="N33" s="18"/>
      <c r="O33" s="18"/>
      <c r="P33" s="18"/>
      <c r="Q33" s="18"/>
      <c r="R33" s="18"/>
    </row>
    <row r="34" spans="1:18" ht="16" thickBot="1">
      <c r="A34" s="22"/>
      <c r="B34" s="24"/>
      <c r="C34" s="55" t="s">
        <v>92</v>
      </c>
      <c r="D34" s="85">
        <v>0</v>
      </c>
      <c r="E34" s="85">
        <f>(Nishat!E20-Nishat!D20)/Nishat!D20</f>
        <v>-0.25196724488959271</v>
      </c>
      <c r="F34" s="85">
        <f>(Nishat!F20-Nishat!E20)/Nishat!E20</f>
        <v>0.57156630614543535</v>
      </c>
      <c r="G34" s="85">
        <f>(Nishat!G20-Nishat!F20)/Nishat!F20</f>
        <v>0.15528626668256465</v>
      </c>
      <c r="H34" s="85">
        <f>(Nishat!H20-Nishat!G20)/Nishat!G20</f>
        <v>-0.48396258095155836</v>
      </c>
      <c r="I34" s="18"/>
      <c r="J34" s="18"/>
      <c r="K34" s="18"/>
      <c r="L34" s="18"/>
      <c r="M34" s="18"/>
      <c r="N34" s="18"/>
      <c r="O34" s="18"/>
      <c r="P34" s="18"/>
      <c r="Q34" s="18"/>
      <c r="R34" s="18"/>
    </row>
    <row r="35" spans="1:18" ht="16" thickBot="1">
      <c r="A35" s="22"/>
      <c r="B35" s="24"/>
      <c r="C35" s="55" t="s">
        <v>93</v>
      </c>
      <c r="D35" s="85">
        <v>0</v>
      </c>
      <c r="E35" s="85">
        <f>(Nishat!E21-Nishat!D21)/Nishat!D21</f>
        <v>0.21322854083373818</v>
      </c>
      <c r="F35" s="85">
        <f>(Nishat!F21-Nishat!E21)/Nishat!E21</f>
        <v>-3.8566117256804658E-2</v>
      </c>
      <c r="G35" s="85">
        <f>(Nishat!G21-Nishat!F21)/Nishat!F21</f>
        <v>8.7509984784168455E-3</v>
      </c>
      <c r="H35" s="85">
        <f>(Nishat!H21-Nishat!G21)/Nishat!G21</f>
        <v>0.10492512404165889</v>
      </c>
      <c r="I35" s="18"/>
      <c r="J35" s="18"/>
      <c r="K35" s="18"/>
      <c r="L35" s="18"/>
      <c r="M35" s="18"/>
      <c r="N35" s="18"/>
      <c r="O35" s="18"/>
      <c r="P35" s="18"/>
      <c r="Q35" s="18"/>
      <c r="R35" s="18"/>
    </row>
    <row r="36" spans="1:18" ht="16" thickBot="1">
      <c r="A36" s="22"/>
      <c r="B36" s="24"/>
      <c r="C36" s="55" t="s">
        <v>13</v>
      </c>
      <c r="D36" s="85">
        <v>0</v>
      </c>
      <c r="E36" s="85" t="e">
        <f>(Nishat!E22-Nishat!D22)/Nishat!D22</f>
        <v>#DIV/0!</v>
      </c>
      <c r="F36" s="85" t="e">
        <f>(Nishat!F22-Nishat!E22)/Nishat!E22</f>
        <v>#DIV/0!</v>
      </c>
      <c r="G36" s="85" t="e">
        <f>(Nishat!G22-Nishat!F22)/Nishat!F22</f>
        <v>#DIV/0!</v>
      </c>
      <c r="H36" s="85" t="e">
        <f>(Nishat!H22-Nishat!G22)/Nishat!G22</f>
        <v>#DIV/0!</v>
      </c>
      <c r="I36" s="18"/>
      <c r="J36" s="18"/>
      <c r="K36" s="18"/>
      <c r="L36" s="18"/>
      <c r="M36" s="18"/>
      <c r="N36" s="18"/>
      <c r="O36" s="18"/>
      <c r="P36" s="18"/>
      <c r="Q36" s="18"/>
      <c r="R36" s="18"/>
    </row>
    <row r="37" spans="1:18" ht="16" thickBot="1">
      <c r="A37" s="22"/>
      <c r="B37" s="24"/>
      <c r="C37" s="55" t="s">
        <v>7</v>
      </c>
      <c r="D37" s="85">
        <v>0</v>
      </c>
      <c r="E37" s="85">
        <f>(Nishat!E23-Nishat!D23)/Nishat!D23</f>
        <v>138.19209236183517</v>
      </c>
      <c r="F37" s="85">
        <f>(Nishat!F23-Nishat!E23)/Nishat!E23</f>
        <v>0.15553991817558679</v>
      </c>
      <c r="G37" s="85">
        <f>(Nishat!G23-Nishat!F23)/Nishat!F23</f>
        <v>-0.30080384516809283</v>
      </c>
      <c r="H37" s="85">
        <f>(Nishat!H23-Nishat!G23)/Nishat!G23</f>
        <v>0.52774078372595035</v>
      </c>
      <c r="I37" s="18"/>
      <c r="J37" s="18"/>
      <c r="K37" s="18"/>
      <c r="L37" s="18"/>
      <c r="M37" s="18"/>
      <c r="N37" s="18"/>
      <c r="O37" s="18"/>
      <c r="P37" s="18"/>
      <c r="Q37" s="18"/>
      <c r="R37" s="18"/>
    </row>
    <row r="38" spans="1:18" ht="16" thickBot="1">
      <c r="A38" s="22"/>
      <c r="B38" s="24"/>
      <c r="C38" s="60" t="s">
        <v>15</v>
      </c>
      <c r="D38" s="85">
        <v>0</v>
      </c>
      <c r="E38" s="85">
        <f>(Nishat!E24-Nishat!D24)/Nishat!D24</f>
        <v>1.1331792163500196</v>
      </c>
      <c r="F38" s="85">
        <f>(Nishat!F24-Nishat!E24)/Nishat!E24</f>
        <v>7.7406481565239715E-2</v>
      </c>
      <c r="G38" s="85">
        <f>(Nishat!G24-Nishat!F24)/Nishat!F24</f>
        <v>4.6426981578095456E-3</v>
      </c>
      <c r="H38" s="85">
        <f>(Nishat!H24-Nishat!G24)/Nishat!G24</f>
        <v>0.44564422117069485</v>
      </c>
      <c r="I38" s="18"/>
      <c r="J38" s="18"/>
      <c r="K38" s="18"/>
      <c r="L38" s="18"/>
      <c r="M38" s="18"/>
      <c r="N38" s="18"/>
      <c r="O38" s="18"/>
      <c r="P38" s="18"/>
      <c r="Q38" s="18"/>
      <c r="R38" s="18"/>
    </row>
    <row r="39" spans="1:18" ht="16" thickBot="1">
      <c r="A39" s="22"/>
      <c r="B39" s="24"/>
      <c r="C39" s="60" t="s">
        <v>16</v>
      </c>
      <c r="D39" s="85">
        <v>0</v>
      </c>
      <c r="E39" s="85">
        <f>(Nishat!E25-Nishat!D25)/Nishat!D25</f>
        <v>0.22874382357004613</v>
      </c>
      <c r="F39" s="85">
        <f>(Nishat!F25-Nishat!E25)/Nishat!E25</f>
        <v>-5.7097054754056506E-2</v>
      </c>
      <c r="G39" s="85">
        <f>(Nishat!G25-Nishat!F25)/Nishat!F25</f>
        <v>0.16266180597327079</v>
      </c>
      <c r="H39" s="85">
        <f>(Nishat!H25-Nishat!G25)/Nishat!G25</f>
        <v>0.11223499885791272</v>
      </c>
      <c r="I39" s="18"/>
      <c r="J39" s="18"/>
      <c r="K39" s="18"/>
      <c r="L39" s="18"/>
      <c r="M39" s="18"/>
      <c r="N39" s="18"/>
      <c r="O39" s="18"/>
      <c r="P39" s="18"/>
      <c r="Q39" s="18"/>
      <c r="R39" s="18"/>
    </row>
    <row r="40" spans="1:18" ht="16" thickBot="1">
      <c r="A40" s="22"/>
      <c r="B40" s="24"/>
      <c r="C40" s="60" t="s">
        <v>17</v>
      </c>
      <c r="D40" s="85">
        <v>0</v>
      </c>
      <c r="E40" s="85">
        <f>(Nishat!E26-Nishat!D26)/Nishat!D26</f>
        <v>-0.27071879143741895</v>
      </c>
      <c r="F40" s="85">
        <f>(Nishat!F26-Nishat!E26)/Nishat!E26</f>
        <v>0.44718591336277297</v>
      </c>
      <c r="G40" s="85">
        <f>(Nishat!G26-Nishat!F26)/Nishat!F26</f>
        <v>0.1413329861383622</v>
      </c>
      <c r="H40" s="85">
        <f>(Nishat!H26-Nishat!G26)/Nishat!G26</f>
        <v>0.47393636047220955</v>
      </c>
      <c r="I40" s="18"/>
      <c r="J40" s="18"/>
      <c r="K40" s="18"/>
      <c r="L40" s="18"/>
      <c r="M40" s="18"/>
      <c r="N40" s="18"/>
      <c r="O40" s="18"/>
      <c r="P40" s="18"/>
      <c r="Q40" s="18"/>
      <c r="R40" s="18"/>
    </row>
    <row r="41" spans="1:18" ht="16" thickBot="1">
      <c r="A41" s="22"/>
      <c r="B41" s="24"/>
      <c r="C41" s="60" t="s">
        <v>18</v>
      </c>
      <c r="D41" s="85">
        <v>0</v>
      </c>
      <c r="E41" s="85">
        <f>(Nishat!E27-Nishat!D27)/Nishat!D27</f>
        <v>-0.53134189465634951</v>
      </c>
      <c r="F41" s="85">
        <f>(Nishat!F27-Nishat!E27)/Nishat!E27</f>
        <v>1.9548061695514769</v>
      </c>
      <c r="G41" s="85">
        <f>(Nishat!G27-Nishat!F27)/Nishat!F27</f>
        <v>-0.42834752068344373</v>
      </c>
      <c r="H41" s="85">
        <f>(Nishat!H27-Nishat!G27)/Nishat!G27</f>
        <v>1.1775227558753649</v>
      </c>
      <c r="I41" s="18"/>
      <c r="J41" s="18"/>
      <c r="K41" s="18"/>
      <c r="L41" s="18"/>
      <c r="M41" s="18"/>
      <c r="N41" s="18"/>
      <c r="O41" s="18"/>
      <c r="P41" s="18"/>
      <c r="Q41" s="18"/>
      <c r="R41" s="18"/>
    </row>
    <row r="42" spans="1:18" ht="16" thickBot="1">
      <c r="A42" s="22"/>
      <c r="B42" s="80"/>
      <c r="C42" s="60" t="s">
        <v>19</v>
      </c>
      <c r="D42" s="85">
        <v>0</v>
      </c>
      <c r="E42" s="85">
        <f>(Nishat!E28-Nishat!D28)/Nishat!D28</f>
        <v>-0.37042277120787881</v>
      </c>
      <c r="F42" s="85">
        <f>(Nishat!F28-Nishat!E28)/Nishat!E28</f>
        <v>-0.1192366755016475</v>
      </c>
      <c r="G42" s="85">
        <f>(Nishat!G28-Nishat!F28)/Nishat!F28</f>
        <v>0.64249590814559543</v>
      </c>
      <c r="H42" s="85">
        <f>(Nishat!H28-Nishat!G28)/Nishat!G28</f>
        <v>5.5094105067435444E-2</v>
      </c>
      <c r="I42" s="18"/>
      <c r="J42" s="18"/>
      <c r="K42" s="18"/>
      <c r="L42" s="18"/>
      <c r="M42" s="18"/>
      <c r="N42" s="18"/>
      <c r="O42" s="18"/>
      <c r="P42" s="18"/>
      <c r="Q42" s="18"/>
      <c r="R42" s="18"/>
    </row>
    <row r="43" spans="1:18" ht="16" thickBot="1">
      <c r="A43" s="22"/>
      <c r="B43" s="26"/>
      <c r="C43" s="60" t="s">
        <v>90</v>
      </c>
      <c r="D43" s="85">
        <v>0</v>
      </c>
      <c r="E43" s="85">
        <f>(Nishat!E29-Nishat!D29)/Nishat!D29</f>
        <v>0.82879637576408249</v>
      </c>
      <c r="F43" s="85">
        <f>(Nishat!F29-Nishat!E29)/Nishat!E29</f>
        <v>3.1628814956495819</v>
      </c>
      <c r="G43" s="85">
        <f>(Nishat!G29-Nishat!F29)/Nishat!F29</f>
        <v>-0.62803464932630337</v>
      </c>
      <c r="H43" s="85">
        <f>(Nishat!H29-Nishat!G29)/Nishat!G29</f>
        <v>0.3718150712383731</v>
      </c>
      <c r="I43" s="18"/>
      <c r="J43" s="18"/>
      <c r="K43" s="18"/>
      <c r="L43" s="18"/>
      <c r="M43" s="18"/>
      <c r="N43" s="18"/>
      <c r="O43" s="18"/>
      <c r="P43" s="18"/>
      <c r="Q43" s="18"/>
      <c r="R43" s="18"/>
    </row>
    <row r="44" spans="1:18" ht="31.5" thickBot="1">
      <c r="A44" s="22"/>
      <c r="B44" s="29" t="s">
        <v>155</v>
      </c>
      <c r="C44" s="60" t="s">
        <v>20</v>
      </c>
      <c r="D44" s="85">
        <v>0</v>
      </c>
      <c r="E44" s="85">
        <f>(Nishat!E30-Nishat!D30)/Nishat!D30</f>
        <v>1.6774758907710503</v>
      </c>
      <c r="F44" s="85">
        <f>(Nishat!F30-Nishat!E30)/Nishat!E30</f>
        <v>4.7436370409255622</v>
      </c>
      <c r="G44" s="85">
        <f>(Nishat!G30-Nishat!F30)/Nishat!F30</f>
        <v>-0.23338132204427467</v>
      </c>
      <c r="H44" s="85">
        <f>(Nishat!H30-Nishat!G30)/Nishat!G30</f>
        <v>0.33504244316201248</v>
      </c>
      <c r="I44" s="18"/>
      <c r="J44" s="18"/>
      <c r="K44" s="18"/>
      <c r="L44" s="18"/>
      <c r="M44" s="18"/>
      <c r="N44" s="18"/>
      <c r="O44" s="18"/>
      <c r="P44" s="18"/>
      <c r="Q44" s="18"/>
      <c r="R44" s="18"/>
    </row>
    <row r="45" spans="1:18" ht="16" thickBot="1">
      <c r="A45" s="22"/>
      <c r="B45" s="24"/>
      <c r="C45" s="62" t="s">
        <v>22</v>
      </c>
      <c r="D45" s="85">
        <v>0</v>
      </c>
      <c r="E45" s="85">
        <f>(Nishat!E31-Nishat!D31)/Nishat!D31</f>
        <v>-9.3314701132962696E-2</v>
      </c>
      <c r="F45" s="85">
        <f>(Nishat!F31-Nishat!E31)/Nishat!E31</f>
        <v>0.38177997468682046</v>
      </c>
      <c r="G45" s="85">
        <f>(Nishat!G31-Nishat!F31)/Nishat!F31</f>
        <v>0.25777837112634477</v>
      </c>
      <c r="H45" s="85">
        <f>(Nishat!H31-Nishat!G31)/Nishat!G31</f>
        <v>9.1005294184040478E-2</v>
      </c>
      <c r="I45" s="18"/>
      <c r="J45" s="18"/>
      <c r="K45" s="18"/>
      <c r="L45" s="18"/>
      <c r="M45" s="18"/>
      <c r="N45" s="18"/>
      <c r="O45" s="18"/>
      <c r="P45" s="18"/>
      <c r="Q45" s="18"/>
      <c r="R45" s="18"/>
    </row>
    <row r="46" spans="1:18" ht="16" thickBot="1">
      <c r="A46" s="22"/>
      <c r="B46" s="24"/>
      <c r="C46" s="62" t="s">
        <v>24</v>
      </c>
      <c r="D46" s="85">
        <v>0</v>
      </c>
      <c r="E46" s="85">
        <f>(Nishat!E32-Nishat!D32)/Nishat!D32</f>
        <v>-8.6724037537873458E-2</v>
      </c>
      <c r="F46" s="85">
        <f>(Nishat!F32-Nishat!E32)/Nishat!E32</f>
        <v>0.28135527091518758</v>
      </c>
      <c r="G46" s="85">
        <f>(Nishat!G32-Nishat!F32)/Nishat!F32</f>
        <v>0.21578434571364807</v>
      </c>
      <c r="H46" s="85">
        <f>(Nishat!H32-Nishat!G32)/Nishat!G32</f>
        <v>0.24536630211640598</v>
      </c>
      <c r="I46" s="18"/>
      <c r="J46" s="18"/>
      <c r="K46" s="18"/>
      <c r="L46" s="18"/>
      <c r="M46" s="18"/>
      <c r="N46" s="18"/>
      <c r="O46" s="18"/>
      <c r="P46" s="18"/>
      <c r="Q46" s="18"/>
      <c r="R46" s="18"/>
    </row>
    <row r="47" spans="1:18" ht="16" thickBot="1">
      <c r="A47" s="22"/>
      <c r="B47" s="24"/>
      <c r="C47" s="62" t="s">
        <v>62</v>
      </c>
      <c r="D47" s="85">
        <v>0</v>
      </c>
      <c r="E47" s="85">
        <f>(Nishat!E33-Nishat!D33)/Nishat!D33</f>
        <v>0.16583449286878724</v>
      </c>
      <c r="F47" s="85">
        <f>(Nishat!F33-Nishat!E33)/Nishat!E33</f>
        <v>-3.8024506190017703E-2</v>
      </c>
      <c r="G47" s="85">
        <f>(Nishat!G33-Nishat!F33)/Nishat!F33</f>
        <v>0.65616998015890637</v>
      </c>
      <c r="H47" s="85">
        <f>(Nishat!H33-Nishat!G33)/Nishat!G33</f>
        <v>-3.7196046795653394E-2</v>
      </c>
      <c r="I47" s="18"/>
      <c r="J47" s="18"/>
      <c r="K47" s="18"/>
      <c r="L47" s="18"/>
      <c r="M47" s="18"/>
      <c r="N47" s="18"/>
      <c r="O47" s="18"/>
      <c r="P47" s="18"/>
      <c r="Q47" s="18"/>
      <c r="R47" s="18"/>
    </row>
    <row r="48" spans="1:18" ht="16" thickBot="1">
      <c r="A48" s="22"/>
      <c r="B48" s="24"/>
      <c r="C48" s="62" t="s">
        <v>49</v>
      </c>
      <c r="D48" s="85">
        <v>0</v>
      </c>
      <c r="E48" s="85">
        <f>(Nishat!E34-Nishat!D34)/Nishat!D34</f>
        <v>-7.9402068732085232E-2</v>
      </c>
      <c r="F48" s="85">
        <f>(Nishat!F34-Nishat!E34)/Nishat!E34</f>
        <v>0.33545754582240694</v>
      </c>
      <c r="G48" s="85">
        <f>(Nishat!G34-Nishat!F34)/Nishat!F34</f>
        <v>0.46927165088204098</v>
      </c>
      <c r="H48" s="85">
        <f>(Nishat!H34-Nishat!G34)/Nishat!G34</f>
        <v>-5.1324918428654387E-2</v>
      </c>
      <c r="I48" s="18"/>
      <c r="J48" s="18"/>
      <c r="K48" s="18"/>
      <c r="L48" s="18"/>
      <c r="M48" s="18"/>
      <c r="N48" s="18"/>
      <c r="O48" s="18"/>
      <c r="P48" s="18"/>
      <c r="Q48" s="18"/>
      <c r="R48" s="18"/>
    </row>
    <row r="49" spans="1:18" ht="16" thickBot="1">
      <c r="A49" s="22"/>
      <c r="B49" s="24"/>
      <c r="C49" s="62" t="s">
        <v>53</v>
      </c>
      <c r="D49" s="85">
        <v>0</v>
      </c>
      <c r="E49" s="85">
        <f>(Nishat!E35-Nishat!D35)/Nishat!D35</f>
        <v>-0.81502492464747345</v>
      </c>
      <c r="F49" s="85">
        <f>(Nishat!F35-Nishat!E35)/Nishat!E35</f>
        <v>0.90307291348563967</v>
      </c>
      <c r="G49" s="85">
        <f>(Nishat!G35-Nishat!F35)/Nishat!F35</f>
        <v>-0.13860389744485027</v>
      </c>
      <c r="H49" s="85">
        <f>(Nishat!H35-Nishat!G35)/Nishat!G35</f>
        <v>0.25935312849454656</v>
      </c>
      <c r="I49" s="18"/>
      <c r="J49" s="18"/>
      <c r="K49" s="18"/>
      <c r="L49" s="18"/>
      <c r="M49" s="18"/>
      <c r="N49" s="18"/>
      <c r="O49" s="18"/>
      <c r="P49" s="18"/>
      <c r="Q49" s="18"/>
      <c r="R49" s="18"/>
    </row>
    <row r="50" spans="1:18" ht="16" thickBot="1">
      <c r="A50" s="22"/>
      <c r="B50" s="24"/>
      <c r="C50" s="62" t="s">
        <v>50</v>
      </c>
      <c r="D50" s="85">
        <v>0</v>
      </c>
      <c r="E50" s="85">
        <f>(Nishat!E36-Nishat!D36)/Nishat!D36</f>
        <v>-0.65299027900891926</v>
      </c>
      <c r="F50" s="85">
        <f>(Nishat!F36-Nishat!E36)/Nishat!E36</f>
        <v>2.5823885374731499</v>
      </c>
      <c r="G50" s="85">
        <f>(Nishat!G36-Nishat!F36)/Nishat!F36</f>
        <v>1.774748094759109</v>
      </c>
      <c r="H50" s="85">
        <f>(Nishat!H36-Nishat!G36)/Nishat!G36</f>
        <v>-0.91599438473955452</v>
      </c>
      <c r="I50" s="18"/>
      <c r="J50" s="18"/>
      <c r="K50" s="18"/>
      <c r="L50" s="18"/>
      <c r="M50" s="18"/>
      <c r="N50" s="18"/>
      <c r="O50" s="18"/>
      <c r="P50" s="18"/>
      <c r="Q50" s="18"/>
      <c r="R50" s="18"/>
    </row>
    <row r="51" spans="1:18" ht="16" thickBot="1">
      <c r="A51" s="22"/>
      <c r="B51" s="80"/>
      <c r="C51" s="62" t="s">
        <v>89</v>
      </c>
      <c r="D51" s="85">
        <v>0</v>
      </c>
      <c r="E51" s="85">
        <f>(Nishat!E37-Nishat!D37)/Nishat!D37</f>
        <v>0.22193473565640159</v>
      </c>
      <c r="F51" s="85">
        <f>(Nishat!F37-Nishat!E37)/Nishat!E37</f>
        <v>-0.34343118830165786</v>
      </c>
      <c r="G51" s="85">
        <f>(Nishat!G37-Nishat!F37)/Nishat!F37</f>
        <v>0.26162112308429852</v>
      </c>
      <c r="H51" s="85">
        <f>(Nishat!H37-Nishat!G37)/Nishat!G37</f>
        <v>1.4585199926774162</v>
      </c>
      <c r="I51" s="18"/>
      <c r="J51" s="18"/>
      <c r="K51" s="18"/>
      <c r="L51" s="18"/>
      <c r="M51" s="18"/>
      <c r="N51" s="18"/>
      <c r="O51" s="18"/>
      <c r="P51" s="18"/>
      <c r="Q51" s="18"/>
      <c r="R51" s="18"/>
    </row>
    <row r="52" spans="1:18" ht="16" thickBot="1">
      <c r="A52" s="22"/>
      <c r="B52" s="80"/>
      <c r="C52" s="62" t="s">
        <v>107</v>
      </c>
      <c r="D52" s="85">
        <v>0</v>
      </c>
      <c r="E52" s="85" t="e">
        <f>(Nishat!E38-Nishat!D38)/Nishat!D38</f>
        <v>#DIV/0!</v>
      </c>
      <c r="F52" s="85">
        <f>(Nishat!F38-Nishat!E38)/Nishat!E38</f>
        <v>0.5192985745076365</v>
      </c>
      <c r="G52" s="85">
        <f>(Nishat!G38-Nishat!F38)/Nishat!F38</f>
        <v>-1</v>
      </c>
      <c r="H52" s="85" t="e">
        <f>(Nishat!H38-Nishat!G38)/Nishat!G38</f>
        <v>#DIV/0!</v>
      </c>
      <c r="I52" s="18"/>
      <c r="J52" s="18"/>
      <c r="K52" s="18"/>
      <c r="L52" s="18"/>
      <c r="M52" s="18"/>
      <c r="N52" s="18"/>
      <c r="O52" s="18"/>
      <c r="P52" s="18"/>
      <c r="Q52" s="18"/>
      <c r="R52" s="18"/>
    </row>
    <row r="53" spans="1:18" ht="16" thickBot="1">
      <c r="A53" s="22"/>
      <c r="B53" s="26"/>
      <c r="C53" s="62" t="s">
        <v>108</v>
      </c>
      <c r="D53" s="85">
        <v>0</v>
      </c>
      <c r="E53" s="85">
        <f>(Nishat!E39-Nishat!D39)/Nishat!D39</f>
        <v>0.7380564848871024</v>
      </c>
      <c r="F53" s="85">
        <f>(Nishat!F39-Nishat!E39)/Nishat!E39</f>
        <v>-0.41020491991839902</v>
      </c>
      <c r="G53" s="85">
        <f>(Nishat!G39-Nishat!F39)/Nishat!F39</f>
        <v>0.71357843410817601</v>
      </c>
      <c r="H53" s="85">
        <f>(Nishat!H39-Nishat!G39)/Nishat!G39</f>
        <v>3.6789843351574862E-2</v>
      </c>
      <c r="I53" s="18"/>
      <c r="J53" s="18"/>
      <c r="K53" s="18"/>
      <c r="L53" s="18"/>
      <c r="M53" s="18"/>
      <c r="N53" s="18"/>
      <c r="O53" s="18"/>
      <c r="P53" s="18"/>
      <c r="Q53" s="18"/>
      <c r="R53" s="18"/>
    </row>
    <row r="54" spans="1:18" ht="31.5" thickBot="1">
      <c r="A54" s="22" t="s">
        <v>156</v>
      </c>
      <c r="B54" s="29" t="s">
        <v>154</v>
      </c>
      <c r="C54" s="30" t="s">
        <v>3</v>
      </c>
      <c r="D54" s="31">
        <f>Nishat!D5/Nishat!$D87</f>
        <v>5.5213263815602098E-2</v>
      </c>
      <c r="E54" s="31">
        <f>Nishat!E5/Nishat!E$87</f>
        <v>5.028607201012595E-2</v>
      </c>
      <c r="F54" s="31">
        <f>Nishat!F5/Nishat!F$87</f>
        <v>4.6381849315948506E-2</v>
      </c>
      <c r="G54" s="31">
        <f>Nishat!G5/Nishat!G$87</f>
        <v>4.0399843063170078E-2</v>
      </c>
      <c r="H54" s="31">
        <f>Nishat!H5/Nishat!H$87</f>
        <v>3.4378468339589907E-2</v>
      </c>
      <c r="I54" s="18"/>
      <c r="J54" s="18"/>
      <c r="K54" s="18"/>
      <c r="L54" s="18"/>
      <c r="M54" s="18"/>
      <c r="N54" s="18"/>
      <c r="O54" s="18"/>
      <c r="P54" s="18"/>
      <c r="Q54" s="18"/>
      <c r="R54" s="18"/>
    </row>
    <row r="55" spans="1:18" ht="31.5" thickBot="1">
      <c r="A55" s="22"/>
      <c r="B55" s="24"/>
      <c r="C55" s="23" t="s">
        <v>96</v>
      </c>
      <c r="D55" s="31">
        <f>Nishat!D6/Nishat!$D$87</f>
        <v>1.3803315953900525E-2</v>
      </c>
      <c r="E55" s="31">
        <f>Nishat!E6/Nishat!E$87</f>
        <v>1.2576885840439268E-2</v>
      </c>
      <c r="F55" s="31">
        <f>Nishat!F6/Nishat!F$87</f>
        <v>1.1600413406672037E-2</v>
      </c>
      <c r="G55" s="31">
        <f>Nishat!G6/Nishat!G$87</f>
        <v>1.0104273288135072E-2</v>
      </c>
      <c r="H55" s="31">
        <f>Nishat!H6/Nishat!H$87</f>
        <v>8.5982868494702096E-3</v>
      </c>
      <c r="I55" s="18"/>
      <c r="J55" s="18"/>
      <c r="K55" s="18"/>
      <c r="L55" s="18"/>
      <c r="M55" s="18"/>
      <c r="N55" s="18"/>
      <c r="O55" s="18"/>
      <c r="P55" s="18"/>
      <c r="Q55" s="18"/>
      <c r="R55" s="18"/>
    </row>
    <row r="56" spans="1:18" ht="31.5" thickBot="1">
      <c r="A56" s="22"/>
      <c r="B56" s="24"/>
      <c r="C56" s="23" t="s">
        <v>4</v>
      </c>
      <c r="D56" s="31">
        <f>Nishat!D7/Nishat!$D$87</f>
        <v>0.28352682321200118</v>
      </c>
      <c r="E56" s="31">
        <f>Nishat!E7/Nishat!E$87</f>
        <v>0.22273339598418956</v>
      </c>
      <c r="F56" s="31">
        <f>Nishat!F7/Nishat!F$87</f>
        <v>0.30895072157455572</v>
      </c>
      <c r="G56" s="31">
        <f>Nishat!G7/Nishat!G$87</f>
        <v>0.36243646696452086</v>
      </c>
      <c r="H56" s="31">
        <f>Nishat!H7/Nishat!H$87</f>
        <v>0.2535068543501966</v>
      </c>
      <c r="I56" s="18"/>
      <c r="J56" s="18"/>
      <c r="K56" s="18"/>
      <c r="L56" s="18"/>
      <c r="M56" s="18"/>
      <c r="N56" s="18"/>
      <c r="O56" s="18"/>
      <c r="P56" s="18"/>
      <c r="Q56" s="18"/>
      <c r="R56" s="18"/>
    </row>
    <row r="57" spans="1:18" ht="47" thickBot="1">
      <c r="A57" s="22"/>
      <c r="B57" s="24"/>
      <c r="C57" s="23" t="s">
        <v>97</v>
      </c>
      <c r="D57" s="31">
        <f>Nishat!D8/Nishat!$D$87</f>
        <v>0</v>
      </c>
      <c r="E57" s="31">
        <f>Nishat!E8/Nishat!E$87</f>
        <v>0</v>
      </c>
      <c r="F57" s="31">
        <f>Nishat!F8/Nishat!F$87</f>
        <v>0</v>
      </c>
      <c r="G57" s="31">
        <f>Nishat!G8/Nishat!G$87</f>
        <v>0</v>
      </c>
      <c r="H57" s="31">
        <f>Nishat!H8/Nishat!H$87</f>
        <v>0</v>
      </c>
      <c r="I57" s="18"/>
      <c r="J57" s="18"/>
      <c r="K57" s="18"/>
      <c r="L57" s="18"/>
      <c r="M57" s="18"/>
      <c r="N57" s="18"/>
      <c r="O57" s="18"/>
      <c r="P57" s="18"/>
      <c r="Q57" s="18"/>
      <c r="R57" s="18"/>
    </row>
    <row r="58" spans="1:18" ht="31.5" thickBot="1">
      <c r="A58" s="22"/>
      <c r="B58" s="24"/>
      <c r="C58" s="23" t="s">
        <v>6</v>
      </c>
      <c r="D58" s="31">
        <f>Nishat!D9/Nishat!$D$87</f>
        <v>8.4063644696673101E-2</v>
      </c>
      <c r="E58" s="31">
        <f>Nishat!E9/Nishat!E$87</f>
        <v>0.12575900567029599</v>
      </c>
      <c r="F58" s="31">
        <f>Nishat!F9/Nishat!F$87</f>
        <v>0.12367775750176094</v>
      </c>
      <c r="G58" s="31">
        <f>Nishat!G9/Nishat!G$87</f>
        <v>0.22613712447967305</v>
      </c>
      <c r="H58" s="31">
        <f>Nishat!H9/Nishat!H$87</f>
        <v>0.17951361484136888</v>
      </c>
      <c r="I58" s="18"/>
      <c r="J58" s="18"/>
      <c r="K58" s="18"/>
      <c r="L58" s="18"/>
      <c r="M58" s="18"/>
      <c r="N58" s="18"/>
      <c r="O58" s="18"/>
      <c r="P58" s="18"/>
      <c r="Q58" s="18"/>
      <c r="R58" s="18"/>
    </row>
    <row r="59" spans="1:18" ht="16" thickBot="1">
      <c r="A59" s="22"/>
      <c r="B59" s="24"/>
      <c r="C59" s="23" t="s">
        <v>7</v>
      </c>
      <c r="D59" s="31">
        <f>Nishat!D10/Nishat!$D$87</f>
        <v>0</v>
      </c>
      <c r="E59" s="31">
        <f>Nishat!E10/Nishat!E$87</f>
        <v>1.5071835245798904E-3</v>
      </c>
      <c r="F59" s="31">
        <f>Nishat!F10/Nishat!F$87</f>
        <v>1.4394211793522572E-3</v>
      </c>
      <c r="G59" s="31">
        <f>Nishat!G10/Nishat!G$87</f>
        <v>9.4226900828168331E-4</v>
      </c>
      <c r="H59" s="31">
        <f>Nishat!H10/Nishat!H$87</f>
        <v>9.8311716877625245E-4</v>
      </c>
      <c r="I59" s="18"/>
      <c r="J59" s="18"/>
      <c r="K59" s="18"/>
      <c r="L59" s="18"/>
      <c r="M59" s="18"/>
      <c r="N59" s="18"/>
      <c r="O59" s="18"/>
      <c r="P59" s="18"/>
      <c r="Q59" s="18"/>
      <c r="R59" s="18"/>
    </row>
    <row r="60" spans="1:18" ht="31.5" thickBot="1">
      <c r="A60" s="22"/>
      <c r="B60" s="24"/>
      <c r="C60" s="23" t="s">
        <v>9</v>
      </c>
      <c r="D60" s="31">
        <f>Nishat!D11/Nishat!$D$87</f>
        <v>0</v>
      </c>
      <c r="E60" s="31">
        <f>Nishat!E11/Nishat!E$87</f>
        <v>0</v>
      </c>
      <c r="F60" s="31">
        <f>Nishat!F11/Nishat!F$87</f>
        <v>3.6973577647621729E-3</v>
      </c>
      <c r="G60" s="31">
        <f>Nishat!G11/Nishat!G$87</f>
        <v>1.4011778348302336E-2</v>
      </c>
      <c r="H60" s="31">
        <f>Nishat!H11/Nishat!H$87</f>
        <v>9.698365475318162E-3</v>
      </c>
      <c r="I60" s="18"/>
      <c r="J60" s="18"/>
      <c r="K60" s="18"/>
      <c r="L60" s="18"/>
      <c r="M60" s="18"/>
      <c r="N60" s="18"/>
      <c r="O60" s="18"/>
      <c r="P60" s="18"/>
      <c r="Q60" s="18"/>
      <c r="R60" s="18"/>
    </row>
    <row r="61" spans="1:18" ht="31.5" thickBot="1">
      <c r="A61" s="22"/>
      <c r="B61" s="24"/>
      <c r="C61" s="23" t="s">
        <v>10</v>
      </c>
      <c r="D61" s="31">
        <f>Nishat!D12/Nishat!$D$87</f>
        <v>6.6537552345141929E-2</v>
      </c>
      <c r="E61" s="31">
        <f>Nishat!E12/Nishat!E$87</f>
        <v>9.4373560801869982E-2</v>
      </c>
      <c r="F61" s="31">
        <f>Nishat!F12/Nishat!F$87</f>
        <v>8.0036135513232923E-2</v>
      </c>
      <c r="G61" s="31">
        <f>Nishat!G12/Nishat!G$87</f>
        <v>7.7692521732513994E-2</v>
      </c>
      <c r="H61" s="31">
        <f>Nishat!H12/Nishat!H$87</f>
        <v>6.1450598137699181E-2</v>
      </c>
      <c r="I61" s="18"/>
      <c r="J61" s="18"/>
      <c r="K61" s="18"/>
      <c r="L61" s="18"/>
      <c r="M61" s="18"/>
      <c r="N61" s="18"/>
      <c r="O61" s="18"/>
      <c r="P61" s="18"/>
      <c r="Q61" s="18"/>
      <c r="R61" s="18"/>
    </row>
    <row r="62" spans="1:18" ht="31.5" thickBot="1">
      <c r="A62" s="22"/>
      <c r="B62" s="24"/>
      <c r="C62" s="23" t="s">
        <v>94</v>
      </c>
      <c r="D62" s="31">
        <f>Nishat!D13/Nishat!$D$87</f>
        <v>9.9149615622739842E-3</v>
      </c>
      <c r="E62" s="31">
        <f>Nishat!E13/Nishat!E$87</f>
        <v>9.6967990206311503E-3</v>
      </c>
      <c r="F62" s="31">
        <f>Nishat!F13/Nishat!F$87</f>
        <v>5.2486129463558484E-3</v>
      </c>
      <c r="G62" s="31">
        <f>Nishat!G13/Nishat!G$87</f>
        <v>8.6302073792462481E-3</v>
      </c>
      <c r="H62" s="31">
        <f>Nishat!H13/Nishat!H$87</f>
        <v>2.0005642733835812E-2</v>
      </c>
      <c r="I62" s="18"/>
      <c r="J62" s="18"/>
      <c r="K62" s="18"/>
      <c r="L62" s="18"/>
      <c r="M62" s="18"/>
      <c r="N62" s="18"/>
      <c r="O62" s="18"/>
      <c r="P62" s="18"/>
      <c r="Q62" s="18"/>
      <c r="R62" s="18"/>
    </row>
    <row r="63" spans="1:18" ht="47" thickBot="1">
      <c r="A63" s="22"/>
      <c r="B63" s="24"/>
      <c r="C63" s="23" t="s">
        <v>95</v>
      </c>
      <c r="D63" s="31">
        <f>Nishat!D14/Nishat!$D$87</f>
        <v>0.4618002269227644</v>
      </c>
      <c r="E63" s="31">
        <f>Nishat!E14/Nishat!E$87</f>
        <v>0.47233822390600688</v>
      </c>
      <c r="F63" s="31">
        <f>Nishat!F14/Nishat!F$87</f>
        <v>0.3650356975636177</v>
      </c>
      <c r="G63" s="31">
        <f>Nishat!G14/Nishat!G$87</f>
        <v>0.2177819769739783</v>
      </c>
      <c r="H63" s="31">
        <f>Nishat!H14/Nishat!H$87</f>
        <v>0.39918983436890915</v>
      </c>
      <c r="I63" s="18"/>
      <c r="J63" s="18"/>
      <c r="K63" s="18"/>
      <c r="L63" s="18"/>
      <c r="M63" s="18"/>
      <c r="N63" s="18"/>
      <c r="O63" s="18"/>
      <c r="P63" s="18"/>
      <c r="Q63" s="18"/>
      <c r="R63" s="18"/>
    </row>
    <row r="64" spans="1:18" ht="16" thickBot="1">
      <c r="A64" s="22"/>
      <c r="B64" s="24"/>
      <c r="C64" s="23" t="s">
        <v>12</v>
      </c>
      <c r="D64" s="31">
        <f>Nishat!D15/Nishat!$D$87</f>
        <v>2.5140211491642892E-2</v>
      </c>
      <c r="E64" s="31">
        <f>Nishat!E15/Nishat!E$87</f>
        <v>1.0728873241861262E-2</v>
      </c>
      <c r="F64" s="31">
        <f>Nishat!F15/Nishat!F$87</f>
        <v>5.3932033233741905E-2</v>
      </c>
      <c r="G64" s="31">
        <f>Nishat!G15/Nishat!G$87</f>
        <v>3.9337476926152616E-2</v>
      </c>
      <c r="H64" s="31">
        <f>Nishat!H15/Nishat!H$87</f>
        <v>3.0604839554117563E-2</v>
      </c>
      <c r="I64" s="18"/>
      <c r="J64" s="18"/>
      <c r="K64" s="18"/>
      <c r="L64" s="18"/>
      <c r="M64" s="18"/>
      <c r="N64" s="18"/>
      <c r="O64" s="18"/>
      <c r="P64" s="18"/>
      <c r="Q64" s="18"/>
      <c r="R64" s="18"/>
    </row>
    <row r="65" spans="1:18" ht="47" thickBot="1">
      <c r="A65" s="22"/>
      <c r="B65" s="24"/>
      <c r="C65" s="23" t="s">
        <v>92</v>
      </c>
      <c r="D65" s="31">
        <f>Nishat!D16/Nishat!$D$87</f>
        <v>0</v>
      </c>
      <c r="E65" s="31">
        <f>Nishat!E16/Nishat!E$87</f>
        <v>0</v>
      </c>
      <c r="F65" s="31">
        <f>Nishat!F16/Nishat!F$87</f>
        <v>0</v>
      </c>
      <c r="G65" s="31">
        <f>Nishat!G16/Nishat!G$87</f>
        <v>2.5260618360257387E-3</v>
      </c>
      <c r="H65" s="31">
        <f>Nishat!H16/Nishat!H$87</f>
        <v>2.0703781807182992E-3</v>
      </c>
      <c r="I65" s="18"/>
      <c r="J65" s="18"/>
      <c r="K65" s="18"/>
      <c r="L65" s="18"/>
      <c r="M65" s="18"/>
      <c r="N65" s="18"/>
      <c r="O65" s="18"/>
      <c r="P65" s="18"/>
      <c r="Q65" s="18"/>
      <c r="R65" s="18"/>
    </row>
    <row r="66" spans="1:18" ht="31.5" thickBot="1">
      <c r="A66" s="22"/>
      <c r="B66" s="24"/>
      <c r="C66" s="23" t="s">
        <v>93</v>
      </c>
      <c r="D66" s="31">
        <f>Nishat!D17/Nishat!$D$87</f>
        <v>0.25541259732832422</v>
      </c>
      <c r="E66" s="31">
        <f>Nishat!E17/Nishat!E$87</f>
        <v>0.34699633465954582</v>
      </c>
      <c r="F66" s="31">
        <f>Nishat!F17/Nishat!F$87</f>
        <v>0.33271121774195017</v>
      </c>
      <c r="G66" s="31">
        <f>Nishat!G17/Nishat!G$87</f>
        <v>0.38017414418398543</v>
      </c>
      <c r="H66" s="31">
        <f>Nishat!H17/Nishat!H$87</f>
        <v>0.33893244239820619</v>
      </c>
      <c r="I66" s="18"/>
      <c r="J66" s="18"/>
      <c r="K66" s="18"/>
      <c r="L66" s="18"/>
      <c r="M66" s="18"/>
      <c r="N66" s="18"/>
      <c r="O66" s="18"/>
      <c r="P66" s="18"/>
      <c r="Q66" s="18"/>
      <c r="R66" s="18"/>
    </row>
    <row r="67" spans="1:18" ht="31.5" thickBot="1">
      <c r="A67" s="22"/>
      <c r="B67" s="24"/>
      <c r="C67" s="23" t="s">
        <v>15</v>
      </c>
      <c r="D67" s="31">
        <f>Nishat!D18/Nishat!$D$87</f>
        <v>0</v>
      </c>
      <c r="E67" s="31">
        <f>Nishat!E18/Nishat!E$87</f>
        <v>0</v>
      </c>
      <c r="F67" s="31">
        <f>Nishat!F18/Nishat!F$87</f>
        <v>0</v>
      </c>
      <c r="G67" s="31">
        <f>Nishat!G18/Nishat!G$87</f>
        <v>0</v>
      </c>
      <c r="H67" s="31">
        <f>Nishat!H18/Nishat!H$87</f>
        <v>0</v>
      </c>
      <c r="I67" s="18"/>
      <c r="J67" s="18"/>
      <c r="K67" s="18"/>
      <c r="L67" s="18"/>
      <c r="M67" s="18"/>
      <c r="N67" s="18"/>
      <c r="O67" s="18"/>
      <c r="P67" s="18"/>
      <c r="Q67" s="18"/>
      <c r="R67" s="18"/>
    </row>
    <row r="68" spans="1:18" ht="16" thickBot="1">
      <c r="A68" s="22"/>
      <c r="B68" s="24"/>
      <c r="C68" s="23" t="s">
        <v>16</v>
      </c>
      <c r="D68" s="31">
        <f>Nishat!D19/Nishat!$D$87</f>
        <v>7.6061651672845357E-2</v>
      </c>
      <c r="E68" s="31">
        <f>Nishat!E19/Nishat!E$87</f>
        <v>3.9511148732552487E-2</v>
      </c>
      <c r="F68" s="31">
        <f>Nishat!F19/Nishat!F$87</f>
        <v>3.6443493666481926E-2</v>
      </c>
      <c r="G68" s="31">
        <f>Nishat!G19/Nishat!G$87</f>
        <v>8.5828646017591659E-3</v>
      </c>
      <c r="H68" s="31">
        <f>Nishat!H19/Nishat!H$87</f>
        <v>7.3036357718814192E-3</v>
      </c>
      <c r="I68" s="18"/>
      <c r="J68" s="18"/>
      <c r="K68" s="18"/>
      <c r="L68" s="18"/>
      <c r="M68" s="18"/>
      <c r="N68" s="18"/>
      <c r="O68" s="18"/>
      <c r="P68" s="18"/>
      <c r="Q68" s="18"/>
      <c r="R68" s="18"/>
    </row>
    <row r="69" spans="1:18" ht="16" thickBot="1">
      <c r="A69" s="22"/>
      <c r="B69" s="24"/>
      <c r="C69" s="23" t="s">
        <v>17</v>
      </c>
      <c r="D69" s="31">
        <f>Nishat!D20/Nishat!$D$87</f>
        <v>3.658250364517448E-4</v>
      </c>
      <c r="E69" s="31">
        <f>Nishat!E20/Nishat!E$87</f>
        <v>2.4933527763269385E-4</v>
      </c>
      <c r="F69" s="31">
        <f>Nishat!F20/Nishat!F$87</f>
        <v>3.614238322926553E-4</v>
      </c>
      <c r="G69" s="31">
        <f>Nishat!G20/Nishat!G$87</f>
        <v>3.6369557298960485E-4</v>
      </c>
      <c r="H69" s="31">
        <f>Nishat!H20/Nishat!H$87</f>
        <v>1.597077733662013E-4</v>
      </c>
      <c r="I69" s="18"/>
      <c r="J69" s="18"/>
      <c r="K69" s="18"/>
      <c r="L69" s="18"/>
      <c r="M69" s="18"/>
      <c r="N69" s="18"/>
      <c r="O69" s="18"/>
      <c r="P69" s="18"/>
      <c r="Q69" s="18"/>
      <c r="R69" s="18"/>
    </row>
    <row r="70" spans="1:18" ht="31.5" thickBot="1">
      <c r="A70" s="22"/>
      <c r="B70" s="24"/>
      <c r="C70" s="23" t="s">
        <v>18</v>
      </c>
      <c r="D70" s="31">
        <f>Nishat!D21/Nishat!$D$87</f>
        <v>6.0035450831217316E-4</v>
      </c>
      <c r="E70" s="31">
        <f>Nishat!E21/Nishat!E$87</f>
        <v>6.6365150649664206E-4</v>
      </c>
      <c r="F70" s="31">
        <f>Nishat!F21/Nishat!F$87</f>
        <v>5.8851814266466839E-4</v>
      </c>
      <c r="G70" s="31">
        <f>Nishat!G21/Nishat!G$87</f>
        <v>5.1710108700598516E-4</v>
      </c>
      <c r="H70" s="31">
        <f>Nishat!H21/Nishat!H$87</f>
        <v>4.8620021340639921E-4</v>
      </c>
      <c r="I70" s="18"/>
      <c r="J70" s="18"/>
      <c r="K70" s="18"/>
      <c r="L70" s="18"/>
      <c r="M70" s="18"/>
      <c r="N70" s="18"/>
      <c r="O70" s="18"/>
      <c r="P70" s="18"/>
      <c r="Q70" s="18"/>
      <c r="R70" s="18"/>
    </row>
    <row r="71" spans="1:18" ht="31.5" thickBot="1">
      <c r="A71" s="22"/>
      <c r="B71" s="24"/>
      <c r="C71" s="23" t="s">
        <v>19</v>
      </c>
      <c r="D71" s="31">
        <f>Nishat!D22/Nishat!$D$87</f>
        <v>0</v>
      </c>
      <c r="E71" s="31">
        <f>Nishat!E22/Nishat!E$87</f>
        <v>0</v>
      </c>
      <c r="F71" s="31">
        <f>Nishat!F22/Nishat!F$87</f>
        <v>0</v>
      </c>
      <c r="G71" s="31">
        <f>Nishat!G22/Nishat!G$87</f>
        <v>0</v>
      </c>
      <c r="H71" s="31">
        <f>Nishat!H22/Nishat!H$87</f>
        <v>0</v>
      </c>
      <c r="I71" s="18"/>
      <c r="J71" s="18"/>
      <c r="K71" s="18"/>
      <c r="L71" s="18"/>
      <c r="M71" s="18"/>
      <c r="N71" s="18"/>
      <c r="O71" s="18"/>
      <c r="P71" s="18"/>
      <c r="Q71" s="18"/>
      <c r="R71" s="18"/>
    </row>
    <row r="72" spans="1:18" ht="31.5" thickBot="1">
      <c r="A72" s="22"/>
      <c r="B72" s="26"/>
      <c r="C72" s="27" t="s">
        <v>20</v>
      </c>
      <c r="D72" s="31">
        <f>Nishat!D23/Nishat!$D$87</f>
        <v>1.5386937346459482E-5</v>
      </c>
      <c r="E72" s="31">
        <f>Nishat!E23/Nishat!E$87</f>
        <v>1.9514455529287429E-3</v>
      </c>
      <c r="F72" s="31">
        <f>Nishat!F23/Nishat!F$87</f>
        <v>2.0798965716706664E-3</v>
      </c>
      <c r="G72" s="31">
        <f>Nishat!G23/Nishat!G$87</f>
        <v>1.2666959668223678E-3</v>
      </c>
      <c r="H72" s="31">
        <f>Nishat!H23/Nishat!H$87</f>
        <v>1.646754678124884E-3</v>
      </c>
      <c r="I72" s="18"/>
      <c r="J72" s="18"/>
      <c r="K72" s="18"/>
      <c r="L72" s="18"/>
      <c r="M72" s="18"/>
      <c r="N72" s="18"/>
      <c r="O72" s="18"/>
      <c r="P72" s="18"/>
      <c r="Q72" s="18"/>
      <c r="R72" s="18"/>
    </row>
    <row r="73" spans="1:18" ht="31.5" thickBot="1">
      <c r="A73" s="22"/>
      <c r="B73" s="29" t="s">
        <v>155</v>
      </c>
      <c r="C73" s="30" t="s">
        <v>22</v>
      </c>
      <c r="D73" s="31">
        <f>Nishat!D31/Nishat!D$31</f>
        <v>1</v>
      </c>
      <c r="E73" s="31">
        <f>Nishat!E31/Nishat!E$31</f>
        <v>1</v>
      </c>
      <c r="F73" s="31">
        <f>Nishat!F31/Nishat!F$31</f>
        <v>1</v>
      </c>
      <c r="G73" s="31">
        <f>Nishat!G31/Nishat!G$31</f>
        <v>1</v>
      </c>
      <c r="H73" s="31">
        <f>Nishat!H31/Nishat!H$31</f>
        <v>1</v>
      </c>
      <c r="I73" s="18"/>
      <c r="J73" s="18"/>
      <c r="K73" s="18"/>
      <c r="L73" s="18"/>
      <c r="M73" s="18"/>
      <c r="N73" s="18"/>
      <c r="O73" s="18"/>
      <c r="P73" s="18"/>
      <c r="Q73" s="18"/>
      <c r="R73" s="18"/>
    </row>
    <row r="74" spans="1:18" ht="16" thickBot="1">
      <c r="A74" s="22"/>
      <c r="B74" s="24"/>
      <c r="C74" s="23" t="s">
        <v>24</v>
      </c>
      <c r="D74" s="31">
        <f>Nishat!D32/Nishat!D$31</f>
        <v>0.875754811466672</v>
      </c>
      <c r="E74" s="31">
        <f>Nishat!E32/Nishat!E$31</f>
        <v>0.88212064243511268</v>
      </c>
      <c r="F74" s="31">
        <f>Nishat!F32/Nishat!F$31</f>
        <v>0.81801007068691023</v>
      </c>
      <c r="G74" s="31">
        <f>Nishat!G32/Nishat!G$31</f>
        <v>0.79069879193952175</v>
      </c>
      <c r="H74" s="31">
        <f>Nishat!H32/Nishat!H$31</f>
        <v>0.90257090030171938</v>
      </c>
      <c r="I74" s="18"/>
      <c r="J74" s="18"/>
      <c r="K74" s="18"/>
      <c r="L74" s="18"/>
      <c r="M74" s="18"/>
      <c r="N74" s="18"/>
      <c r="O74" s="18"/>
      <c r="P74" s="18"/>
      <c r="Q74" s="18"/>
      <c r="R74" s="18"/>
    </row>
    <row r="75" spans="1:18" ht="31.5" thickBot="1">
      <c r="A75" s="22"/>
      <c r="B75" s="24"/>
      <c r="C75" s="23" t="s">
        <v>62</v>
      </c>
      <c r="D75" s="31">
        <f>Nishat!D33/Nishat!D$31</f>
        <v>7.0701645912049343E-3</v>
      </c>
      <c r="E75" s="31">
        <f>Nishat!E33/Nishat!E$31</f>
        <v>9.0909621684458555E-3</v>
      </c>
      <c r="F75" s="31">
        <f>Nishat!F33/Nishat!F$31</f>
        <v>6.3289980904381558E-3</v>
      </c>
      <c r="G75" s="31">
        <f>Nishat!G33/Nishat!G$31</f>
        <v>8.3336594764943702E-3</v>
      </c>
      <c r="H75" s="31">
        <f>Nishat!H33/Nishat!H$31</f>
        <v>7.3543917077217589E-3</v>
      </c>
      <c r="I75" s="18"/>
      <c r="J75" s="18"/>
      <c r="K75" s="18"/>
      <c r="L75" s="18"/>
      <c r="M75" s="18"/>
      <c r="N75" s="18"/>
      <c r="O75" s="18"/>
      <c r="P75" s="18"/>
      <c r="Q75" s="18"/>
      <c r="R75" s="18"/>
    </row>
    <row r="76" spans="1:18" ht="31.5" thickBot="1">
      <c r="A76" s="22"/>
      <c r="B76" s="24"/>
      <c r="C76" s="23" t="s">
        <v>49</v>
      </c>
      <c r="D76" s="31">
        <f>Nishat!D34/Nishat!D$31</f>
        <v>2.3997921605898309E-2</v>
      </c>
      <c r="E76" s="31">
        <f>Nishat!E34/Nishat!E$31</f>
        <v>2.4366157709544343E-2</v>
      </c>
      <c r="F76" s="31">
        <f>Nishat!F34/Nishat!F$31</f>
        <v>2.3549313039715292E-2</v>
      </c>
      <c r="G76" s="31">
        <f>Nishat!G34/Nishat!G$31</f>
        <v>2.7509089710308618E-2</v>
      </c>
      <c r="H76" s="31">
        <f>Nishat!H34/Nishat!H$31</f>
        <v>2.3920312819745295E-2</v>
      </c>
      <c r="I76" s="18"/>
      <c r="J76" s="18"/>
      <c r="K76" s="18"/>
      <c r="L76" s="18"/>
      <c r="M76" s="18"/>
      <c r="N76" s="18"/>
      <c r="O76" s="18"/>
      <c r="P76" s="18"/>
      <c r="Q76" s="18"/>
      <c r="R76" s="18"/>
    </row>
    <row r="77" spans="1:18" ht="31.5" thickBot="1">
      <c r="A77" s="22"/>
      <c r="B77" s="24"/>
      <c r="C77" s="23" t="s">
        <v>53</v>
      </c>
      <c r="D77" s="31">
        <f>Nishat!D35/Nishat!D$31</f>
        <v>6.2394182734168538E-2</v>
      </c>
      <c r="E77" s="31">
        <f>Nishat!E35/Nishat!E$31</f>
        <v>1.2729189132363603E-2</v>
      </c>
      <c r="F77" s="31">
        <f>Nishat!F35/Nishat!F$31</f>
        <v>1.7531427211432433E-2</v>
      </c>
      <c r="G77" s="31">
        <f>Nishat!G35/Nishat!G$31</f>
        <v>1.2006489711405792E-2</v>
      </c>
      <c r="H77" s="31">
        <f>Nishat!H35/Nishat!H$31</f>
        <v>1.3859153993936371E-2</v>
      </c>
      <c r="I77" s="18"/>
      <c r="J77" s="18"/>
      <c r="K77" s="18"/>
      <c r="L77" s="18"/>
      <c r="M77" s="18"/>
      <c r="N77" s="18"/>
      <c r="O77" s="18"/>
      <c r="P77" s="18"/>
      <c r="Q77" s="18"/>
      <c r="R77" s="18"/>
    </row>
    <row r="78" spans="1:18" ht="31.5" thickBot="1">
      <c r="A78" s="22"/>
      <c r="B78" s="24"/>
      <c r="C78" s="23" t="s">
        <v>50</v>
      </c>
      <c r="D78" s="31">
        <f>Nishat!D36/Nishat!D$31</f>
        <v>6.9619091659854498E-3</v>
      </c>
      <c r="E78" s="31">
        <f>Nishat!E36/Nishat!E$31</f>
        <v>2.6644858588449833E-3</v>
      </c>
      <c r="F78" s="31">
        <f>Nishat!F36/Nishat!F$31</f>
        <v>6.9079186077718258E-3</v>
      </c>
      <c r="G78" s="31">
        <f>Nishat!G36/Nishat!G$31</f>
        <v>1.5239357295117977E-2</v>
      </c>
      <c r="H78" s="31">
        <f>Nishat!H36/Nishat!H$31</f>
        <v>1.1734054752755305E-3</v>
      </c>
      <c r="I78" s="18"/>
      <c r="J78" s="18"/>
      <c r="K78" s="18"/>
      <c r="L78" s="18"/>
      <c r="M78" s="18"/>
      <c r="N78" s="18"/>
      <c r="O78" s="18"/>
      <c r="P78" s="18"/>
      <c r="Q78" s="18"/>
      <c r="R78" s="18"/>
    </row>
    <row r="79" spans="1:18" ht="16" thickBot="1">
      <c r="A79" s="22"/>
      <c r="B79" s="24"/>
      <c r="C79" s="23" t="s">
        <v>89</v>
      </c>
      <c r="D79" s="31">
        <f>Nishat!D37/Nishat!D$31</f>
        <v>5.5356043754663423E-2</v>
      </c>
      <c r="E79" s="31">
        <f>Nishat!E37/Nishat!E$31</f>
        <v>7.4603032360689311E-2</v>
      </c>
      <c r="F79" s="31">
        <f>Nishat!F37/Nishat!F$31</f>
        <v>3.5448497737313421E-2</v>
      </c>
      <c r="G79" s="31">
        <f>Nishat!G37/Nishat!G$31</f>
        <v>3.5556799634701423E-2</v>
      </c>
      <c r="H79" s="31">
        <f>Nishat!H37/Nishat!H$31</f>
        <v>8.0125278258083507E-2</v>
      </c>
      <c r="I79" s="18"/>
      <c r="J79" s="18"/>
      <c r="K79" s="18"/>
      <c r="L79" s="18"/>
      <c r="M79" s="18"/>
      <c r="N79" s="18"/>
      <c r="O79" s="18"/>
      <c r="P79" s="18"/>
      <c r="Q79" s="18"/>
      <c r="R79" s="18"/>
    </row>
    <row r="80" spans="1:18" ht="47" thickBot="1">
      <c r="A80" s="22"/>
      <c r="B80" s="24"/>
      <c r="C80" s="23" t="s">
        <v>108</v>
      </c>
      <c r="D80" s="31">
        <f>Nishat!D38/Nishat!D$31</f>
        <v>0</v>
      </c>
      <c r="E80" s="31">
        <f>Nishat!E38/Nishat!E$31</f>
        <v>1.2443686009759035E-2</v>
      </c>
      <c r="F80" s="31">
        <f>Nishat!F38/Nishat!F$31</f>
        <v>1.3682116373507643E-2</v>
      </c>
      <c r="G80" s="31">
        <f>Nishat!G38/Nishat!G$31</f>
        <v>0</v>
      </c>
      <c r="H80" s="31">
        <f>Nishat!H38/Nishat!H$31</f>
        <v>0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</row>
    <row r="81" spans="1:26" ht="16" thickBot="1">
      <c r="A81" s="19"/>
      <c r="B81" s="20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 spans="1:26" ht="16" thickBot="1">
      <c r="A82" s="19"/>
      <c r="B82" s="20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 spans="1:26" ht="15" thickBot="1">
      <c r="A83" s="18"/>
      <c r="B83" s="20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 spans="1:26" ht="15" thickBot="1">
      <c r="A84" s="18"/>
      <c r="B84" s="20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 spans="1:26" ht="15" thickBot="1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 spans="1:26" ht="15" thickBot="1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 spans="1:26" ht="15" thickBot="1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 spans="1:26" ht="15" thickBot="1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 spans="1:26" ht="15" thickBot="1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 spans="1:26" ht="15" thickBot="1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 spans="1:26" ht="15" thickBot="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 spans="1:26" ht="15" thickBot="1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 spans="1:26" ht="15" thickBot="1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 spans="1:26" ht="15" thickBot="1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 spans="1:26" ht="15" thickBot="1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 spans="1:26" ht="15" thickBot="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 spans="1:26" ht="15" thickBot="1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 spans="1:26" ht="15" thickBot="1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 spans="1:26" ht="15" thickBo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 spans="1:26" ht="15" thickBot="1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 spans="1:26" ht="15" thickBot="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 spans="1:26" ht="15" thickBot="1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 spans="1:26" ht="15" thickBot="1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 spans="1:26" ht="15" thickBot="1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 spans="1:26" ht="15" thickBot="1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 spans="1:26" ht="15" thickBot="1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 spans="1:26" ht="15" thickBot="1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 spans="1:26" ht="15" thickBot="1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 spans="1:26" ht="15" thickBot="1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 spans="1:26" ht="15" thickBot="1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 spans="1:26" ht="15" thickBot="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 spans="1:26" ht="15" thickBot="1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 spans="1:26" ht="15" thickBot="1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 spans="1:26" ht="15" thickBo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 spans="1:26" ht="15" thickBot="1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 spans="1:26" ht="15" thickBot="1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 spans="1:26" ht="15" thickBot="1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 spans="1:26" ht="15" thickBot="1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 spans="1:26" ht="15" thickBo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 spans="1:26" ht="15" thickBot="1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 spans="1:26" ht="15" thickBot="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 spans="1:26" ht="15" thickBot="1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 spans="1:26" ht="15" thickBot="1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 spans="1:26" ht="15" thickBot="1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 spans="1:26" ht="15" thickBot="1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 spans="1:26" ht="15" thickBot="1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 spans="1:26" ht="15" thickBot="1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 spans="1:26" ht="15" thickBot="1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 spans="1:26" ht="15" thickBot="1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 spans="1:26" ht="15" thickBot="1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 spans="1:26" ht="15" thickBot="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 spans="1:26" ht="15" thickBot="1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 spans="1:26" ht="15" thickBot="1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 spans="1:26" ht="15" thickBo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 spans="1:26" ht="15" thickBot="1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 spans="1:26" ht="15" thickBot="1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 spans="1:26" ht="15" thickBot="1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 spans="1:26" ht="15" thickBot="1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 spans="1:26" ht="15" thickBot="1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 spans="1:26" ht="15" thickBot="1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 spans="1:26" ht="15" thickBot="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 spans="1:26" ht="15" thickBot="1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 spans="1:26" ht="15" thickBot="1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 spans="1:26" ht="15" thickBot="1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 spans="1:26" ht="15" thickBot="1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 spans="1:26" ht="15" thickBot="1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 spans="1:26" ht="15" thickBot="1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 spans="1:26" ht="15" thickBot="1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 spans="1:26" ht="15" thickBot="1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 spans="1:26" ht="15" thickBot="1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 spans="1:26" ht="15" thickBot="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 spans="1:26" ht="15" thickBot="1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 spans="1:26" ht="15" thickBot="1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 spans="1:26" ht="15" thickBot="1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 spans="1:26" ht="15" thickBot="1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 spans="1:26" ht="15" thickBot="1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 spans="1:26" ht="15" thickBot="1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 spans="1:26" ht="15" thickBot="1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 spans="1:26" ht="15" thickBot="1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 spans="1:26" ht="15" thickBot="1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 spans="1:26" ht="15" thickBot="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 spans="1:26" ht="15" thickBot="1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 spans="1:26" ht="15" thickBot="1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 spans="1:26" ht="15" thickBot="1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 spans="1:26" ht="15" thickBot="1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 spans="1:26" ht="15" thickBot="1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 spans="1:26" ht="15" thickBot="1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 spans="1:26" ht="15" thickBot="1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 spans="1:26" ht="15" thickBot="1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 spans="1:26" ht="15" thickBot="1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 spans="1:26" ht="15" thickBot="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 spans="1:26" ht="15" thickBot="1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 spans="1:26" ht="15" thickBot="1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 spans="1:26" ht="15" thickBot="1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 spans="1:26" ht="15" thickBot="1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 spans="1:26" ht="15" thickBot="1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 spans="1:26" ht="15" thickBot="1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 spans="1:26" ht="15" thickBot="1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 spans="1:26" ht="15" thickBot="1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 spans="1:26" ht="15" thickBot="1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 spans="1:26" ht="15" thickBot="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 spans="1:26" ht="15" thickBot="1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 spans="1:26" ht="15" thickBot="1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 spans="1:26" ht="15" thickBot="1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 spans="1:26" ht="15" thickBot="1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 spans="1:26" ht="15" thickBot="1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 spans="1:26" ht="15" thickBot="1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 spans="1:26" ht="15" thickBot="1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 spans="1:26" ht="15" thickBot="1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 spans="1:26" ht="15" thickBot="1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 spans="1:26" ht="15" thickBot="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 spans="1:26" ht="15" thickBot="1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 spans="1:26" ht="15" thickBot="1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 spans="1:26" ht="15" thickBot="1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 spans="1:26" ht="15" thickBot="1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 spans="1:26" ht="15" thickBot="1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 spans="1:26" ht="15" thickBot="1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 spans="1:26" ht="15" thickBot="1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 spans="1:26" ht="15" thickBot="1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 spans="1:26" ht="15" thickBot="1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 spans="1:26" ht="15" thickBot="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 spans="1:26" ht="15" thickBot="1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 spans="1:26" ht="15" thickBot="1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 spans="1:26" ht="15" thickBot="1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 spans="1:26" ht="15" thickBot="1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 spans="1:26" ht="15" thickBot="1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 spans="1:26" ht="15" thickBot="1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 spans="1:26" ht="15" thickBot="1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 spans="1:26" ht="15" thickBot="1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 spans="1:26" ht="15" thickBot="1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 spans="1:26" ht="15" thickBot="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 spans="1:26" ht="15" thickBot="1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 spans="1:26" ht="15" thickBot="1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 spans="1:26" ht="15" thickBot="1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 spans="1:26" ht="15" thickBot="1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 spans="1:26" ht="15" thickBot="1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 spans="1:26" ht="15" thickBot="1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 spans="1:26" ht="15" thickBot="1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 spans="1:26" ht="15" thickBot="1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 spans="1:26" ht="15" thickBot="1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 spans="1:26" ht="15" thickBot="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 spans="1:26" ht="15" thickBot="1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 spans="1:26" ht="15" thickBot="1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 spans="1:26" ht="15" thickBot="1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 spans="1:26" ht="15" thickBot="1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 spans="1:26" ht="15" thickBot="1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 spans="1:26" ht="15" thickBot="1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 spans="1:26" ht="15" thickBot="1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 spans="1:26" ht="15" thickBot="1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 spans="1:26" ht="15" thickBot="1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 spans="1:26" ht="15" thickBot="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 spans="1:26" ht="15" thickBot="1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 spans="1:26" ht="15" thickBot="1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 spans="1:26" ht="15" thickBot="1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 spans="1:26" ht="15" thickBot="1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 spans="1:26" ht="15" thickBot="1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 spans="1:26" ht="15" thickBot="1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 spans="1:26" ht="15" thickBot="1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 spans="1:26" ht="15" thickBot="1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 spans="1:26" ht="15" thickBot="1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 spans="1:26" ht="15" thickBot="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 spans="1:26" ht="15" thickBot="1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 spans="1:26" ht="15" thickBot="1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 spans="1:26" ht="15" thickBot="1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 spans="1:26" ht="15" thickBot="1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 spans="1:26" ht="15" thickBot="1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 spans="1:26" ht="15" thickBot="1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 spans="1:26" ht="15" thickBot="1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 spans="1:26" ht="15" thickBot="1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 spans="1:26" ht="15" thickBot="1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 spans="1:26" ht="15" thickBot="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 spans="1:26" ht="15" thickBot="1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 spans="1:26" ht="15" thickBot="1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 spans="1:26" ht="15" thickBot="1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 spans="1:26" ht="15" thickBot="1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 spans="1:26" ht="15" thickBot="1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 spans="1:26" ht="15" thickBot="1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 spans="1:26" ht="15" thickBot="1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 spans="1:26" ht="15" thickBot="1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 spans="1:26" ht="15" thickBot="1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 spans="1:26" ht="15" thickBot="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 spans="1:26" ht="15" thickBot="1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 spans="1:26" ht="15" thickBot="1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 spans="1:26" ht="15" thickBot="1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 spans="1:26" ht="15" thickBot="1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 spans="1:26" ht="15" thickBot="1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 spans="1:26" ht="15" thickBot="1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 spans="1:26" ht="15" thickBot="1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 spans="1:26" ht="15" thickBot="1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 spans="1:26" ht="15" thickBot="1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 spans="1:26" ht="15" thickBot="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 spans="1:26" ht="15" thickBot="1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 spans="1:26" ht="15" thickBot="1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 spans="1:26" ht="15" thickBot="1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 spans="1:26" ht="15" thickBot="1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 spans="1:26" ht="15" thickBot="1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 spans="1:26" ht="15" thickBot="1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 spans="1:26" ht="15" thickBot="1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 spans="1:26" ht="15" thickBot="1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 spans="1:26" ht="15" thickBot="1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 spans="1:26" ht="15" thickBot="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 spans="1:26" ht="15" thickBot="1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 spans="1:26" ht="15" thickBot="1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 spans="1:26" ht="15" thickBot="1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 spans="1:26" ht="15" thickBot="1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 spans="1:26" ht="15" thickBot="1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 spans="1:26" ht="15" thickBot="1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 spans="1:26" ht="15" thickBot="1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 spans="1:26" ht="15" thickBot="1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 spans="1:26" ht="15" thickBot="1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 spans="1:26" ht="15" thickBot="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 spans="1:26" ht="15" thickBot="1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 spans="1:26" ht="15" thickBot="1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 spans="1:26" ht="15" thickBot="1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 spans="1:26" ht="15" thickBot="1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 spans="1:26" ht="15" thickBot="1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 spans="1:26" ht="15" thickBot="1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 spans="1:26" ht="15" thickBot="1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 spans="1:26" ht="15" thickBot="1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 spans="1:26" ht="15" thickBot="1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 spans="1:26" ht="15" thickBot="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 spans="1:26" ht="15" thickBot="1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 spans="1:26" ht="15" thickBot="1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 spans="1:26" ht="15" thickBot="1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 spans="1:26" ht="15" thickBot="1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 spans="1:26" ht="15" thickBot="1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 spans="1:26" ht="15" thickBot="1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 spans="1:26" ht="15" thickBot="1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 spans="1:26" ht="15" thickBot="1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 spans="1:26" ht="15" thickBot="1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 spans="1:26" ht="15" thickBot="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 spans="1:26" ht="15" thickBot="1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 spans="1:26" ht="15" thickBot="1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 spans="1:26" ht="15" thickBot="1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 spans="1:26" ht="15" thickBot="1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 spans="1:26" ht="15" thickBot="1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 spans="1:26" ht="15" thickBot="1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 spans="1:26" ht="15" thickBot="1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 spans="1:26" ht="15" thickBot="1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 spans="1:26" ht="15" thickBot="1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 spans="1:26" ht="15" thickBot="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 spans="1:26" ht="15" thickBot="1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 spans="1:26" ht="15" thickBot="1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 spans="1:26" ht="15" thickBot="1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 spans="1:26" ht="15" thickBot="1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 spans="1:26" ht="15" thickBot="1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 spans="1:26" ht="15" thickBot="1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 spans="1:26" ht="15" thickBot="1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 spans="1:26" ht="15" thickBot="1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 spans="1:26" ht="15" thickBot="1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 spans="1:26" ht="15" thickBot="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 spans="1:26" ht="15" thickBot="1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 spans="1:26" ht="15" thickBot="1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 spans="1:26" ht="15" thickBot="1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 spans="1:26" ht="15" thickBot="1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 spans="1:26" ht="15" thickBot="1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 spans="1:26" ht="15" thickBot="1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 spans="1:26" ht="15" thickBot="1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 spans="1:26" ht="15" thickBot="1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 spans="1:26" ht="15" thickBot="1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 spans="1:26" ht="15" thickBot="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 spans="1:26" ht="15" thickBot="1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 spans="1:26" ht="15" thickBot="1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 spans="1:26" ht="15" thickBot="1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 spans="1:26" ht="15" thickBot="1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 spans="1:26" ht="15" thickBot="1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 spans="1:26" ht="15" thickBot="1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 spans="1:26" ht="15" thickBot="1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 spans="1:26" ht="15" thickBot="1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 spans="1:26" ht="15" thickBot="1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 spans="1:26" ht="15" thickBot="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 spans="1:26" ht="15" thickBot="1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 spans="1:26" ht="15" thickBot="1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 spans="1:26" ht="15" thickBot="1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 spans="1:26" ht="15" thickBot="1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 spans="1:26" ht="15" thickBot="1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 spans="1:26" ht="15" thickBot="1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 spans="1:26" ht="15" thickBot="1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 spans="1:26" ht="15" thickBot="1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 spans="1:26" ht="15" thickBot="1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 spans="1:26" ht="15" thickBot="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 spans="1:26" ht="15" thickBot="1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 spans="1:26" ht="15" thickBot="1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 spans="1:26" ht="15" thickBot="1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 spans="1:26" ht="15" thickBot="1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 spans="1:26" ht="15" thickBot="1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 spans="1:26" ht="15" thickBot="1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 spans="1:26" ht="15" thickBot="1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 spans="1:26" ht="15" thickBot="1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 spans="1:26" ht="15" thickBot="1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 spans="1:26" ht="15" thickBot="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 spans="1:26" ht="15" thickBot="1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 spans="1:26" ht="15" thickBot="1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 spans="1:26" ht="15" thickBot="1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 spans="1:26" ht="15" thickBot="1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 spans="1:26" ht="15" thickBot="1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 spans="1:26" ht="15" thickBot="1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 spans="1:26" ht="15" thickBot="1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 spans="1:26" ht="15" thickBot="1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 spans="1:26" ht="15" thickBot="1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 spans="1:26" ht="15" thickBot="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 spans="1:26" ht="15" thickBot="1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 spans="1:26" ht="15" thickBot="1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 spans="1:26" ht="15" thickBot="1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 spans="1:26" ht="15" thickBot="1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 spans="1:26" ht="15" thickBot="1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 spans="1:26" ht="15" thickBot="1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 spans="1:26" ht="15" thickBot="1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 spans="1:26" ht="15" thickBot="1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 spans="1:26" ht="15" thickBot="1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 spans="1:26" ht="15" thickBot="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 spans="1:26" ht="15" thickBot="1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 spans="1:26" ht="15" thickBot="1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 spans="1:26" ht="15" thickBot="1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 spans="1:26" ht="15" thickBot="1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 spans="1:26" ht="15" thickBot="1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 spans="1:26" ht="15" thickBot="1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 spans="1:26" ht="15" thickBot="1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 spans="1:26" ht="15" thickBot="1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 spans="1:26" ht="15" thickBot="1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 spans="1:26" ht="15" thickBot="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 spans="1:26" ht="15" thickBot="1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 spans="1:26" ht="15" thickBot="1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 spans="1:26" ht="15" thickBot="1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 spans="1:26" ht="15" thickBot="1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 spans="1:26" ht="15" thickBot="1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 spans="1:26" ht="15" thickBot="1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 spans="1:26" ht="15" thickBot="1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 spans="1:26" ht="15" thickBot="1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 spans="1:26" ht="15" thickBot="1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 spans="1:26" ht="15" thickBot="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 spans="1:26" ht="15" thickBot="1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 spans="1:26" ht="15" thickBot="1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 spans="1:26" ht="15" thickBot="1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 spans="1:26" ht="15" thickBot="1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 spans="1:26" ht="15" thickBot="1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 spans="1:26" ht="15" thickBot="1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 spans="1:26" ht="15" thickBot="1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 spans="1:26" ht="15" thickBot="1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 spans="1:26" ht="15" thickBot="1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 spans="1:26" ht="15" thickBot="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 spans="1:26" ht="15" thickBot="1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 spans="1:26" ht="15" thickBot="1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 spans="1:26" ht="15" thickBot="1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 spans="1:26" ht="15" thickBot="1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 spans="1:26" ht="15" thickBot="1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 spans="1:26" ht="15" thickBot="1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 spans="1:26" ht="15" thickBot="1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 spans="1:26" ht="15" thickBot="1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 spans="1:26" ht="15" thickBot="1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 spans="1:26" ht="15" thickBot="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 spans="1:26" ht="15" thickBot="1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 spans="1:26" ht="15" thickBot="1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 spans="1:26" ht="15" thickBot="1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 spans="1:26" ht="15" thickBot="1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 spans="1:26" ht="15" thickBot="1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 spans="1:26" ht="15" thickBot="1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 spans="1:26" ht="15" thickBot="1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 spans="1:26" ht="15" thickBot="1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 spans="1:26" ht="15" thickBo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 spans="1:26" ht="15" thickBot="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 spans="1:26" ht="15" thickBot="1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 spans="1:26" ht="15" thickBot="1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 spans="1:26" ht="15" thickBot="1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 spans="1:26" ht="15" thickBot="1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 spans="1:26" ht="15" thickBot="1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 spans="1:26" ht="15" thickBot="1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 spans="1:26" ht="15" thickBot="1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 spans="1:26" ht="15" thickBot="1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 spans="1:26" ht="15" thickBot="1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 spans="1:26" ht="15" thickBot="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 spans="1:26" ht="15" thickBot="1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 spans="1:26" ht="15" thickBot="1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 spans="1:26" ht="15" thickBot="1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 spans="1:26" ht="15" thickBo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 spans="1:26" ht="15" thickBot="1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 spans="1:26" ht="15" thickBot="1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 spans="1:26" ht="15" thickBot="1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 spans="1:26" ht="15" thickBot="1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 spans="1:26" ht="15" thickBot="1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 spans="1:26" ht="15" thickBot="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 spans="1:26" ht="15" thickBot="1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 spans="1:26" ht="15" thickBot="1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 spans="1:26" ht="15" thickBot="1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 spans="1:26" ht="15" thickBot="1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 spans="1:26" ht="15" thickBot="1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 spans="1:26" ht="15" thickBot="1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 spans="1:26" ht="15" thickBot="1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 spans="1:26" ht="15" thickBot="1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 spans="1:26" ht="15" thickBot="1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 spans="1:26" ht="15" thickBot="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 spans="1:26" ht="15" thickBot="1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 spans="1:26" ht="15" thickBot="1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 spans="1:26" ht="15" thickBot="1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 spans="1:26" ht="15" thickBot="1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 spans="1:26" ht="15" thickBot="1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 spans="1:26" ht="15" thickBot="1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 spans="1:26" ht="15" thickBot="1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 spans="1:26" ht="15" thickBot="1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 spans="1:26" ht="15" thickBot="1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 spans="1:26" ht="15" thickBot="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 spans="1:26" ht="15" thickBot="1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 spans="1:26" ht="15" thickBot="1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 spans="1:26" ht="15" thickBot="1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 spans="1:26" ht="15" thickBot="1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 spans="1:26" ht="15" thickBot="1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 spans="1:26" ht="15" thickBot="1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 spans="1:26" ht="15" thickBot="1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 spans="1:26" ht="15" thickBot="1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 spans="1:26" ht="15" thickBot="1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 spans="1:26" ht="15" thickBot="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 spans="1:26" ht="15" thickBot="1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 spans="1:26" ht="15" thickBot="1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 spans="1:26" ht="15" thickBot="1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 spans="1:26" ht="15" thickBot="1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 spans="1:26" ht="15" thickBot="1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 spans="1:26" ht="15" thickBot="1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 spans="1:26" ht="15" thickBot="1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 spans="1:26" ht="15" thickBot="1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 spans="1:26" ht="15" thickBot="1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 spans="1:26" ht="15" thickBot="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 spans="1:26" ht="15" thickBot="1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 spans="1:26" ht="15" thickBot="1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 spans="1:26" ht="15" thickBot="1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 spans="1:26" ht="15" thickBot="1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 spans="1:26" ht="15" thickBot="1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 spans="1:26" ht="15" thickBot="1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 spans="1:26" ht="15" thickBot="1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 spans="1:26" ht="15" thickBot="1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 spans="1:26" ht="15" thickBot="1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 spans="1:26" ht="15" thickBot="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 spans="1:26" ht="15" thickBot="1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 spans="1:26" ht="15" thickBot="1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 spans="1:26" ht="15" thickBot="1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 spans="1:26" ht="15" thickBot="1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 spans="1:26" ht="15" thickBot="1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 spans="1:26" ht="15" thickBot="1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 spans="1:26" ht="15" thickBot="1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 spans="1:26" ht="15" thickBot="1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 spans="1:26" ht="15" thickBot="1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 spans="1:26" ht="15" thickBot="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 spans="1:26" ht="15" thickBot="1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 spans="1:26" ht="15" thickBot="1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 spans="1:26" ht="15" thickBot="1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 spans="1:26" ht="15" thickBot="1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 spans="1:26" ht="15" thickBot="1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 spans="1:26" ht="15" thickBot="1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 spans="1:26" ht="15" thickBot="1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 spans="1:26" ht="15" thickBot="1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 spans="1:26" ht="15" thickBot="1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 spans="1:26" ht="15" thickBot="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 spans="1:26" ht="15" thickBot="1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 spans="1:26" ht="15" thickBot="1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 spans="1:26" ht="15" thickBot="1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 spans="1:26" ht="15" thickBot="1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 spans="1:26" ht="15" thickBot="1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 spans="1:26" ht="15" thickBot="1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 spans="1:26" ht="15" thickBot="1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 spans="1:26" ht="15" thickBot="1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 spans="1:26" ht="15" thickBot="1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 spans="1:26" ht="15" thickBot="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 spans="1:26" ht="15" thickBot="1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 spans="1:26" ht="15" thickBot="1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 spans="1:26" ht="15" thickBot="1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 spans="1:26" ht="15" thickBot="1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 spans="1:26" ht="15" thickBot="1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 spans="1:26" ht="15" thickBot="1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 spans="1:26" ht="15" thickBot="1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 spans="1:26" ht="15" thickBot="1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 spans="1:26" ht="15" thickBot="1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 spans="1:26" ht="15" thickBot="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 spans="1:26" ht="15" thickBot="1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 spans="1:26" ht="15" thickBot="1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 spans="1:26" ht="15" thickBot="1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 spans="1:26" ht="15" thickBot="1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 spans="1:26" ht="15" thickBot="1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 spans="1:26" ht="15" thickBot="1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 spans="1:26" ht="15" thickBot="1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 spans="1:26" ht="15" thickBot="1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 spans="1:26" ht="15" thickBot="1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 spans="1:26" ht="15" thickBot="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 spans="1:26" ht="15" thickBot="1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 spans="1:26" ht="15" thickBot="1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 spans="1:26" ht="15" thickBot="1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 spans="1:26" ht="15" thickBot="1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 spans="1:26" ht="15" thickBot="1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 spans="1:26" ht="15" thickBot="1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 spans="1:26" ht="15" thickBot="1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 spans="1:26" ht="15" thickBot="1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 spans="1:26" ht="15" thickBot="1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 spans="1:26" ht="15" thickBot="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 spans="1:26" ht="15" thickBot="1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 spans="1:26" ht="15" thickBot="1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 spans="1:26" ht="15" thickBot="1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 spans="1:26" ht="15" thickBot="1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 spans="1:26" ht="15" thickBot="1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 spans="1:26" ht="15" thickBot="1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 spans="1:26" ht="15" thickBot="1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 spans="1:26" ht="15" thickBot="1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 spans="1:26" ht="15" thickBot="1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 spans="1:26" ht="15" thickBot="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 spans="1:26" ht="15" thickBot="1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 spans="1:26" ht="15" thickBot="1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 spans="1:26" ht="15" thickBot="1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 spans="1:26" ht="15" thickBot="1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 spans="1:26" ht="15" thickBot="1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 spans="1:26" ht="15" thickBot="1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 spans="1:26" ht="15" thickBot="1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 spans="1:26" ht="15" thickBot="1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 spans="1:26" ht="15" thickBot="1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 spans="1:26" ht="15" thickBot="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 spans="1:26" ht="15" thickBot="1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 spans="1:26" ht="15" thickBot="1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 spans="1:26" ht="15" thickBot="1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 spans="1:26" ht="15" thickBot="1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 spans="1:26" ht="15" thickBot="1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 spans="1:26" ht="15" thickBot="1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 spans="1:26" ht="15" thickBot="1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 spans="1:26" ht="15" thickBot="1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 spans="1:26" ht="15" thickBot="1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 spans="1:26" ht="15" thickBot="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 spans="1:26" ht="15" thickBot="1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 spans="1:26" ht="15" thickBot="1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 spans="1:26" ht="15" thickBot="1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 spans="1:26" ht="15" thickBot="1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 spans="1:26" ht="15" thickBot="1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 spans="1:26" ht="15" thickBot="1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 spans="1:26" ht="15" thickBot="1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 spans="1:26" ht="15" thickBot="1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 spans="1:26" ht="15" thickBot="1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 spans="1:26" ht="15" thickBot="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 spans="1:26" ht="15" thickBot="1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 spans="1:26" ht="15" thickBot="1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 spans="1:26" ht="15" thickBot="1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 spans="1:26" ht="15" thickBot="1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 spans="1:26" ht="15" thickBot="1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 spans="1:26" ht="15" thickBot="1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 spans="1:26" ht="15" thickBot="1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 spans="1:26" ht="15" thickBot="1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 spans="1:26" ht="15" thickBot="1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 spans="1:26" ht="15" thickBot="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 spans="1:26" ht="15" thickBot="1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 spans="1:26" ht="15" thickBot="1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 spans="1:26" ht="15" thickBot="1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 spans="1:26" ht="15" thickBot="1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 spans="1:26" ht="15" thickBot="1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 spans="1:26" ht="15" thickBot="1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 spans="1:26" ht="15" thickBot="1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 spans="1:26" ht="15" thickBot="1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 spans="1:26" ht="15" thickBot="1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 spans="1:26" ht="15" thickBot="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 spans="1:26" ht="15" thickBot="1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 spans="1:26" ht="15" thickBot="1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 spans="1:26" ht="15" thickBot="1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 spans="1:26" ht="15" thickBot="1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 spans="1:26" ht="15" thickBot="1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 spans="1:26" ht="15" thickBot="1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 spans="1:26" ht="15" thickBot="1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 spans="1:26" ht="15" thickBot="1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 spans="1:26" ht="15" thickBot="1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 spans="1:26" ht="15" thickBot="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 spans="1:26" ht="15" thickBot="1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 spans="1:26" ht="15" thickBot="1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 spans="1:26" ht="15" thickBot="1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 spans="1:26" ht="15" thickBot="1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 spans="1:26" ht="15" thickBot="1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 spans="1:26" ht="15" thickBot="1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 spans="1:26" ht="15" thickBot="1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 spans="1:26" ht="15" thickBot="1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 spans="1:26" ht="15" thickBot="1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 spans="1:26" ht="15" thickBot="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 spans="1:26" ht="15" thickBot="1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 spans="1:26" ht="15" thickBot="1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 spans="1:26" ht="15" thickBot="1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 spans="1:26" ht="15" thickBot="1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 spans="1:26" ht="15" thickBot="1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 spans="1:26" ht="15" thickBot="1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 spans="1:26" ht="15" thickBot="1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 spans="1:26" ht="15" thickBot="1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 spans="1:26" ht="15" thickBot="1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 spans="1:26" ht="15" thickBot="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 spans="1:26" ht="15" thickBot="1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 spans="1:26" ht="15" thickBot="1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 spans="1:26" ht="15" thickBot="1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 spans="1:26" ht="15" thickBot="1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 spans="1:26" ht="15" thickBot="1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 spans="1:26" ht="15" thickBot="1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 spans="1:26" ht="15" thickBot="1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 spans="1:26" ht="15" thickBot="1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 spans="1:26" ht="15" thickBot="1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 spans="1:26" ht="15" thickBot="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 spans="1:26" ht="15" thickBot="1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 spans="1:26" ht="15" thickBot="1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 spans="1:26" ht="15" thickBot="1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 spans="1:26" ht="15" thickBot="1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 spans="1:26" ht="15" thickBot="1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 spans="1:26" ht="15" thickBot="1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 spans="1:26" ht="15" thickBot="1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 spans="1:26" ht="15" thickBot="1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 spans="1:26" ht="15" thickBot="1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 spans="1:26" ht="15" thickBot="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 spans="1:26" ht="15" thickBot="1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 spans="1:26" ht="15" thickBot="1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 spans="1:26" ht="15" thickBot="1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 spans="1:26" ht="15" thickBot="1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 spans="1:26" ht="15" thickBot="1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 spans="1:26" ht="15" thickBot="1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 spans="1:26" ht="15" thickBot="1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 spans="1:26" ht="15" thickBot="1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 spans="1:26" ht="15" thickBot="1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 spans="1:26" ht="15" thickBot="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 spans="1:26" ht="15" thickBot="1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 spans="1:26" ht="15" thickBot="1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 spans="1:26" ht="15" thickBot="1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 spans="1:26" ht="15" thickBot="1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 spans="1:26" ht="15" thickBot="1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 spans="1:26" ht="15" thickBot="1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 spans="1:26" ht="15" thickBot="1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 spans="1:26" ht="15" thickBot="1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 spans="1:26" ht="15" thickBot="1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 spans="1:26" ht="15" thickBot="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 spans="1:26" ht="15" thickBot="1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 spans="1:26" ht="15" thickBot="1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 spans="1:26" ht="15" thickBot="1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 spans="1:26" ht="15" thickBot="1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 spans="1:26" ht="15" thickBot="1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 spans="1:26" ht="15" thickBot="1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 spans="1:26" ht="15" thickBot="1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 spans="1:26" ht="15" thickBot="1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 spans="1:26" ht="15" thickBot="1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 spans="1:26" ht="15" thickBot="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 spans="1:26" ht="15" thickBot="1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 spans="1:26" ht="15" thickBot="1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 spans="1:26" ht="15" thickBot="1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 spans="1:26" ht="15" thickBot="1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 spans="1:26" ht="15" thickBot="1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 spans="1:26" ht="15" thickBot="1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 spans="1:26" ht="15" thickBot="1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 spans="1:26" ht="15" thickBot="1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 spans="1:26" ht="15" thickBot="1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 spans="1:26" ht="15" thickBot="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 spans="1:26" ht="15" thickBot="1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 spans="1:26" ht="15" thickBot="1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 spans="1:26" ht="15" thickBot="1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 spans="1:26" ht="15" thickBot="1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 spans="1:26" ht="15" thickBot="1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 spans="1:26" ht="15" thickBot="1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 spans="1:26" ht="15" thickBot="1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 spans="1:26" ht="15" thickBot="1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 spans="1:26" ht="15" thickBot="1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 spans="1:26" ht="15" thickBot="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 spans="1:26" ht="15" thickBot="1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 spans="1:26" ht="15" thickBot="1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 spans="1:26" ht="15" thickBot="1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 spans="1:26" ht="15" thickBot="1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 spans="1:26" ht="15" thickBot="1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 spans="1:26" ht="15" thickBot="1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 spans="1:26" ht="15" thickBot="1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 spans="1:26" ht="15" thickBot="1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 spans="1:26" ht="15" thickBot="1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 spans="1:26" ht="15" thickBot="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 spans="1:26" ht="15" thickBot="1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 spans="1:26" ht="15" thickBot="1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 spans="1:26" ht="15" thickBot="1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 spans="1:26" ht="15" thickBot="1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 spans="1:26" ht="15" thickBot="1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 spans="1:26" ht="15" thickBot="1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 spans="1:26" ht="15" thickBot="1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 spans="1:26" ht="15" thickBot="1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 spans="1:26" ht="15" thickBot="1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 spans="1:26" ht="15" thickBot="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 spans="1:26" ht="15" thickBot="1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 spans="1:26" ht="15" thickBot="1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 spans="1:26" ht="15" thickBot="1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 spans="1:26" ht="15" thickBot="1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 spans="1:26" ht="15" thickBot="1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 spans="1:26" ht="15" thickBot="1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 spans="1:26" ht="15" thickBot="1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 spans="1:26" ht="15" thickBot="1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 spans="1:26" ht="15" thickBot="1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 spans="1:26" ht="15" thickBot="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 spans="1:26" ht="15" thickBot="1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 spans="1:26" ht="15" thickBot="1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 spans="1:26" ht="15" thickBot="1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 spans="1:26" ht="15" thickBot="1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 spans="1:26" ht="15" thickBot="1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 spans="1:26" ht="15" thickBot="1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 spans="1:26" ht="15" thickBot="1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 spans="1:26" ht="15" thickBot="1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 spans="1:26" ht="15" thickBot="1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 spans="1:26" ht="15" thickBot="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 spans="1:26" ht="15" thickBot="1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 spans="1:26" ht="15" thickBot="1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 spans="1:26" ht="15" thickBot="1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 spans="1:26" ht="15" thickBot="1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 spans="1:26" ht="15" thickBot="1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 spans="1:26" ht="15" thickBot="1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 spans="1:26" ht="15" thickBot="1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 spans="1:26" ht="15" thickBot="1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 spans="1:26" ht="15" thickBot="1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 spans="1:26" ht="15" thickBot="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 spans="1:26" ht="15" thickBot="1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 spans="1:26" ht="15" thickBot="1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 spans="1:26" ht="15" thickBot="1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 spans="1:26" ht="15" thickBot="1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 spans="1:26" ht="15" thickBot="1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 spans="1:26" ht="15" thickBot="1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 spans="1:26" ht="15" thickBot="1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 spans="1:26" ht="15" thickBot="1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 spans="1:26" ht="15" thickBot="1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 spans="1:26" ht="15" thickBot="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 spans="1:26" ht="15" thickBot="1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 spans="1:26" ht="15" thickBot="1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 spans="1:26" ht="15" thickBot="1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 spans="1:26" ht="15" thickBot="1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 spans="1:26" ht="15" thickBot="1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 spans="1:26" ht="15" thickBot="1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 spans="1:26" ht="15" thickBot="1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 spans="1:26" ht="15" thickBot="1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 spans="1:26" ht="15" thickBot="1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 spans="1:26" ht="15" thickBot="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 spans="1:26" ht="15" thickBot="1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 spans="1:26" ht="15" thickBot="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 spans="1:26" ht="15" thickBot="1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 spans="1:26" ht="15" thickBot="1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 spans="1:26" ht="15" thickBot="1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 spans="1:26" ht="15" thickBot="1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 spans="1:26" ht="15" thickBot="1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 spans="1:26" ht="15" thickBot="1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 spans="1:26" ht="15" thickBot="1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 spans="1:26" ht="15" thickBot="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 spans="1:26" ht="15" thickBot="1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 spans="1:26" ht="15" thickBot="1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 spans="1:26" ht="15" thickBot="1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 spans="1:26" ht="15" thickBot="1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 spans="1:26" ht="15" thickBot="1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 spans="1:26" ht="15" thickBot="1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 spans="1:26" ht="15" thickBot="1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 spans="1:26" ht="15" thickBot="1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 spans="1:26" ht="15" thickBot="1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 spans="1:26" ht="15" thickBot="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 spans="1:26" ht="15" thickBot="1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 spans="1:26" ht="15" thickBot="1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 spans="1:26" ht="15" thickBot="1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 spans="1:26" ht="15" thickBot="1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 spans="1:26" ht="15" thickBot="1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 spans="1:26" ht="15" thickBot="1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 spans="1:26" ht="15" thickBot="1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 spans="1:26" ht="15" thickBot="1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 spans="1:26" ht="15" thickBot="1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 spans="1:26" ht="15" thickBot="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 spans="1:26" ht="15" thickBot="1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 spans="1:26" ht="15" thickBot="1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 spans="1:26" ht="15" thickBot="1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 spans="1:26" ht="15" thickBot="1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 spans="1:26" ht="15" thickBot="1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 spans="1:26" ht="15" thickBot="1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 spans="1:26" ht="15" thickBot="1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 spans="1:26" ht="15" thickBot="1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 spans="1:26" ht="15" thickBot="1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 spans="1:26" ht="15" thickBot="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 spans="1:26" ht="15" thickBot="1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 spans="1:26" ht="15" thickBot="1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 spans="1:26" ht="15" thickBot="1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 spans="1:26" ht="15" thickBot="1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 spans="1:26" ht="15" thickBot="1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 spans="1:26" ht="15" thickBot="1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 spans="1:26" ht="15" thickBot="1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 spans="1:26" ht="15" thickBot="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 spans="1:26" ht="15" thickBot="1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 spans="1:26" ht="15" thickBot="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 spans="1:26" ht="15" thickBot="1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 spans="1:26" ht="15" thickBot="1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 spans="1:26" ht="15" thickBot="1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 spans="1:26" ht="15" thickBot="1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 spans="1:26" ht="15" thickBot="1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 spans="1:26" ht="15" thickBot="1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 spans="1:26" ht="15" thickBot="1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 spans="1:26" ht="15" thickBot="1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 spans="1:26" ht="15" thickBot="1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 spans="1:26" ht="15" thickBot="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 spans="1:26" ht="15" thickBot="1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 spans="1:26" ht="15" thickBot="1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 spans="1:26" ht="15" thickBot="1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 spans="1:26" ht="15" thickBot="1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 spans="1:26" ht="15" thickBot="1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 spans="1:26" ht="15" thickBot="1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 spans="1:26" ht="15" thickBot="1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 spans="1:26" ht="15" thickBot="1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 spans="1:26" ht="15" thickBot="1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 spans="1:26" ht="15" thickBot="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 spans="1:26" ht="15" thickBot="1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 spans="1:26" ht="15" thickBot="1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 spans="1:26" ht="15" thickBot="1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 spans="1:26" ht="15" thickBot="1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 spans="1:26" ht="15" thickBot="1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 spans="1:26" ht="15" thickBot="1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 spans="1:26" ht="15" thickBot="1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 spans="1:26" ht="15" thickBot="1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 spans="1:26" ht="15" thickBot="1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 spans="1:26" ht="15" thickBot="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 spans="1:26" ht="15" thickBot="1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 spans="1:26" ht="15" thickBot="1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 spans="1:26" ht="15" thickBot="1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 spans="1:26" ht="15" thickBot="1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 spans="1:26" ht="15" thickBot="1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 spans="1:26" ht="15" thickBot="1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 spans="1:26" ht="15" thickBot="1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 spans="1:26" ht="15" thickBot="1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 spans="1:26" ht="15" thickBot="1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 spans="1:26" ht="15" thickBot="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 spans="1:26" ht="15" thickBot="1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 spans="1:26" ht="15" thickBot="1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 spans="1:26" ht="15" thickBot="1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 spans="1:26" ht="15" thickBot="1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 spans="1:26" ht="15" thickBot="1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 spans="1:26" ht="15" thickBot="1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 spans="1:26" ht="15" thickBot="1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 spans="1:26" ht="15" thickBot="1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 spans="1:26" ht="15" thickBot="1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 spans="1:26" ht="15" thickBot="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 spans="1:26" ht="15" thickBot="1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 spans="1:26" ht="15" thickBot="1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 spans="1:26" ht="15" thickBot="1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 spans="1:26" ht="15" thickBot="1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 spans="1:26" ht="15" thickBot="1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 spans="1:26" ht="15" thickBot="1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 spans="1:26" ht="15" thickBot="1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 spans="1:26" ht="15" thickBot="1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 spans="1:26" ht="15" thickBot="1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 spans="1:26" ht="15" thickBot="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 spans="1:26" ht="15" thickBot="1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 spans="1:26" ht="15" thickBot="1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 spans="1:26" ht="15" thickBot="1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 spans="1:26" ht="15" thickBot="1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 spans="1:26" ht="15" thickBot="1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 spans="1:26" ht="15" thickBot="1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 spans="1:26" ht="15" thickBot="1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 spans="1:26" ht="15" thickBot="1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 spans="1:26" ht="15" thickBot="1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 spans="1:26" ht="15" thickBot="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 spans="1:26" ht="15" thickBot="1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 spans="1:26" ht="15" thickBot="1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 spans="1:26" ht="15" thickBot="1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 spans="1:26" ht="15" thickBot="1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 spans="1:26" ht="15" thickBot="1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 spans="1:26" ht="15" thickBot="1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 spans="1:26" ht="15" thickBot="1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 spans="1:26" ht="15" thickBot="1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 spans="1:26" ht="15" thickBot="1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 spans="1:26" ht="15" thickBot="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 spans="1:26" ht="15" thickBot="1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 spans="1:26" ht="15" thickBot="1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 spans="1:26" ht="15" thickBot="1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 spans="1:26" ht="15" thickBot="1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 spans="1:26" ht="15" thickBot="1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 spans="1:26" ht="15" thickBot="1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 spans="1:26" ht="15" thickBot="1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 spans="1:26" ht="15" thickBot="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 spans="1:26" ht="15" thickBot="1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 spans="1:26" ht="15" thickBot="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 spans="1:26" ht="15" thickBot="1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 spans="1:26" ht="15" thickBot="1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 spans="1:26" ht="15" thickBot="1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 spans="1:26" ht="15" thickBot="1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 spans="1:26" ht="15" thickBot="1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 spans="1:26" ht="15" thickBot="1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 spans="1:26" ht="15" thickBot="1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 spans="1:26" ht="15" thickBot="1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 spans="1:26" ht="15" thickBot="1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 spans="1:26" ht="15" thickBot="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 spans="1:26" ht="15" thickBot="1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 spans="1:26" ht="15" thickBot="1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 spans="1:26" ht="15" thickBot="1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 spans="1:26" ht="15" thickBot="1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 spans="1:26" ht="15" thickBot="1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 spans="1:26" ht="15" thickBot="1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 spans="1:26" ht="15" thickBot="1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 spans="1:26" ht="15" thickBot="1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 spans="1:26" ht="15" thickBot="1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 spans="1:26" ht="15" thickBot="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 spans="1:26" ht="15" thickBot="1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 spans="1:26" ht="15" thickBot="1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 spans="1:26" ht="15" thickBot="1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 spans="1:26" ht="15" thickBot="1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 spans="1:26" ht="15" thickBot="1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 spans="1:26" ht="15" thickBot="1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 spans="1:26" ht="15" thickBot="1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 spans="1:26" ht="15" thickBot="1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 spans="1:26" ht="15" thickBot="1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 spans="1:26" ht="15" thickBot="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 spans="1:26" ht="15" thickBot="1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 spans="1:26" ht="15" thickBot="1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 spans="1:26" ht="15" thickBot="1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 spans="1:26" ht="15" thickBot="1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 spans="1:26" ht="15" thickBot="1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 spans="1:26" ht="15" thickBot="1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 spans="1:26" ht="15" thickBot="1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 spans="1:26" ht="15" thickBot="1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 spans="1:26" ht="15" thickBot="1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 spans="1:26" ht="15" thickBot="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 spans="1:26" ht="15" thickBot="1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 spans="1:26" ht="15" thickBot="1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 spans="1:26" ht="15" thickBot="1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 spans="1:26" ht="15" thickBot="1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 spans="1:26" ht="15" thickBot="1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 spans="1:26" ht="15" thickBot="1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 spans="1:26" ht="15" thickBot="1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 spans="1:26" ht="15" thickBot="1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 spans="1:26" ht="15" thickBot="1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 spans="1:26" ht="15" thickBot="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 spans="1:26" ht="15" thickBot="1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 spans="1:26" ht="15" thickBot="1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 spans="1:26" ht="15" thickBot="1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 spans="1:26" ht="15" thickBot="1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 spans="1:26" ht="15" thickBot="1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 spans="1:26" ht="15" thickBot="1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 spans="1:26" ht="15" thickBot="1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 spans="1:26" ht="15" thickBot="1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 spans="1:26" ht="15" thickBot="1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  <row r="1001" spans="1:26" ht="15" thickBot="1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</row>
    <row r="1002" spans="1:26" ht="15" thickBot="1">
      <c r="A1002" s="18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</row>
    <row r="1003" spans="1:26" ht="15" thickBot="1">
      <c r="A1003" s="18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</row>
    <row r="1004" spans="1:26" ht="15" thickBot="1">
      <c r="A1004" s="18"/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</row>
    <row r="1005" spans="1:26" ht="15" thickBot="1">
      <c r="A1005" s="18"/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</row>
    <row r="1006" spans="1:26" ht="15" thickBot="1">
      <c r="A1006" s="18"/>
      <c r="B1006" s="18"/>
      <c r="C1006" s="18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</row>
    <row r="1007" spans="1:26" ht="15" thickBot="1">
      <c r="A1007" s="18"/>
      <c r="B1007" s="18"/>
      <c r="C1007" s="18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</row>
    <row r="1008" spans="1:26" ht="15" thickBot="1">
      <c r="A1008" s="18"/>
      <c r="B1008" s="18"/>
      <c r="C1008" s="18"/>
      <c r="D1008" s="18"/>
      <c r="E1008" s="18"/>
      <c r="F1008" s="18"/>
      <c r="G1008" s="18"/>
      <c r="H1008" s="18"/>
      <c r="I1008" s="18"/>
      <c r="J1008" s="18"/>
      <c r="K1008" s="18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</row>
    <row r="1009" spans="1:26" ht="15" thickBot="1">
      <c r="A1009" s="18"/>
      <c r="B1009" s="18"/>
      <c r="C1009" s="18"/>
      <c r="D1009" s="18"/>
      <c r="E1009" s="18"/>
      <c r="F1009" s="18"/>
      <c r="G1009" s="18"/>
      <c r="H1009" s="18"/>
      <c r="I1009" s="18"/>
      <c r="J1009" s="18"/>
      <c r="K1009" s="18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</row>
    <row r="1010" spans="1:26" ht="15" thickBot="1">
      <c r="A1010" s="18"/>
      <c r="B1010" s="18"/>
      <c r="C1010" s="18"/>
      <c r="D1010" s="18"/>
      <c r="E1010" s="18"/>
      <c r="F1010" s="18"/>
      <c r="G1010" s="18"/>
      <c r="H1010" s="18"/>
      <c r="I1010" s="18"/>
      <c r="J1010" s="18"/>
      <c r="K1010" s="18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</row>
    <row r="1011" spans="1:26" ht="15" thickBot="1">
      <c r="A1011" s="18"/>
      <c r="B1011" s="18"/>
      <c r="C1011" s="18"/>
      <c r="D1011" s="18"/>
      <c r="E1011" s="18"/>
      <c r="F1011" s="18"/>
      <c r="G1011" s="18"/>
      <c r="H1011" s="18"/>
      <c r="I1011" s="18"/>
      <c r="J1011" s="18"/>
      <c r="K1011" s="18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Nishat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Hassan</dc:creator>
  <cp:lastModifiedBy>USER</cp:lastModifiedBy>
  <cp:lastPrinted>2016-09-01T09:58:44Z</cp:lastPrinted>
  <dcterms:created xsi:type="dcterms:W3CDTF">2015-03-06T15:34:47Z</dcterms:created>
  <dcterms:modified xsi:type="dcterms:W3CDTF">2024-11-18T11:26:37Z</dcterms:modified>
</cp:coreProperties>
</file>