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" sheetId="1" r:id="rId4"/>
    <sheet state="visible" name="Averages" sheetId="2" r:id="rId5"/>
    <sheet state="visible" name="Chart1" sheetId="3" r:id="rId6"/>
  </sheets>
  <definedNames/>
  <calcPr/>
</workbook>
</file>

<file path=xl/sharedStrings.xml><?xml version="1.0" encoding="utf-8"?>
<sst xmlns="http://schemas.openxmlformats.org/spreadsheetml/2006/main" count="80" uniqueCount="80">
  <si>
    <t>Output</t>
  </si>
  <si>
    <t>Map</t>
  </si>
  <si>
    <t>Vertices</t>
  </si>
  <si>
    <t>Edges</t>
  </si>
  <si>
    <t>Time (s)</t>
  </si>
  <si>
    <t>Start</t>
  </si>
  <si>
    <t>End</t>
  </si>
  <si>
    <t>V + E</t>
  </si>
  <si>
    <t>siena50-area.tmg 1237 1457 0.093 NY29_W/NY40_S NY10@LueTpk</t>
  </si>
  <si>
    <t>siena50-area.tmg 1237 1457 0.031 NY32_Wat/US4_Wat NY5/NY890</t>
  </si>
  <si>
    <t>siena50-area.tmg 1237 1457 0.016 VT7A@WarmBroRd NY32@CR68</t>
  </si>
  <si>
    <t>siena50-area.tmg 1237 1457 0.015 MA112@CumRd NY29_E/NY29A_E</t>
  </si>
  <si>
    <t>siena50-area.tmg 1237 1457 0.016 NY30A@WemAve NY5S@NoeRd</t>
  </si>
  <si>
    <t>siena50-area.tmg 1237 1457 0.016 NY43/NY351 NY351/NY355</t>
  </si>
  <si>
    <t>siena50-area.tmg 1237 1457 0.015 NY9L@CR54 I-787/NY7@8thSt</t>
  </si>
  <si>
    <t>siena50-area.tmg 1237 1457 0.016 I-787/NY7@8thSt NY144@KinRd</t>
  </si>
  <si>
    <t>siena50-area.tmg 1237 1457 0.016 I-87(5)/NY155 NY85A/NY156</t>
  </si>
  <si>
    <t>siena50-area.tmg 1237 1457 0.015 US7@NHooRd NY10@CR13</t>
  </si>
  <si>
    <t>USA-country.tmg 182079 216872 1.547 US75@ColBlvd US331@PondCreRd</t>
  </si>
  <si>
    <t>USA-country.tmg 182079 216872 1.405 US380@CRC011 MN105@CR6</t>
  </si>
  <si>
    <t>USA-country.tmg 182079 216872 1.436 I-35BLLar@HouSt GA540@GorMcIRd</t>
  </si>
  <si>
    <t>USA-country.tmg 182079 216872 1.328 DE9@6thSt_W MI18_N/MI55_E</t>
  </si>
  <si>
    <t>USA-country.tmg 182079 216872 1.313 OR99@BroRd TX21/US190@FM2776</t>
  </si>
  <si>
    <t>USA-country.tmg 182079 216872 1.312 I-85(177C)/NC55/US15/US70 NY68_E/NY310/US11</t>
  </si>
  <si>
    <t>USA-country.tmg 182079 216872 1.313 I-10(593)/TX130/US90 US67@WooWinRd</t>
  </si>
  <si>
    <t>USA-country.tmg 182079 216872 1.296 US66HisStL@PineSt I-55(104)/I-220</t>
  </si>
  <si>
    <t>USA-country.tmg 182079 216872 1.359 CO82@TwoRivRd_W US76/US123@WelHwy_W</t>
  </si>
  <si>
    <t>USA-country.tmg 182079 216872 1.406 NC403@KeeRd CO2/US6/US85</t>
  </si>
  <si>
    <t>NY-region.tmg 6765 8068 0.203 NY68@CR14 NY63@AdaRd</t>
  </si>
  <si>
    <t>NY-region.tmg 6765 8068 0.094 NY207@CR83 NY56@BirSt</t>
  </si>
  <si>
    <t>NY-region.tmg 6765 8068 0.078 NY76@CR22 NY8/NY365</t>
  </si>
  <si>
    <t>NY-region.tmg 6765 8068 0.047 NY98@HuyRd NY3@HogRd</t>
  </si>
  <si>
    <t>NY-region.tmg 6765 8068 0.063 NY60@ForAve I-495(72)/NY25</t>
  </si>
  <si>
    <t>NY-region.tmg 6765 8068 0.046 NY415@CR121 NY17C/US11</t>
  </si>
  <si>
    <t>NY-region.tmg 6765 8068 0.063 JacRobPkwy@1 NY78/NY362</t>
  </si>
  <si>
    <t>NY-region.tmg 6765 8068 0.062 NY13@CR11 NY9R_N/US9_N</t>
  </si>
  <si>
    <t>NY-region.tmg 6765 8068 0.047 NY3@WesBeaSP NY7B@NowRd</t>
  </si>
  <si>
    <t>NY-region.tmg 6765 8068 0.047 NY9A@CanSt NY3@PicCorRd</t>
  </si>
  <si>
    <t>DC-region.tmg 97 94 0.032 I-395/US1AltWas/US50 DC295@NHBurAve</t>
  </si>
  <si>
    <t>DC-region.tmg 97 94 0.016 US1AltWas/US50@NorCapSt I-395@10</t>
  </si>
  <si>
    <t>DC-region.tmg 97 94 0.0 US1@SouDakAve I-66_W/US50_W</t>
  </si>
  <si>
    <t>DC-region.tmg 97 94 0.016 US29@ColRd US29@FloAve</t>
  </si>
  <si>
    <t>DC-region.tmg 97 94 0.0 US29@ColRd US29@RhoIslAve_E</t>
  </si>
  <si>
    <t>DC-region.tmg 97 94 0.0 SuiPkwy@DC/MD I-695@1C</t>
  </si>
  <si>
    <t>DC-region.tmg 97 94 0.0 US29@NewHamAve_S BeaDr/RockCrkPkwy</t>
  </si>
  <si>
    <t>DC-region.tmg 97 94 0.015 US29@MSt US50@DC/MD</t>
  </si>
  <si>
    <t>DC-region.tmg 97 94 0.0 US29@NewHamAve_N BeaDr/RockCrkPkwy</t>
  </si>
  <si>
    <t>DC-region.tmg 97 94 0.0 US50@17thSt I-295@MD/DC</t>
  </si>
  <si>
    <t>YT-region.tmg 225 221 0.063 YT2@PelAir YT10@NahRanCamp</t>
  </si>
  <si>
    <t>YT-region.tmg 225 221 0.016 YT2@HorCrkRd YT1@HaiJctAir</t>
  </si>
  <si>
    <t>YT-region.tmg 225 221 0.0 YT2@CowLakeRd YT1@PineLakeCamp</t>
  </si>
  <si>
    <t>YT-region.tmg 225 221 0.016 YT3@PapRd YT1/YT2@KatRd</t>
  </si>
  <si>
    <t>YT-region.tmg 225 221 0.015 YT1@JudCrkDr YT2@MooCrkCamp</t>
  </si>
  <si>
    <t>YT-region.tmg 225 221 0.0 YT1/YT1Wat@YT/BC YT2@NorTowAcc</t>
  </si>
  <si>
    <t>YT-region.tmg 225 221 0.016 YT1@NygSubRd YT3@MilDolCamp</t>
  </si>
  <si>
    <t>YT-region.tmg 225 221 0.0 YT2@LabLakeRd BC37/YT37@BC/YT</t>
  </si>
  <si>
    <t>YT-region.tmg 225 221 0.016 YT1@HettHaseDr YT6@NisRivRS</t>
  </si>
  <si>
    <t>YT-region.tmg 225 221 0.0 YT1_S/YT2_S YT11@SMcQRd</t>
  </si>
  <si>
    <t>USA-lower48-natl.tmg 72804 78013 0.77 US18@77(151)&amp;US151@77&amp;WI69@US18/151 I-40@13</t>
  </si>
  <si>
    <t>USA-lower48-natl.tmg 72804 78013 0.547 US50@SwaRd I-10BLWil@AriAve</t>
  </si>
  <si>
    <t>USA-lower48-natl.tmg 72804 78013 0.515 US95BusCra@5thAve I-19@69</t>
  </si>
  <si>
    <t>USA-lower48-natl.tmg 72804 78013 0.5 MI17_W/US12Bus_W OH188_W/US22</t>
  </si>
  <si>
    <t>USA-lower48-natl.tmg 72804 78013 0.484 IL47/US52 US63BusMob@MOsA</t>
  </si>
  <si>
    <t>USA-lower48-natl.tmg 72804 78013 0.485 US78@SmoRd US119@TanRd</t>
  </si>
  <si>
    <t>USA-lower48-natl.tmg 72804 78013 0.515 FL527Win_N/US17/US92 TN221/US70AltGib/US79</t>
  </si>
  <si>
    <t>USA-lower48-natl.tmg 72804 78013 0.5 US63_N/US79_N I-96(36)/MI37</t>
  </si>
  <si>
    <t>USA-lower48-natl.tmg 72804 78013 0.499 US6BusHas@ElmAve_N US1@CR522</t>
  </si>
  <si>
    <t>USA-lower48-natl.tmg 72804 78013 0.516 GA3/US19@ChiRd US18@282ndAve</t>
  </si>
  <si>
    <t>DEU-country.tmg 39522 50478 0.5 L300@AmJos L74/L742</t>
  </si>
  <si>
    <t>DEU-country.tmg 39522 50478 0.312 L12Nie@K2 L472/L473|DEU-RP</t>
  </si>
  <si>
    <t>DEU-country.tmg 39522 50478 0.297 B51@NordRing L1075@K3236</t>
  </si>
  <si>
    <t>DEU-country.tmg 39522 50478 0.297 B304_W/St2093_S St2173@TIR1</t>
  </si>
  <si>
    <t>DEU-country.tmg 39522 50478 0.281 L383@K39 St2079@St2359</t>
  </si>
  <si>
    <t>DEU-country.tmg 39522 50478 0.281 St2190@BA16_S St2127@Kre</t>
  </si>
  <si>
    <t>DEU-country.tmg 39522 50478 0.281 B3@K5342_E B453_N/L3288_W</t>
  </si>
  <si>
    <t>DEU-country.tmg 39522 50478 0.297 L115/L124 St2290@Kap</t>
  </si>
  <si>
    <t>DEU-country.tmg 39522 50478 0.297 B58@WesStr_E L1131@K581</t>
  </si>
  <si>
    <t>DEU-country.tmg 39522 50478 0.265 L32@K113 B461/L10</t>
  </si>
  <si>
    <t>|V| + |E|</t>
  </si>
  <si>
    <t>Computation Time 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</si>
</sst>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Computation Time vs. |V| + |E|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Averages!$B$1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Averages!$A$2:$A$8</c:f>
            </c:strRef>
          </c:cat>
          <c:val>
            <c:numRef>
              <c:f>Averages!$B$2:$B$8</c:f>
              <c:numCache/>
            </c:numRef>
          </c:val>
          <c:smooth val="0"/>
        </c:ser>
        <c:axId val="105220112"/>
        <c:axId val="1361372752"/>
      </c:lineChart>
      <c:catAx>
        <c:axId val="10522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|V| + |E|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372752"/>
      </c:catAx>
      <c:valAx>
        <c:axId val="1361372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20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14.0"/>
    <col customWidth="1" min="3" max="4" width="5.63"/>
    <col customWidth="1" min="5" max="5" width="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4" t="str">
        <f>IFERROR(__xludf.DUMMYFUNCTION("SPLIT(A2, "" "")"),"siena50-area.tmg")</f>
        <v>siena50-area.tmg</v>
      </c>
      <c r="C2" s="4">
        <f>IFERROR(__xludf.DUMMYFUNCTION("""COMPUTED_VALUE"""),1237.0)</f>
        <v>1237</v>
      </c>
      <c r="D2" s="4">
        <f>IFERROR(__xludf.DUMMYFUNCTION("""COMPUTED_VALUE"""),1457.0)</f>
        <v>1457</v>
      </c>
      <c r="E2" s="4">
        <f>IFERROR(__xludf.DUMMYFUNCTION("""COMPUTED_VALUE"""),0.093)</f>
        <v>0.093</v>
      </c>
      <c r="F2" s="5" t="str">
        <f>IFERROR(__xludf.DUMMYFUNCTION("""COMPUTED_VALUE"""),"NY29_W/NY40_S")</f>
        <v>NY29_W/NY40_S</v>
      </c>
      <c r="G2" s="5" t="str">
        <f>IFERROR(__xludf.DUMMYFUNCTION("""COMPUTED_VALUE"""),"NY10@LueTpk")</f>
        <v>NY10@LueTpk</v>
      </c>
      <c r="H2" s="5">
        <f t="shared" ref="H2:H71" si="1">C2+D2</f>
        <v>2694</v>
      </c>
    </row>
    <row r="3">
      <c r="A3" s="2" t="s">
        <v>9</v>
      </c>
      <c r="B3" s="4" t="str">
        <f>IFERROR(__xludf.DUMMYFUNCTION("SPLIT(A3, "" "")"),"siena50-area.tmg")</f>
        <v>siena50-area.tmg</v>
      </c>
      <c r="C3" s="5">
        <f>IFERROR(__xludf.DUMMYFUNCTION("""COMPUTED_VALUE"""),1237.0)</f>
        <v>1237</v>
      </c>
      <c r="D3" s="5">
        <f>IFERROR(__xludf.DUMMYFUNCTION("""COMPUTED_VALUE"""),1457.0)</f>
        <v>1457</v>
      </c>
      <c r="E3" s="5">
        <f>IFERROR(__xludf.DUMMYFUNCTION("""COMPUTED_VALUE"""),0.031)</f>
        <v>0.031</v>
      </c>
      <c r="F3" s="5" t="str">
        <f>IFERROR(__xludf.DUMMYFUNCTION("""COMPUTED_VALUE"""),"NY32_Wat/US4_Wat")</f>
        <v>NY32_Wat/US4_Wat</v>
      </c>
      <c r="G3" s="5" t="str">
        <f>IFERROR(__xludf.DUMMYFUNCTION("""COMPUTED_VALUE"""),"NY5/NY890")</f>
        <v>NY5/NY890</v>
      </c>
      <c r="H3" s="5">
        <f t="shared" si="1"/>
        <v>2694</v>
      </c>
    </row>
    <row r="4">
      <c r="A4" s="2" t="s">
        <v>10</v>
      </c>
      <c r="B4" s="4" t="str">
        <f>IFERROR(__xludf.DUMMYFUNCTION("SPLIT(A4, "" "")"),"siena50-area.tmg")</f>
        <v>siena50-area.tmg</v>
      </c>
      <c r="C4" s="5">
        <f>IFERROR(__xludf.DUMMYFUNCTION("""COMPUTED_VALUE"""),1237.0)</f>
        <v>1237</v>
      </c>
      <c r="D4" s="5">
        <f>IFERROR(__xludf.DUMMYFUNCTION("""COMPUTED_VALUE"""),1457.0)</f>
        <v>1457</v>
      </c>
      <c r="E4" s="5">
        <f>IFERROR(__xludf.DUMMYFUNCTION("""COMPUTED_VALUE"""),0.016)</f>
        <v>0.016</v>
      </c>
      <c r="F4" s="5" t="str">
        <f>IFERROR(__xludf.DUMMYFUNCTION("""COMPUTED_VALUE"""),"VT7A@WarmBroRd")</f>
        <v>VT7A@WarmBroRd</v>
      </c>
      <c r="G4" s="5" t="str">
        <f>IFERROR(__xludf.DUMMYFUNCTION("""COMPUTED_VALUE"""),"NY32@CR68")</f>
        <v>NY32@CR68</v>
      </c>
      <c r="H4" s="5">
        <f t="shared" si="1"/>
        <v>2694</v>
      </c>
    </row>
    <row r="5">
      <c r="A5" s="2" t="s">
        <v>11</v>
      </c>
      <c r="B5" s="4" t="str">
        <f>IFERROR(__xludf.DUMMYFUNCTION("SPLIT(A5, "" "")"),"siena50-area.tmg")</f>
        <v>siena50-area.tmg</v>
      </c>
      <c r="C5" s="5">
        <f>IFERROR(__xludf.DUMMYFUNCTION("""COMPUTED_VALUE"""),1237.0)</f>
        <v>1237</v>
      </c>
      <c r="D5" s="5">
        <f>IFERROR(__xludf.DUMMYFUNCTION("""COMPUTED_VALUE"""),1457.0)</f>
        <v>1457</v>
      </c>
      <c r="E5" s="5">
        <f>IFERROR(__xludf.DUMMYFUNCTION("""COMPUTED_VALUE"""),0.015)</f>
        <v>0.015</v>
      </c>
      <c r="F5" s="5" t="str">
        <f>IFERROR(__xludf.DUMMYFUNCTION("""COMPUTED_VALUE"""),"MA112@CumRd")</f>
        <v>MA112@CumRd</v>
      </c>
      <c r="G5" s="5" t="str">
        <f>IFERROR(__xludf.DUMMYFUNCTION("""COMPUTED_VALUE"""),"NY29_E/NY29A_E")</f>
        <v>NY29_E/NY29A_E</v>
      </c>
      <c r="H5" s="5">
        <f t="shared" si="1"/>
        <v>2694</v>
      </c>
    </row>
    <row r="6">
      <c r="A6" s="2" t="s">
        <v>12</v>
      </c>
      <c r="B6" s="4" t="str">
        <f>IFERROR(__xludf.DUMMYFUNCTION("SPLIT(A6, "" "")"),"siena50-area.tmg")</f>
        <v>siena50-area.tmg</v>
      </c>
      <c r="C6" s="5">
        <f>IFERROR(__xludf.DUMMYFUNCTION("""COMPUTED_VALUE"""),1237.0)</f>
        <v>1237</v>
      </c>
      <c r="D6" s="5">
        <f>IFERROR(__xludf.DUMMYFUNCTION("""COMPUTED_VALUE"""),1457.0)</f>
        <v>1457</v>
      </c>
      <c r="E6" s="5">
        <f>IFERROR(__xludf.DUMMYFUNCTION("""COMPUTED_VALUE"""),0.016)</f>
        <v>0.016</v>
      </c>
      <c r="F6" s="5" t="str">
        <f>IFERROR(__xludf.DUMMYFUNCTION("""COMPUTED_VALUE"""),"NY30A@WemAve")</f>
        <v>NY30A@WemAve</v>
      </c>
      <c r="G6" s="5" t="str">
        <f>IFERROR(__xludf.DUMMYFUNCTION("""COMPUTED_VALUE"""),"NY5S@NoeRd")</f>
        <v>NY5S@NoeRd</v>
      </c>
      <c r="H6" s="5">
        <f t="shared" si="1"/>
        <v>2694</v>
      </c>
    </row>
    <row r="7">
      <c r="A7" s="2" t="s">
        <v>13</v>
      </c>
      <c r="B7" s="4" t="str">
        <f>IFERROR(__xludf.DUMMYFUNCTION("SPLIT(A7, "" "")"),"siena50-area.tmg")</f>
        <v>siena50-area.tmg</v>
      </c>
      <c r="C7" s="5">
        <f>IFERROR(__xludf.DUMMYFUNCTION("""COMPUTED_VALUE"""),1237.0)</f>
        <v>1237</v>
      </c>
      <c r="D7" s="5">
        <f>IFERROR(__xludf.DUMMYFUNCTION("""COMPUTED_VALUE"""),1457.0)</f>
        <v>1457</v>
      </c>
      <c r="E7" s="5">
        <f>IFERROR(__xludf.DUMMYFUNCTION("""COMPUTED_VALUE"""),0.016)</f>
        <v>0.016</v>
      </c>
      <c r="F7" s="5" t="str">
        <f>IFERROR(__xludf.DUMMYFUNCTION("""COMPUTED_VALUE"""),"NY43/NY351")</f>
        <v>NY43/NY351</v>
      </c>
      <c r="G7" s="5" t="str">
        <f>IFERROR(__xludf.DUMMYFUNCTION("""COMPUTED_VALUE"""),"NY351/NY355")</f>
        <v>NY351/NY355</v>
      </c>
      <c r="H7" s="5">
        <f t="shared" si="1"/>
        <v>2694</v>
      </c>
    </row>
    <row r="8">
      <c r="A8" s="2" t="s">
        <v>14</v>
      </c>
      <c r="B8" s="4" t="str">
        <f>IFERROR(__xludf.DUMMYFUNCTION("SPLIT(A8, "" "")"),"siena50-area.tmg")</f>
        <v>siena50-area.tmg</v>
      </c>
      <c r="C8" s="5">
        <f>IFERROR(__xludf.DUMMYFUNCTION("""COMPUTED_VALUE"""),1237.0)</f>
        <v>1237</v>
      </c>
      <c r="D8" s="5">
        <f>IFERROR(__xludf.DUMMYFUNCTION("""COMPUTED_VALUE"""),1457.0)</f>
        <v>1457</v>
      </c>
      <c r="E8" s="5">
        <f>IFERROR(__xludf.DUMMYFUNCTION("""COMPUTED_VALUE"""),0.015)</f>
        <v>0.015</v>
      </c>
      <c r="F8" s="5" t="str">
        <f>IFERROR(__xludf.DUMMYFUNCTION("""COMPUTED_VALUE"""),"NY9L@CR54")</f>
        <v>NY9L@CR54</v>
      </c>
      <c r="G8" s="5" t="str">
        <f>IFERROR(__xludf.DUMMYFUNCTION("""COMPUTED_VALUE"""),"I-787/NY7@8thSt")</f>
        <v>I-787/NY7@8thSt</v>
      </c>
      <c r="H8" s="5">
        <f t="shared" si="1"/>
        <v>2694</v>
      </c>
    </row>
    <row r="9">
      <c r="A9" s="2" t="s">
        <v>15</v>
      </c>
      <c r="B9" s="4" t="str">
        <f>IFERROR(__xludf.DUMMYFUNCTION("SPLIT(A9, "" "")"),"siena50-area.tmg")</f>
        <v>siena50-area.tmg</v>
      </c>
      <c r="C9" s="5">
        <f>IFERROR(__xludf.DUMMYFUNCTION("""COMPUTED_VALUE"""),1237.0)</f>
        <v>1237</v>
      </c>
      <c r="D9" s="5">
        <f>IFERROR(__xludf.DUMMYFUNCTION("""COMPUTED_VALUE"""),1457.0)</f>
        <v>1457</v>
      </c>
      <c r="E9" s="5">
        <f>IFERROR(__xludf.DUMMYFUNCTION("""COMPUTED_VALUE"""),0.016)</f>
        <v>0.016</v>
      </c>
      <c r="F9" s="5" t="str">
        <f>IFERROR(__xludf.DUMMYFUNCTION("""COMPUTED_VALUE"""),"I-787/NY7@8thSt")</f>
        <v>I-787/NY7@8thSt</v>
      </c>
      <c r="G9" s="5" t="str">
        <f>IFERROR(__xludf.DUMMYFUNCTION("""COMPUTED_VALUE"""),"NY144@KinRd")</f>
        <v>NY144@KinRd</v>
      </c>
      <c r="H9" s="5">
        <f t="shared" si="1"/>
        <v>2694</v>
      </c>
    </row>
    <row r="10">
      <c r="A10" s="2" t="s">
        <v>16</v>
      </c>
      <c r="B10" s="4" t="str">
        <f>IFERROR(__xludf.DUMMYFUNCTION("SPLIT(A10, "" "")"),"siena50-area.tmg")</f>
        <v>siena50-area.tmg</v>
      </c>
      <c r="C10" s="5">
        <f>IFERROR(__xludf.DUMMYFUNCTION("""COMPUTED_VALUE"""),1237.0)</f>
        <v>1237</v>
      </c>
      <c r="D10" s="5">
        <f>IFERROR(__xludf.DUMMYFUNCTION("""COMPUTED_VALUE"""),1457.0)</f>
        <v>1457</v>
      </c>
      <c r="E10" s="5">
        <f>IFERROR(__xludf.DUMMYFUNCTION("""COMPUTED_VALUE"""),0.016)</f>
        <v>0.016</v>
      </c>
      <c r="F10" s="5" t="str">
        <f>IFERROR(__xludf.DUMMYFUNCTION("""COMPUTED_VALUE"""),"I-87(5)/NY155")</f>
        <v>I-87(5)/NY155</v>
      </c>
      <c r="G10" s="5" t="str">
        <f>IFERROR(__xludf.DUMMYFUNCTION("""COMPUTED_VALUE"""),"NY85A/NY156")</f>
        <v>NY85A/NY156</v>
      </c>
      <c r="H10" s="5">
        <f t="shared" si="1"/>
        <v>2694</v>
      </c>
    </row>
    <row r="11">
      <c r="A11" s="2" t="s">
        <v>17</v>
      </c>
      <c r="B11" s="4" t="str">
        <f>IFERROR(__xludf.DUMMYFUNCTION("SPLIT(A11, "" "")"),"siena50-area.tmg")</f>
        <v>siena50-area.tmg</v>
      </c>
      <c r="C11" s="5">
        <f>IFERROR(__xludf.DUMMYFUNCTION("""COMPUTED_VALUE"""),1237.0)</f>
        <v>1237</v>
      </c>
      <c r="D11" s="5">
        <f>IFERROR(__xludf.DUMMYFUNCTION("""COMPUTED_VALUE"""),1457.0)</f>
        <v>1457</v>
      </c>
      <c r="E11" s="5">
        <f>IFERROR(__xludf.DUMMYFUNCTION("""COMPUTED_VALUE"""),0.015)</f>
        <v>0.015</v>
      </c>
      <c r="F11" s="5" t="str">
        <f>IFERROR(__xludf.DUMMYFUNCTION("""COMPUTED_VALUE"""),"US7@NHooRd")</f>
        <v>US7@NHooRd</v>
      </c>
      <c r="G11" s="5" t="str">
        <f>IFERROR(__xludf.DUMMYFUNCTION("""COMPUTED_VALUE"""),"NY10@CR13")</f>
        <v>NY10@CR13</v>
      </c>
      <c r="H11" s="5">
        <f t="shared" si="1"/>
        <v>2694</v>
      </c>
    </row>
    <row r="12">
      <c r="A12" s="2" t="s">
        <v>18</v>
      </c>
      <c r="B12" s="4" t="str">
        <f>IFERROR(__xludf.DUMMYFUNCTION("SPLIT(A12, "" "")"),"USA-country.tmg")</f>
        <v>USA-country.tmg</v>
      </c>
      <c r="C12" s="5">
        <f>IFERROR(__xludf.DUMMYFUNCTION("""COMPUTED_VALUE"""),182079.0)</f>
        <v>182079</v>
      </c>
      <c r="D12" s="5">
        <f>IFERROR(__xludf.DUMMYFUNCTION("""COMPUTED_VALUE"""),216872.0)</f>
        <v>216872</v>
      </c>
      <c r="E12" s="5">
        <f>IFERROR(__xludf.DUMMYFUNCTION("""COMPUTED_VALUE"""),1.547)</f>
        <v>1.547</v>
      </c>
      <c r="F12" s="5" t="str">
        <f>IFERROR(__xludf.DUMMYFUNCTION("""COMPUTED_VALUE"""),"US75@ColBlvd")</f>
        <v>US75@ColBlvd</v>
      </c>
      <c r="G12" s="5" t="str">
        <f>IFERROR(__xludf.DUMMYFUNCTION("""COMPUTED_VALUE"""),"US331@PondCreRd")</f>
        <v>US331@PondCreRd</v>
      </c>
      <c r="H12" s="5">
        <f t="shared" si="1"/>
        <v>398951</v>
      </c>
    </row>
    <row r="13">
      <c r="A13" s="2" t="s">
        <v>19</v>
      </c>
      <c r="B13" s="4" t="str">
        <f>IFERROR(__xludf.DUMMYFUNCTION("SPLIT(A13, "" "")"),"USA-country.tmg")</f>
        <v>USA-country.tmg</v>
      </c>
      <c r="C13" s="5">
        <f>IFERROR(__xludf.DUMMYFUNCTION("""COMPUTED_VALUE"""),182079.0)</f>
        <v>182079</v>
      </c>
      <c r="D13" s="5">
        <f>IFERROR(__xludf.DUMMYFUNCTION("""COMPUTED_VALUE"""),216872.0)</f>
        <v>216872</v>
      </c>
      <c r="E13" s="5">
        <f>IFERROR(__xludf.DUMMYFUNCTION("""COMPUTED_VALUE"""),1.405)</f>
        <v>1.405</v>
      </c>
      <c r="F13" s="5" t="str">
        <f>IFERROR(__xludf.DUMMYFUNCTION("""COMPUTED_VALUE"""),"US380@CRC011")</f>
        <v>US380@CRC011</v>
      </c>
      <c r="G13" s="5" t="str">
        <f>IFERROR(__xludf.DUMMYFUNCTION("""COMPUTED_VALUE"""),"MN105@CR6")</f>
        <v>MN105@CR6</v>
      </c>
      <c r="H13" s="5">
        <f t="shared" si="1"/>
        <v>398951</v>
      </c>
    </row>
    <row r="14">
      <c r="A14" s="2" t="s">
        <v>20</v>
      </c>
      <c r="B14" s="4" t="str">
        <f>IFERROR(__xludf.DUMMYFUNCTION("SPLIT(A14, "" "")"),"USA-country.tmg")</f>
        <v>USA-country.tmg</v>
      </c>
      <c r="C14" s="5">
        <f>IFERROR(__xludf.DUMMYFUNCTION("""COMPUTED_VALUE"""),182079.0)</f>
        <v>182079</v>
      </c>
      <c r="D14" s="5">
        <f>IFERROR(__xludf.DUMMYFUNCTION("""COMPUTED_VALUE"""),216872.0)</f>
        <v>216872</v>
      </c>
      <c r="E14" s="5">
        <f>IFERROR(__xludf.DUMMYFUNCTION("""COMPUTED_VALUE"""),1.436)</f>
        <v>1.436</v>
      </c>
      <c r="F14" s="5" t="str">
        <f>IFERROR(__xludf.DUMMYFUNCTION("""COMPUTED_VALUE"""),"I-35BLLar@HouSt")</f>
        <v>I-35BLLar@HouSt</v>
      </c>
      <c r="G14" s="5" t="str">
        <f>IFERROR(__xludf.DUMMYFUNCTION("""COMPUTED_VALUE"""),"GA540@GorMcIRd")</f>
        <v>GA540@GorMcIRd</v>
      </c>
      <c r="H14" s="5">
        <f t="shared" si="1"/>
        <v>398951</v>
      </c>
    </row>
    <row r="15">
      <c r="A15" s="2" t="s">
        <v>21</v>
      </c>
      <c r="B15" s="4" t="str">
        <f>IFERROR(__xludf.DUMMYFUNCTION("SPLIT(A15, "" "")"),"USA-country.tmg")</f>
        <v>USA-country.tmg</v>
      </c>
      <c r="C15" s="5">
        <f>IFERROR(__xludf.DUMMYFUNCTION("""COMPUTED_VALUE"""),182079.0)</f>
        <v>182079</v>
      </c>
      <c r="D15" s="5">
        <f>IFERROR(__xludf.DUMMYFUNCTION("""COMPUTED_VALUE"""),216872.0)</f>
        <v>216872</v>
      </c>
      <c r="E15" s="5">
        <f>IFERROR(__xludf.DUMMYFUNCTION("""COMPUTED_VALUE"""),1.328)</f>
        <v>1.328</v>
      </c>
      <c r="F15" s="5" t="str">
        <f>IFERROR(__xludf.DUMMYFUNCTION("""COMPUTED_VALUE"""),"DE9@6thSt_W")</f>
        <v>DE9@6thSt_W</v>
      </c>
      <c r="G15" s="5" t="str">
        <f>IFERROR(__xludf.DUMMYFUNCTION("""COMPUTED_VALUE"""),"MI18_N/MI55_E")</f>
        <v>MI18_N/MI55_E</v>
      </c>
      <c r="H15" s="5">
        <f t="shared" si="1"/>
        <v>398951</v>
      </c>
    </row>
    <row r="16">
      <c r="A16" s="2" t="s">
        <v>22</v>
      </c>
      <c r="B16" s="4" t="str">
        <f>IFERROR(__xludf.DUMMYFUNCTION("SPLIT(A16, "" "")"),"USA-country.tmg")</f>
        <v>USA-country.tmg</v>
      </c>
      <c r="C16" s="5">
        <f>IFERROR(__xludf.DUMMYFUNCTION("""COMPUTED_VALUE"""),182079.0)</f>
        <v>182079</v>
      </c>
      <c r="D16" s="5">
        <f>IFERROR(__xludf.DUMMYFUNCTION("""COMPUTED_VALUE"""),216872.0)</f>
        <v>216872</v>
      </c>
      <c r="E16" s="5">
        <f>IFERROR(__xludf.DUMMYFUNCTION("""COMPUTED_VALUE"""),1.313)</f>
        <v>1.313</v>
      </c>
      <c r="F16" s="5" t="str">
        <f>IFERROR(__xludf.DUMMYFUNCTION("""COMPUTED_VALUE"""),"OR99@BroRd")</f>
        <v>OR99@BroRd</v>
      </c>
      <c r="G16" s="5" t="str">
        <f>IFERROR(__xludf.DUMMYFUNCTION("""COMPUTED_VALUE"""),"TX21/US190@FM2776")</f>
        <v>TX21/US190@FM2776</v>
      </c>
      <c r="H16" s="5">
        <f t="shared" si="1"/>
        <v>398951</v>
      </c>
    </row>
    <row r="17">
      <c r="A17" s="2" t="s">
        <v>23</v>
      </c>
      <c r="B17" s="4" t="str">
        <f>IFERROR(__xludf.DUMMYFUNCTION("SPLIT(A17, "" "")"),"USA-country.tmg")</f>
        <v>USA-country.tmg</v>
      </c>
      <c r="C17" s="5">
        <f>IFERROR(__xludf.DUMMYFUNCTION("""COMPUTED_VALUE"""),182079.0)</f>
        <v>182079</v>
      </c>
      <c r="D17" s="5">
        <f>IFERROR(__xludf.DUMMYFUNCTION("""COMPUTED_VALUE"""),216872.0)</f>
        <v>216872</v>
      </c>
      <c r="E17" s="5">
        <f>IFERROR(__xludf.DUMMYFUNCTION("""COMPUTED_VALUE"""),1.312)</f>
        <v>1.312</v>
      </c>
      <c r="F17" s="5" t="str">
        <f>IFERROR(__xludf.DUMMYFUNCTION("""COMPUTED_VALUE"""),"I-85(177C)/NC55/US15/US70")</f>
        <v>I-85(177C)/NC55/US15/US70</v>
      </c>
      <c r="G17" s="5" t="str">
        <f>IFERROR(__xludf.DUMMYFUNCTION("""COMPUTED_VALUE"""),"NY68_E/NY310/US11")</f>
        <v>NY68_E/NY310/US11</v>
      </c>
      <c r="H17" s="5">
        <f t="shared" si="1"/>
        <v>398951</v>
      </c>
    </row>
    <row r="18">
      <c r="A18" s="2" t="s">
        <v>24</v>
      </c>
      <c r="B18" s="4" t="str">
        <f>IFERROR(__xludf.DUMMYFUNCTION("SPLIT(A18, "" "")"),"USA-country.tmg")</f>
        <v>USA-country.tmg</v>
      </c>
      <c r="C18" s="5">
        <f>IFERROR(__xludf.DUMMYFUNCTION("""COMPUTED_VALUE"""),182079.0)</f>
        <v>182079</v>
      </c>
      <c r="D18" s="5">
        <f>IFERROR(__xludf.DUMMYFUNCTION("""COMPUTED_VALUE"""),216872.0)</f>
        <v>216872</v>
      </c>
      <c r="E18" s="5">
        <f>IFERROR(__xludf.DUMMYFUNCTION("""COMPUTED_VALUE"""),1.313)</f>
        <v>1.313</v>
      </c>
      <c r="F18" s="5" t="str">
        <f>IFERROR(__xludf.DUMMYFUNCTION("""COMPUTED_VALUE"""),"I-10(593)/TX130/US90")</f>
        <v>I-10(593)/TX130/US90</v>
      </c>
      <c r="G18" s="5" t="str">
        <f>IFERROR(__xludf.DUMMYFUNCTION("""COMPUTED_VALUE"""),"US67@WooWinRd")</f>
        <v>US67@WooWinRd</v>
      </c>
      <c r="H18" s="5">
        <f t="shared" si="1"/>
        <v>398951</v>
      </c>
    </row>
    <row r="19">
      <c r="A19" s="2" t="s">
        <v>25</v>
      </c>
      <c r="B19" s="4" t="str">
        <f>IFERROR(__xludf.DUMMYFUNCTION("SPLIT(A19, "" "")"),"USA-country.tmg")</f>
        <v>USA-country.tmg</v>
      </c>
      <c r="C19" s="5">
        <f>IFERROR(__xludf.DUMMYFUNCTION("""COMPUTED_VALUE"""),182079.0)</f>
        <v>182079</v>
      </c>
      <c r="D19" s="5">
        <f>IFERROR(__xludf.DUMMYFUNCTION("""COMPUTED_VALUE"""),216872.0)</f>
        <v>216872</v>
      </c>
      <c r="E19" s="5">
        <f>IFERROR(__xludf.DUMMYFUNCTION("""COMPUTED_VALUE"""),1.296)</f>
        <v>1.296</v>
      </c>
      <c r="F19" s="5" t="str">
        <f>IFERROR(__xludf.DUMMYFUNCTION("""COMPUTED_VALUE"""),"US66HisStL@PineSt")</f>
        <v>US66HisStL@PineSt</v>
      </c>
      <c r="G19" s="5" t="str">
        <f>IFERROR(__xludf.DUMMYFUNCTION("""COMPUTED_VALUE"""),"I-55(104)/I-220")</f>
        <v>I-55(104)/I-220</v>
      </c>
      <c r="H19" s="5">
        <f t="shared" si="1"/>
        <v>398951</v>
      </c>
    </row>
    <row r="20">
      <c r="A20" s="2" t="s">
        <v>26</v>
      </c>
      <c r="B20" s="4" t="str">
        <f>IFERROR(__xludf.DUMMYFUNCTION("SPLIT(A20, "" "")"),"USA-country.tmg")</f>
        <v>USA-country.tmg</v>
      </c>
      <c r="C20" s="5">
        <f>IFERROR(__xludf.DUMMYFUNCTION("""COMPUTED_VALUE"""),182079.0)</f>
        <v>182079</v>
      </c>
      <c r="D20" s="5">
        <f>IFERROR(__xludf.DUMMYFUNCTION("""COMPUTED_VALUE"""),216872.0)</f>
        <v>216872</v>
      </c>
      <c r="E20" s="5">
        <f>IFERROR(__xludf.DUMMYFUNCTION("""COMPUTED_VALUE"""),1.359)</f>
        <v>1.359</v>
      </c>
      <c r="F20" s="5" t="str">
        <f>IFERROR(__xludf.DUMMYFUNCTION("""COMPUTED_VALUE"""),"CO82@TwoRivRd_W")</f>
        <v>CO82@TwoRivRd_W</v>
      </c>
      <c r="G20" s="5" t="str">
        <f>IFERROR(__xludf.DUMMYFUNCTION("""COMPUTED_VALUE"""),"US76/US123@WelHwy_W")</f>
        <v>US76/US123@WelHwy_W</v>
      </c>
      <c r="H20" s="5">
        <f t="shared" si="1"/>
        <v>398951</v>
      </c>
    </row>
    <row r="21">
      <c r="A21" s="2" t="s">
        <v>27</v>
      </c>
      <c r="B21" s="4" t="str">
        <f>IFERROR(__xludf.DUMMYFUNCTION("SPLIT(A21, "" "")"),"USA-country.tmg")</f>
        <v>USA-country.tmg</v>
      </c>
      <c r="C21" s="5">
        <f>IFERROR(__xludf.DUMMYFUNCTION("""COMPUTED_VALUE"""),182079.0)</f>
        <v>182079</v>
      </c>
      <c r="D21" s="5">
        <f>IFERROR(__xludf.DUMMYFUNCTION("""COMPUTED_VALUE"""),216872.0)</f>
        <v>216872</v>
      </c>
      <c r="E21" s="5">
        <f>IFERROR(__xludf.DUMMYFUNCTION("""COMPUTED_VALUE"""),1.406)</f>
        <v>1.406</v>
      </c>
      <c r="F21" s="5" t="str">
        <f>IFERROR(__xludf.DUMMYFUNCTION("""COMPUTED_VALUE"""),"NC403@KeeRd")</f>
        <v>NC403@KeeRd</v>
      </c>
      <c r="G21" s="5" t="str">
        <f>IFERROR(__xludf.DUMMYFUNCTION("""COMPUTED_VALUE"""),"CO2/US6/US85")</f>
        <v>CO2/US6/US85</v>
      </c>
      <c r="H21" s="5">
        <f t="shared" si="1"/>
        <v>398951</v>
      </c>
    </row>
    <row r="22">
      <c r="A22" s="2" t="s">
        <v>28</v>
      </c>
      <c r="B22" s="4" t="str">
        <f>IFERROR(__xludf.DUMMYFUNCTION("SPLIT(A22, "" "")"),"NY-region.tmg")</f>
        <v>NY-region.tmg</v>
      </c>
      <c r="C22" s="5">
        <f>IFERROR(__xludf.DUMMYFUNCTION("""COMPUTED_VALUE"""),6765.0)</f>
        <v>6765</v>
      </c>
      <c r="D22" s="5">
        <f>IFERROR(__xludf.DUMMYFUNCTION("""COMPUTED_VALUE"""),8068.0)</f>
        <v>8068</v>
      </c>
      <c r="E22" s="5">
        <f>IFERROR(__xludf.DUMMYFUNCTION("""COMPUTED_VALUE"""),0.203)</f>
        <v>0.203</v>
      </c>
      <c r="F22" s="5" t="str">
        <f>IFERROR(__xludf.DUMMYFUNCTION("""COMPUTED_VALUE"""),"NY68@CR14")</f>
        <v>NY68@CR14</v>
      </c>
      <c r="G22" s="5" t="str">
        <f>IFERROR(__xludf.DUMMYFUNCTION("""COMPUTED_VALUE"""),"NY63@AdaRd")</f>
        <v>NY63@AdaRd</v>
      </c>
      <c r="H22" s="5">
        <f t="shared" si="1"/>
        <v>14833</v>
      </c>
    </row>
    <row r="23">
      <c r="A23" s="2" t="s">
        <v>29</v>
      </c>
      <c r="B23" s="4" t="str">
        <f>IFERROR(__xludf.DUMMYFUNCTION("SPLIT(A23, "" "")"),"NY-region.tmg")</f>
        <v>NY-region.tmg</v>
      </c>
      <c r="C23" s="5">
        <f>IFERROR(__xludf.DUMMYFUNCTION("""COMPUTED_VALUE"""),6765.0)</f>
        <v>6765</v>
      </c>
      <c r="D23" s="5">
        <f>IFERROR(__xludf.DUMMYFUNCTION("""COMPUTED_VALUE"""),8068.0)</f>
        <v>8068</v>
      </c>
      <c r="E23" s="5">
        <f>IFERROR(__xludf.DUMMYFUNCTION("""COMPUTED_VALUE"""),0.094)</f>
        <v>0.094</v>
      </c>
      <c r="F23" s="5" t="str">
        <f>IFERROR(__xludf.DUMMYFUNCTION("""COMPUTED_VALUE"""),"NY207@CR83")</f>
        <v>NY207@CR83</v>
      </c>
      <c r="G23" s="5" t="str">
        <f>IFERROR(__xludf.DUMMYFUNCTION("""COMPUTED_VALUE"""),"NY56@BirSt")</f>
        <v>NY56@BirSt</v>
      </c>
      <c r="H23" s="5">
        <f t="shared" si="1"/>
        <v>14833</v>
      </c>
    </row>
    <row r="24">
      <c r="A24" s="2" t="s">
        <v>30</v>
      </c>
      <c r="B24" s="4" t="str">
        <f>IFERROR(__xludf.DUMMYFUNCTION("SPLIT(A24, "" "")"),"NY-region.tmg")</f>
        <v>NY-region.tmg</v>
      </c>
      <c r="C24" s="5">
        <f>IFERROR(__xludf.DUMMYFUNCTION("""COMPUTED_VALUE"""),6765.0)</f>
        <v>6765</v>
      </c>
      <c r="D24" s="5">
        <f>IFERROR(__xludf.DUMMYFUNCTION("""COMPUTED_VALUE"""),8068.0)</f>
        <v>8068</v>
      </c>
      <c r="E24" s="5">
        <f>IFERROR(__xludf.DUMMYFUNCTION("""COMPUTED_VALUE"""),0.078)</f>
        <v>0.078</v>
      </c>
      <c r="F24" s="5" t="str">
        <f>IFERROR(__xludf.DUMMYFUNCTION("""COMPUTED_VALUE"""),"NY76@CR22")</f>
        <v>NY76@CR22</v>
      </c>
      <c r="G24" s="5" t="str">
        <f>IFERROR(__xludf.DUMMYFUNCTION("""COMPUTED_VALUE"""),"NY8/NY365")</f>
        <v>NY8/NY365</v>
      </c>
      <c r="H24" s="5">
        <f t="shared" si="1"/>
        <v>14833</v>
      </c>
    </row>
    <row r="25">
      <c r="A25" s="2" t="s">
        <v>31</v>
      </c>
      <c r="B25" s="4" t="str">
        <f>IFERROR(__xludf.DUMMYFUNCTION("SPLIT(A25, "" "")"),"NY-region.tmg")</f>
        <v>NY-region.tmg</v>
      </c>
      <c r="C25" s="5">
        <f>IFERROR(__xludf.DUMMYFUNCTION("""COMPUTED_VALUE"""),6765.0)</f>
        <v>6765</v>
      </c>
      <c r="D25" s="5">
        <f>IFERROR(__xludf.DUMMYFUNCTION("""COMPUTED_VALUE"""),8068.0)</f>
        <v>8068</v>
      </c>
      <c r="E25" s="5">
        <f>IFERROR(__xludf.DUMMYFUNCTION("""COMPUTED_VALUE"""),0.047)</f>
        <v>0.047</v>
      </c>
      <c r="F25" s="5" t="str">
        <f>IFERROR(__xludf.DUMMYFUNCTION("""COMPUTED_VALUE"""),"NY98@HuyRd")</f>
        <v>NY98@HuyRd</v>
      </c>
      <c r="G25" s="5" t="str">
        <f>IFERROR(__xludf.DUMMYFUNCTION("""COMPUTED_VALUE"""),"NY3@HogRd")</f>
        <v>NY3@HogRd</v>
      </c>
      <c r="H25" s="5">
        <f t="shared" si="1"/>
        <v>14833</v>
      </c>
    </row>
    <row r="26">
      <c r="A26" s="2" t="s">
        <v>32</v>
      </c>
      <c r="B26" s="4" t="str">
        <f>IFERROR(__xludf.DUMMYFUNCTION("SPLIT(A26, "" "")"),"NY-region.tmg")</f>
        <v>NY-region.tmg</v>
      </c>
      <c r="C26" s="5">
        <f>IFERROR(__xludf.DUMMYFUNCTION("""COMPUTED_VALUE"""),6765.0)</f>
        <v>6765</v>
      </c>
      <c r="D26" s="5">
        <f>IFERROR(__xludf.DUMMYFUNCTION("""COMPUTED_VALUE"""),8068.0)</f>
        <v>8068</v>
      </c>
      <c r="E26" s="5">
        <f>IFERROR(__xludf.DUMMYFUNCTION("""COMPUTED_VALUE"""),0.063)</f>
        <v>0.063</v>
      </c>
      <c r="F26" s="5" t="str">
        <f>IFERROR(__xludf.DUMMYFUNCTION("""COMPUTED_VALUE"""),"NY60@ForAve")</f>
        <v>NY60@ForAve</v>
      </c>
      <c r="G26" s="5" t="str">
        <f>IFERROR(__xludf.DUMMYFUNCTION("""COMPUTED_VALUE"""),"I-495(72)/NY25")</f>
        <v>I-495(72)/NY25</v>
      </c>
      <c r="H26" s="5">
        <f t="shared" si="1"/>
        <v>14833</v>
      </c>
    </row>
    <row r="27">
      <c r="A27" s="2" t="s">
        <v>33</v>
      </c>
      <c r="B27" s="4" t="str">
        <f>IFERROR(__xludf.DUMMYFUNCTION("SPLIT(A27, "" "")"),"NY-region.tmg")</f>
        <v>NY-region.tmg</v>
      </c>
      <c r="C27" s="5">
        <f>IFERROR(__xludf.DUMMYFUNCTION("""COMPUTED_VALUE"""),6765.0)</f>
        <v>6765</v>
      </c>
      <c r="D27" s="5">
        <f>IFERROR(__xludf.DUMMYFUNCTION("""COMPUTED_VALUE"""),8068.0)</f>
        <v>8068</v>
      </c>
      <c r="E27" s="5">
        <f>IFERROR(__xludf.DUMMYFUNCTION("""COMPUTED_VALUE"""),0.046)</f>
        <v>0.046</v>
      </c>
      <c r="F27" s="5" t="str">
        <f>IFERROR(__xludf.DUMMYFUNCTION("""COMPUTED_VALUE"""),"NY415@CR121")</f>
        <v>NY415@CR121</v>
      </c>
      <c r="G27" s="5" t="str">
        <f>IFERROR(__xludf.DUMMYFUNCTION("""COMPUTED_VALUE"""),"NY17C/US11")</f>
        <v>NY17C/US11</v>
      </c>
      <c r="H27" s="5">
        <f t="shared" si="1"/>
        <v>14833</v>
      </c>
    </row>
    <row r="28">
      <c r="A28" s="2" t="s">
        <v>34</v>
      </c>
      <c r="B28" s="4" t="str">
        <f>IFERROR(__xludf.DUMMYFUNCTION("SPLIT(A28, "" "")"),"NY-region.tmg")</f>
        <v>NY-region.tmg</v>
      </c>
      <c r="C28" s="5">
        <f>IFERROR(__xludf.DUMMYFUNCTION("""COMPUTED_VALUE"""),6765.0)</f>
        <v>6765</v>
      </c>
      <c r="D28" s="5">
        <f>IFERROR(__xludf.DUMMYFUNCTION("""COMPUTED_VALUE"""),8068.0)</f>
        <v>8068</v>
      </c>
      <c r="E28" s="5">
        <f>IFERROR(__xludf.DUMMYFUNCTION("""COMPUTED_VALUE"""),0.063)</f>
        <v>0.063</v>
      </c>
      <c r="F28" s="5" t="str">
        <f>IFERROR(__xludf.DUMMYFUNCTION("""COMPUTED_VALUE"""),"JacRobPkwy@1")</f>
        <v>JacRobPkwy@1</v>
      </c>
      <c r="G28" s="5" t="str">
        <f>IFERROR(__xludf.DUMMYFUNCTION("""COMPUTED_VALUE"""),"NY78/NY362")</f>
        <v>NY78/NY362</v>
      </c>
      <c r="H28" s="5">
        <f t="shared" si="1"/>
        <v>14833</v>
      </c>
    </row>
    <row r="29">
      <c r="A29" s="2" t="s">
        <v>35</v>
      </c>
      <c r="B29" s="4" t="str">
        <f>IFERROR(__xludf.DUMMYFUNCTION("SPLIT(A29, "" "")"),"NY-region.tmg")</f>
        <v>NY-region.tmg</v>
      </c>
      <c r="C29" s="5">
        <f>IFERROR(__xludf.DUMMYFUNCTION("""COMPUTED_VALUE"""),6765.0)</f>
        <v>6765</v>
      </c>
      <c r="D29" s="5">
        <f>IFERROR(__xludf.DUMMYFUNCTION("""COMPUTED_VALUE"""),8068.0)</f>
        <v>8068</v>
      </c>
      <c r="E29" s="5">
        <f>IFERROR(__xludf.DUMMYFUNCTION("""COMPUTED_VALUE"""),0.062)</f>
        <v>0.062</v>
      </c>
      <c r="F29" s="5" t="str">
        <f>IFERROR(__xludf.DUMMYFUNCTION("""COMPUTED_VALUE"""),"NY13@CR11")</f>
        <v>NY13@CR11</v>
      </c>
      <c r="G29" s="5" t="str">
        <f>IFERROR(__xludf.DUMMYFUNCTION("""COMPUTED_VALUE"""),"NY9R_N/US9_N")</f>
        <v>NY9R_N/US9_N</v>
      </c>
      <c r="H29" s="5">
        <f t="shared" si="1"/>
        <v>14833</v>
      </c>
    </row>
    <row r="30">
      <c r="A30" s="2" t="s">
        <v>36</v>
      </c>
      <c r="B30" s="4" t="str">
        <f>IFERROR(__xludf.DUMMYFUNCTION("SPLIT(A30, "" "")"),"NY-region.tmg")</f>
        <v>NY-region.tmg</v>
      </c>
      <c r="C30" s="5">
        <f>IFERROR(__xludf.DUMMYFUNCTION("""COMPUTED_VALUE"""),6765.0)</f>
        <v>6765</v>
      </c>
      <c r="D30" s="5">
        <f>IFERROR(__xludf.DUMMYFUNCTION("""COMPUTED_VALUE"""),8068.0)</f>
        <v>8068</v>
      </c>
      <c r="E30" s="5">
        <f>IFERROR(__xludf.DUMMYFUNCTION("""COMPUTED_VALUE"""),0.047)</f>
        <v>0.047</v>
      </c>
      <c r="F30" s="5" t="str">
        <f>IFERROR(__xludf.DUMMYFUNCTION("""COMPUTED_VALUE"""),"NY3@WesBeaSP")</f>
        <v>NY3@WesBeaSP</v>
      </c>
      <c r="G30" s="5" t="str">
        <f>IFERROR(__xludf.DUMMYFUNCTION("""COMPUTED_VALUE"""),"NY7B@NowRd")</f>
        <v>NY7B@NowRd</v>
      </c>
      <c r="H30" s="5">
        <f t="shared" si="1"/>
        <v>14833</v>
      </c>
    </row>
    <row r="31">
      <c r="A31" s="2" t="s">
        <v>37</v>
      </c>
      <c r="B31" s="4" t="str">
        <f>IFERROR(__xludf.DUMMYFUNCTION("SPLIT(A31, "" "")"),"NY-region.tmg")</f>
        <v>NY-region.tmg</v>
      </c>
      <c r="C31" s="5">
        <f>IFERROR(__xludf.DUMMYFUNCTION("""COMPUTED_VALUE"""),6765.0)</f>
        <v>6765</v>
      </c>
      <c r="D31" s="5">
        <f>IFERROR(__xludf.DUMMYFUNCTION("""COMPUTED_VALUE"""),8068.0)</f>
        <v>8068</v>
      </c>
      <c r="E31" s="5">
        <f>IFERROR(__xludf.DUMMYFUNCTION("""COMPUTED_VALUE"""),0.047)</f>
        <v>0.047</v>
      </c>
      <c r="F31" s="5" t="str">
        <f>IFERROR(__xludf.DUMMYFUNCTION("""COMPUTED_VALUE"""),"NY9A@CanSt")</f>
        <v>NY9A@CanSt</v>
      </c>
      <c r="G31" s="5" t="str">
        <f>IFERROR(__xludf.DUMMYFUNCTION("""COMPUTED_VALUE"""),"NY3@PicCorRd")</f>
        <v>NY3@PicCorRd</v>
      </c>
      <c r="H31" s="5">
        <f t="shared" si="1"/>
        <v>14833</v>
      </c>
    </row>
    <row r="32">
      <c r="A32" s="2" t="s">
        <v>38</v>
      </c>
      <c r="B32" s="4" t="str">
        <f>IFERROR(__xludf.DUMMYFUNCTION("SPLIT(A32, "" "")"),"DC-region.tmg")</f>
        <v>DC-region.tmg</v>
      </c>
      <c r="C32" s="5">
        <f>IFERROR(__xludf.DUMMYFUNCTION("""COMPUTED_VALUE"""),97.0)</f>
        <v>97</v>
      </c>
      <c r="D32" s="5">
        <f>IFERROR(__xludf.DUMMYFUNCTION("""COMPUTED_VALUE"""),94.0)</f>
        <v>94</v>
      </c>
      <c r="E32" s="5">
        <f>IFERROR(__xludf.DUMMYFUNCTION("""COMPUTED_VALUE"""),0.032)</f>
        <v>0.032</v>
      </c>
      <c r="F32" s="5" t="str">
        <f>IFERROR(__xludf.DUMMYFUNCTION("""COMPUTED_VALUE"""),"I-395/US1AltWas/US50")</f>
        <v>I-395/US1AltWas/US50</v>
      </c>
      <c r="G32" s="5" t="str">
        <f>IFERROR(__xludf.DUMMYFUNCTION("""COMPUTED_VALUE"""),"DC295@NHBurAve")</f>
        <v>DC295@NHBurAve</v>
      </c>
      <c r="H32" s="5">
        <f t="shared" si="1"/>
        <v>191</v>
      </c>
    </row>
    <row r="33">
      <c r="A33" s="2" t="s">
        <v>39</v>
      </c>
      <c r="B33" s="4" t="str">
        <f>IFERROR(__xludf.DUMMYFUNCTION("SPLIT(A33, "" "")"),"DC-region.tmg")</f>
        <v>DC-region.tmg</v>
      </c>
      <c r="C33" s="5">
        <f>IFERROR(__xludf.DUMMYFUNCTION("""COMPUTED_VALUE"""),97.0)</f>
        <v>97</v>
      </c>
      <c r="D33" s="5">
        <f>IFERROR(__xludf.DUMMYFUNCTION("""COMPUTED_VALUE"""),94.0)</f>
        <v>94</v>
      </c>
      <c r="E33" s="5">
        <f>IFERROR(__xludf.DUMMYFUNCTION("""COMPUTED_VALUE"""),0.016)</f>
        <v>0.016</v>
      </c>
      <c r="F33" s="5" t="str">
        <f>IFERROR(__xludf.DUMMYFUNCTION("""COMPUTED_VALUE"""),"US1AltWas/US50@NorCapSt")</f>
        <v>US1AltWas/US50@NorCapSt</v>
      </c>
      <c r="G33" s="5" t="str">
        <f>IFERROR(__xludf.DUMMYFUNCTION("""COMPUTED_VALUE"""),"I-395@10")</f>
        <v>I-395@10</v>
      </c>
      <c r="H33" s="5">
        <f t="shared" si="1"/>
        <v>191</v>
      </c>
    </row>
    <row r="34">
      <c r="A34" s="2" t="s">
        <v>40</v>
      </c>
      <c r="B34" s="4" t="str">
        <f>IFERROR(__xludf.DUMMYFUNCTION("SPLIT(A34, "" "")"),"DC-region.tmg")</f>
        <v>DC-region.tmg</v>
      </c>
      <c r="C34" s="5">
        <f>IFERROR(__xludf.DUMMYFUNCTION("""COMPUTED_VALUE"""),97.0)</f>
        <v>97</v>
      </c>
      <c r="D34" s="5">
        <f>IFERROR(__xludf.DUMMYFUNCTION("""COMPUTED_VALUE"""),94.0)</f>
        <v>94</v>
      </c>
      <c r="E34" s="5">
        <f>IFERROR(__xludf.DUMMYFUNCTION("""COMPUTED_VALUE"""),0.0)</f>
        <v>0</v>
      </c>
      <c r="F34" s="5" t="str">
        <f>IFERROR(__xludf.DUMMYFUNCTION("""COMPUTED_VALUE"""),"US1@SouDakAve")</f>
        <v>US1@SouDakAve</v>
      </c>
      <c r="G34" s="5" t="str">
        <f>IFERROR(__xludf.DUMMYFUNCTION("""COMPUTED_VALUE"""),"I-66_W/US50_W")</f>
        <v>I-66_W/US50_W</v>
      </c>
      <c r="H34" s="5">
        <f t="shared" si="1"/>
        <v>191</v>
      </c>
    </row>
    <row r="35">
      <c r="A35" s="2" t="s">
        <v>41</v>
      </c>
      <c r="B35" s="4" t="str">
        <f>IFERROR(__xludf.DUMMYFUNCTION("SPLIT(A35, "" "")"),"DC-region.tmg")</f>
        <v>DC-region.tmg</v>
      </c>
      <c r="C35" s="5">
        <f>IFERROR(__xludf.DUMMYFUNCTION("""COMPUTED_VALUE"""),97.0)</f>
        <v>97</v>
      </c>
      <c r="D35" s="5">
        <f>IFERROR(__xludf.DUMMYFUNCTION("""COMPUTED_VALUE"""),94.0)</f>
        <v>94</v>
      </c>
      <c r="E35" s="5">
        <f>IFERROR(__xludf.DUMMYFUNCTION("""COMPUTED_VALUE"""),0.016)</f>
        <v>0.016</v>
      </c>
      <c r="F35" s="5" t="str">
        <f>IFERROR(__xludf.DUMMYFUNCTION("""COMPUTED_VALUE"""),"US29@ColRd")</f>
        <v>US29@ColRd</v>
      </c>
      <c r="G35" s="5" t="str">
        <f>IFERROR(__xludf.DUMMYFUNCTION("""COMPUTED_VALUE"""),"US29@FloAve")</f>
        <v>US29@FloAve</v>
      </c>
      <c r="H35" s="5">
        <f t="shared" si="1"/>
        <v>191</v>
      </c>
    </row>
    <row r="36">
      <c r="A36" s="2" t="s">
        <v>42</v>
      </c>
      <c r="B36" s="4" t="str">
        <f>IFERROR(__xludf.DUMMYFUNCTION("SPLIT(A36, "" "")"),"DC-region.tmg")</f>
        <v>DC-region.tmg</v>
      </c>
      <c r="C36" s="5">
        <f>IFERROR(__xludf.DUMMYFUNCTION("""COMPUTED_VALUE"""),97.0)</f>
        <v>97</v>
      </c>
      <c r="D36" s="5">
        <f>IFERROR(__xludf.DUMMYFUNCTION("""COMPUTED_VALUE"""),94.0)</f>
        <v>94</v>
      </c>
      <c r="E36" s="5">
        <f>IFERROR(__xludf.DUMMYFUNCTION("""COMPUTED_VALUE"""),0.0)</f>
        <v>0</v>
      </c>
      <c r="F36" s="5" t="str">
        <f>IFERROR(__xludf.DUMMYFUNCTION("""COMPUTED_VALUE"""),"US29@ColRd")</f>
        <v>US29@ColRd</v>
      </c>
      <c r="G36" s="5" t="str">
        <f>IFERROR(__xludf.DUMMYFUNCTION("""COMPUTED_VALUE"""),"US29@RhoIslAve_E")</f>
        <v>US29@RhoIslAve_E</v>
      </c>
      <c r="H36" s="5">
        <f t="shared" si="1"/>
        <v>191</v>
      </c>
    </row>
    <row r="37">
      <c r="A37" s="2" t="s">
        <v>43</v>
      </c>
      <c r="B37" s="4" t="str">
        <f>IFERROR(__xludf.DUMMYFUNCTION("SPLIT(A37, "" "")"),"DC-region.tmg")</f>
        <v>DC-region.tmg</v>
      </c>
      <c r="C37" s="5">
        <f>IFERROR(__xludf.DUMMYFUNCTION("""COMPUTED_VALUE"""),97.0)</f>
        <v>97</v>
      </c>
      <c r="D37" s="5">
        <f>IFERROR(__xludf.DUMMYFUNCTION("""COMPUTED_VALUE"""),94.0)</f>
        <v>94</v>
      </c>
      <c r="E37" s="5">
        <f>IFERROR(__xludf.DUMMYFUNCTION("""COMPUTED_VALUE"""),0.0)</f>
        <v>0</v>
      </c>
      <c r="F37" s="5" t="str">
        <f>IFERROR(__xludf.DUMMYFUNCTION("""COMPUTED_VALUE"""),"SuiPkwy@DC/MD")</f>
        <v>SuiPkwy@DC/MD</v>
      </c>
      <c r="G37" s="5" t="str">
        <f>IFERROR(__xludf.DUMMYFUNCTION("""COMPUTED_VALUE"""),"I-695@1C")</f>
        <v>I-695@1C</v>
      </c>
      <c r="H37" s="5">
        <f t="shared" si="1"/>
        <v>191</v>
      </c>
    </row>
    <row r="38">
      <c r="A38" s="2" t="s">
        <v>44</v>
      </c>
      <c r="B38" s="4" t="str">
        <f>IFERROR(__xludf.DUMMYFUNCTION("SPLIT(A38, "" "")"),"DC-region.tmg")</f>
        <v>DC-region.tmg</v>
      </c>
      <c r="C38" s="5">
        <f>IFERROR(__xludf.DUMMYFUNCTION("""COMPUTED_VALUE"""),97.0)</f>
        <v>97</v>
      </c>
      <c r="D38" s="5">
        <f>IFERROR(__xludf.DUMMYFUNCTION("""COMPUTED_VALUE"""),94.0)</f>
        <v>94</v>
      </c>
      <c r="E38" s="5">
        <f>IFERROR(__xludf.DUMMYFUNCTION("""COMPUTED_VALUE"""),0.0)</f>
        <v>0</v>
      </c>
      <c r="F38" s="5" t="str">
        <f>IFERROR(__xludf.DUMMYFUNCTION("""COMPUTED_VALUE"""),"US29@NewHamAve_S")</f>
        <v>US29@NewHamAve_S</v>
      </c>
      <c r="G38" s="5" t="str">
        <f>IFERROR(__xludf.DUMMYFUNCTION("""COMPUTED_VALUE"""),"BeaDr/RockCrkPkwy")</f>
        <v>BeaDr/RockCrkPkwy</v>
      </c>
      <c r="H38" s="5">
        <f t="shared" si="1"/>
        <v>191</v>
      </c>
    </row>
    <row r="39">
      <c r="A39" s="2" t="s">
        <v>45</v>
      </c>
      <c r="B39" s="4" t="str">
        <f>IFERROR(__xludf.DUMMYFUNCTION("SPLIT(A39, "" "")"),"DC-region.tmg")</f>
        <v>DC-region.tmg</v>
      </c>
      <c r="C39" s="5">
        <f>IFERROR(__xludf.DUMMYFUNCTION("""COMPUTED_VALUE"""),97.0)</f>
        <v>97</v>
      </c>
      <c r="D39" s="5">
        <f>IFERROR(__xludf.DUMMYFUNCTION("""COMPUTED_VALUE"""),94.0)</f>
        <v>94</v>
      </c>
      <c r="E39" s="5">
        <f>IFERROR(__xludf.DUMMYFUNCTION("""COMPUTED_VALUE"""),0.015)</f>
        <v>0.015</v>
      </c>
      <c r="F39" s="5" t="str">
        <f>IFERROR(__xludf.DUMMYFUNCTION("""COMPUTED_VALUE"""),"US29@MSt")</f>
        <v>US29@MSt</v>
      </c>
      <c r="G39" s="5" t="str">
        <f>IFERROR(__xludf.DUMMYFUNCTION("""COMPUTED_VALUE"""),"US50@DC/MD")</f>
        <v>US50@DC/MD</v>
      </c>
      <c r="H39" s="5">
        <f t="shared" si="1"/>
        <v>191</v>
      </c>
    </row>
    <row r="40">
      <c r="A40" s="2" t="s">
        <v>46</v>
      </c>
      <c r="B40" s="4" t="str">
        <f>IFERROR(__xludf.DUMMYFUNCTION("SPLIT(A40, "" "")"),"DC-region.tmg")</f>
        <v>DC-region.tmg</v>
      </c>
      <c r="C40" s="5">
        <f>IFERROR(__xludf.DUMMYFUNCTION("""COMPUTED_VALUE"""),97.0)</f>
        <v>97</v>
      </c>
      <c r="D40" s="5">
        <f>IFERROR(__xludf.DUMMYFUNCTION("""COMPUTED_VALUE"""),94.0)</f>
        <v>94</v>
      </c>
      <c r="E40" s="5">
        <f>IFERROR(__xludf.DUMMYFUNCTION("""COMPUTED_VALUE"""),0.0)</f>
        <v>0</v>
      </c>
      <c r="F40" s="5" t="str">
        <f>IFERROR(__xludf.DUMMYFUNCTION("""COMPUTED_VALUE"""),"US29@NewHamAve_N")</f>
        <v>US29@NewHamAve_N</v>
      </c>
      <c r="G40" s="5" t="str">
        <f>IFERROR(__xludf.DUMMYFUNCTION("""COMPUTED_VALUE"""),"BeaDr/RockCrkPkwy")</f>
        <v>BeaDr/RockCrkPkwy</v>
      </c>
      <c r="H40" s="5">
        <f t="shared" si="1"/>
        <v>191</v>
      </c>
    </row>
    <row r="41">
      <c r="A41" s="2" t="s">
        <v>47</v>
      </c>
      <c r="B41" s="4" t="str">
        <f>IFERROR(__xludf.DUMMYFUNCTION("SPLIT(A41, "" "")"),"DC-region.tmg")</f>
        <v>DC-region.tmg</v>
      </c>
      <c r="C41" s="5">
        <f>IFERROR(__xludf.DUMMYFUNCTION("""COMPUTED_VALUE"""),97.0)</f>
        <v>97</v>
      </c>
      <c r="D41" s="5">
        <f>IFERROR(__xludf.DUMMYFUNCTION("""COMPUTED_VALUE"""),94.0)</f>
        <v>94</v>
      </c>
      <c r="E41" s="5">
        <f>IFERROR(__xludf.DUMMYFUNCTION("""COMPUTED_VALUE"""),0.0)</f>
        <v>0</v>
      </c>
      <c r="F41" s="5" t="str">
        <f>IFERROR(__xludf.DUMMYFUNCTION("""COMPUTED_VALUE"""),"US50@17thSt")</f>
        <v>US50@17thSt</v>
      </c>
      <c r="G41" s="5" t="str">
        <f>IFERROR(__xludf.DUMMYFUNCTION("""COMPUTED_VALUE"""),"I-295@MD/DC")</f>
        <v>I-295@MD/DC</v>
      </c>
      <c r="H41" s="5">
        <f t="shared" si="1"/>
        <v>191</v>
      </c>
    </row>
    <row r="42">
      <c r="A42" s="2" t="s">
        <v>48</v>
      </c>
      <c r="B42" s="4" t="str">
        <f>IFERROR(__xludf.DUMMYFUNCTION("SPLIT(A42, "" "")"),"YT-region.tmg")</f>
        <v>YT-region.tmg</v>
      </c>
      <c r="C42" s="5">
        <f>IFERROR(__xludf.DUMMYFUNCTION("""COMPUTED_VALUE"""),225.0)</f>
        <v>225</v>
      </c>
      <c r="D42" s="5">
        <f>IFERROR(__xludf.DUMMYFUNCTION("""COMPUTED_VALUE"""),221.0)</f>
        <v>221</v>
      </c>
      <c r="E42" s="5">
        <f>IFERROR(__xludf.DUMMYFUNCTION("""COMPUTED_VALUE"""),0.063)</f>
        <v>0.063</v>
      </c>
      <c r="F42" s="5" t="str">
        <f>IFERROR(__xludf.DUMMYFUNCTION("""COMPUTED_VALUE"""),"YT2@PelAir")</f>
        <v>YT2@PelAir</v>
      </c>
      <c r="G42" s="5" t="str">
        <f>IFERROR(__xludf.DUMMYFUNCTION("""COMPUTED_VALUE"""),"YT10@NahRanCamp")</f>
        <v>YT10@NahRanCamp</v>
      </c>
      <c r="H42" s="5">
        <f t="shared" si="1"/>
        <v>446</v>
      </c>
    </row>
    <row r="43">
      <c r="A43" s="2" t="s">
        <v>49</v>
      </c>
      <c r="B43" s="4" t="str">
        <f>IFERROR(__xludf.DUMMYFUNCTION("SPLIT(A43, "" "")"),"YT-region.tmg")</f>
        <v>YT-region.tmg</v>
      </c>
      <c r="C43" s="5">
        <f>IFERROR(__xludf.DUMMYFUNCTION("""COMPUTED_VALUE"""),225.0)</f>
        <v>225</v>
      </c>
      <c r="D43" s="5">
        <f>IFERROR(__xludf.DUMMYFUNCTION("""COMPUTED_VALUE"""),221.0)</f>
        <v>221</v>
      </c>
      <c r="E43" s="5">
        <f>IFERROR(__xludf.DUMMYFUNCTION("""COMPUTED_VALUE"""),0.016)</f>
        <v>0.016</v>
      </c>
      <c r="F43" s="5" t="str">
        <f>IFERROR(__xludf.DUMMYFUNCTION("""COMPUTED_VALUE"""),"YT2@HorCrkRd")</f>
        <v>YT2@HorCrkRd</v>
      </c>
      <c r="G43" s="5" t="str">
        <f>IFERROR(__xludf.DUMMYFUNCTION("""COMPUTED_VALUE"""),"YT1@HaiJctAir")</f>
        <v>YT1@HaiJctAir</v>
      </c>
      <c r="H43" s="5">
        <f t="shared" si="1"/>
        <v>446</v>
      </c>
    </row>
    <row r="44">
      <c r="A44" s="2" t="s">
        <v>50</v>
      </c>
      <c r="B44" s="4" t="str">
        <f>IFERROR(__xludf.DUMMYFUNCTION("SPLIT(A44, "" "")"),"YT-region.tmg")</f>
        <v>YT-region.tmg</v>
      </c>
      <c r="C44" s="5">
        <f>IFERROR(__xludf.DUMMYFUNCTION("""COMPUTED_VALUE"""),225.0)</f>
        <v>225</v>
      </c>
      <c r="D44" s="5">
        <f>IFERROR(__xludf.DUMMYFUNCTION("""COMPUTED_VALUE"""),221.0)</f>
        <v>221</v>
      </c>
      <c r="E44" s="5">
        <f>IFERROR(__xludf.DUMMYFUNCTION("""COMPUTED_VALUE"""),0.0)</f>
        <v>0</v>
      </c>
      <c r="F44" s="5" t="str">
        <f>IFERROR(__xludf.DUMMYFUNCTION("""COMPUTED_VALUE"""),"YT2@CowLakeRd")</f>
        <v>YT2@CowLakeRd</v>
      </c>
      <c r="G44" s="5" t="str">
        <f>IFERROR(__xludf.DUMMYFUNCTION("""COMPUTED_VALUE"""),"YT1@PineLakeCamp")</f>
        <v>YT1@PineLakeCamp</v>
      </c>
      <c r="H44" s="5">
        <f t="shared" si="1"/>
        <v>446</v>
      </c>
    </row>
    <row r="45">
      <c r="A45" s="2" t="s">
        <v>51</v>
      </c>
      <c r="B45" s="4" t="str">
        <f>IFERROR(__xludf.DUMMYFUNCTION("SPLIT(A45, "" "")"),"YT-region.tmg")</f>
        <v>YT-region.tmg</v>
      </c>
      <c r="C45" s="5">
        <f>IFERROR(__xludf.DUMMYFUNCTION("""COMPUTED_VALUE"""),225.0)</f>
        <v>225</v>
      </c>
      <c r="D45" s="5">
        <f>IFERROR(__xludf.DUMMYFUNCTION("""COMPUTED_VALUE"""),221.0)</f>
        <v>221</v>
      </c>
      <c r="E45" s="5">
        <f>IFERROR(__xludf.DUMMYFUNCTION("""COMPUTED_VALUE"""),0.016)</f>
        <v>0.016</v>
      </c>
      <c r="F45" s="5" t="str">
        <f>IFERROR(__xludf.DUMMYFUNCTION("""COMPUTED_VALUE"""),"YT3@PapRd")</f>
        <v>YT3@PapRd</v>
      </c>
      <c r="G45" s="5" t="str">
        <f>IFERROR(__xludf.DUMMYFUNCTION("""COMPUTED_VALUE"""),"YT1/YT2@KatRd")</f>
        <v>YT1/YT2@KatRd</v>
      </c>
      <c r="H45" s="5">
        <f t="shared" si="1"/>
        <v>446</v>
      </c>
    </row>
    <row r="46">
      <c r="A46" s="2" t="s">
        <v>52</v>
      </c>
      <c r="B46" s="4" t="str">
        <f>IFERROR(__xludf.DUMMYFUNCTION("SPLIT(A46, "" "")"),"YT-region.tmg")</f>
        <v>YT-region.tmg</v>
      </c>
      <c r="C46" s="5">
        <f>IFERROR(__xludf.DUMMYFUNCTION("""COMPUTED_VALUE"""),225.0)</f>
        <v>225</v>
      </c>
      <c r="D46" s="5">
        <f>IFERROR(__xludf.DUMMYFUNCTION("""COMPUTED_VALUE"""),221.0)</f>
        <v>221</v>
      </c>
      <c r="E46" s="5">
        <f>IFERROR(__xludf.DUMMYFUNCTION("""COMPUTED_VALUE"""),0.015)</f>
        <v>0.015</v>
      </c>
      <c r="F46" s="5" t="str">
        <f>IFERROR(__xludf.DUMMYFUNCTION("""COMPUTED_VALUE"""),"YT1@JudCrkDr")</f>
        <v>YT1@JudCrkDr</v>
      </c>
      <c r="G46" s="5" t="str">
        <f>IFERROR(__xludf.DUMMYFUNCTION("""COMPUTED_VALUE"""),"YT2@MooCrkCamp")</f>
        <v>YT2@MooCrkCamp</v>
      </c>
      <c r="H46" s="5">
        <f t="shared" si="1"/>
        <v>446</v>
      </c>
    </row>
    <row r="47">
      <c r="A47" s="2" t="s">
        <v>53</v>
      </c>
      <c r="B47" s="4" t="str">
        <f>IFERROR(__xludf.DUMMYFUNCTION("SPLIT(A47, "" "")"),"YT-region.tmg")</f>
        <v>YT-region.tmg</v>
      </c>
      <c r="C47" s="5">
        <f>IFERROR(__xludf.DUMMYFUNCTION("""COMPUTED_VALUE"""),225.0)</f>
        <v>225</v>
      </c>
      <c r="D47" s="5">
        <f>IFERROR(__xludf.DUMMYFUNCTION("""COMPUTED_VALUE"""),221.0)</f>
        <v>221</v>
      </c>
      <c r="E47" s="5">
        <f>IFERROR(__xludf.DUMMYFUNCTION("""COMPUTED_VALUE"""),0.0)</f>
        <v>0</v>
      </c>
      <c r="F47" s="5" t="str">
        <f>IFERROR(__xludf.DUMMYFUNCTION("""COMPUTED_VALUE"""),"YT1/YT1Wat@YT/BC")</f>
        <v>YT1/YT1Wat@YT/BC</v>
      </c>
      <c r="G47" s="5" t="str">
        <f>IFERROR(__xludf.DUMMYFUNCTION("""COMPUTED_VALUE"""),"YT2@NorTowAcc")</f>
        <v>YT2@NorTowAcc</v>
      </c>
      <c r="H47" s="5">
        <f t="shared" si="1"/>
        <v>446</v>
      </c>
    </row>
    <row r="48">
      <c r="A48" s="2" t="s">
        <v>54</v>
      </c>
      <c r="B48" s="4" t="str">
        <f>IFERROR(__xludf.DUMMYFUNCTION("SPLIT(A48, "" "")"),"YT-region.tmg")</f>
        <v>YT-region.tmg</v>
      </c>
      <c r="C48" s="5">
        <f>IFERROR(__xludf.DUMMYFUNCTION("""COMPUTED_VALUE"""),225.0)</f>
        <v>225</v>
      </c>
      <c r="D48" s="5">
        <f>IFERROR(__xludf.DUMMYFUNCTION("""COMPUTED_VALUE"""),221.0)</f>
        <v>221</v>
      </c>
      <c r="E48" s="5">
        <f>IFERROR(__xludf.DUMMYFUNCTION("""COMPUTED_VALUE"""),0.016)</f>
        <v>0.016</v>
      </c>
      <c r="F48" s="5" t="str">
        <f>IFERROR(__xludf.DUMMYFUNCTION("""COMPUTED_VALUE"""),"YT1@NygSubRd")</f>
        <v>YT1@NygSubRd</v>
      </c>
      <c r="G48" s="5" t="str">
        <f>IFERROR(__xludf.DUMMYFUNCTION("""COMPUTED_VALUE"""),"YT3@MilDolCamp")</f>
        <v>YT3@MilDolCamp</v>
      </c>
      <c r="H48" s="5">
        <f t="shared" si="1"/>
        <v>446</v>
      </c>
    </row>
    <row r="49">
      <c r="A49" s="2" t="s">
        <v>55</v>
      </c>
      <c r="B49" s="4" t="str">
        <f>IFERROR(__xludf.DUMMYFUNCTION("SPLIT(A49, "" "")"),"YT-region.tmg")</f>
        <v>YT-region.tmg</v>
      </c>
      <c r="C49" s="5">
        <f>IFERROR(__xludf.DUMMYFUNCTION("""COMPUTED_VALUE"""),225.0)</f>
        <v>225</v>
      </c>
      <c r="D49" s="5">
        <f>IFERROR(__xludf.DUMMYFUNCTION("""COMPUTED_VALUE"""),221.0)</f>
        <v>221</v>
      </c>
      <c r="E49" s="5">
        <f>IFERROR(__xludf.DUMMYFUNCTION("""COMPUTED_VALUE"""),0.0)</f>
        <v>0</v>
      </c>
      <c r="F49" s="5" t="str">
        <f>IFERROR(__xludf.DUMMYFUNCTION("""COMPUTED_VALUE"""),"YT2@LabLakeRd")</f>
        <v>YT2@LabLakeRd</v>
      </c>
      <c r="G49" s="5" t="str">
        <f>IFERROR(__xludf.DUMMYFUNCTION("""COMPUTED_VALUE"""),"BC37/YT37@BC/YT")</f>
        <v>BC37/YT37@BC/YT</v>
      </c>
      <c r="H49" s="5">
        <f t="shared" si="1"/>
        <v>446</v>
      </c>
    </row>
    <row r="50">
      <c r="A50" s="2" t="s">
        <v>56</v>
      </c>
      <c r="B50" s="4" t="str">
        <f>IFERROR(__xludf.DUMMYFUNCTION("SPLIT(A50, "" "")"),"YT-region.tmg")</f>
        <v>YT-region.tmg</v>
      </c>
      <c r="C50" s="5">
        <f>IFERROR(__xludf.DUMMYFUNCTION("""COMPUTED_VALUE"""),225.0)</f>
        <v>225</v>
      </c>
      <c r="D50" s="5">
        <f>IFERROR(__xludf.DUMMYFUNCTION("""COMPUTED_VALUE"""),221.0)</f>
        <v>221</v>
      </c>
      <c r="E50" s="5">
        <f>IFERROR(__xludf.DUMMYFUNCTION("""COMPUTED_VALUE"""),0.016)</f>
        <v>0.016</v>
      </c>
      <c r="F50" s="5" t="str">
        <f>IFERROR(__xludf.DUMMYFUNCTION("""COMPUTED_VALUE"""),"YT1@HettHaseDr")</f>
        <v>YT1@HettHaseDr</v>
      </c>
      <c r="G50" s="5" t="str">
        <f>IFERROR(__xludf.DUMMYFUNCTION("""COMPUTED_VALUE"""),"YT6@NisRivRS")</f>
        <v>YT6@NisRivRS</v>
      </c>
      <c r="H50" s="5">
        <f t="shared" si="1"/>
        <v>446</v>
      </c>
    </row>
    <row r="51">
      <c r="A51" s="2" t="s">
        <v>57</v>
      </c>
      <c r="B51" s="4" t="str">
        <f>IFERROR(__xludf.DUMMYFUNCTION("SPLIT(A51, "" "")"),"YT-region.tmg")</f>
        <v>YT-region.tmg</v>
      </c>
      <c r="C51" s="5">
        <f>IFERROR(__xludf.DUMMYFUNCTION("""COMPUTED_VALUE"""),225.0)</f>
        <v>225</v>
      </c>
      <c r="D51" s="5">
        <f>IFERROR(__xludf.DUMMYFUNCTION("""COMPUTED_VALUE"""),221.0)</f>
        <v>221</v>
      </c>
      <c r="E51" s="5">
        <f>IFERROR(__xludf.DUMMYFUNCTION("""COMPUTED_VALUE"""),0.0)</f>
        <v>0</v>
      </c>
      <c r="F51" s="5" t="str">
        <f>IFERROR(__xludf.DUMMYFUNCTION("""COMPUTED_VALUE"""),"YT1_S/YT2_S")</f>
        <v>YT1_S/YT2_S</v>
      </c>
      <c r="G51" s="5" t="str">
        <f>IFERROR(__xludf.DUMMYFUNCTION("""COMPUTED_VALUE"""),"YT11@SMcQRd")</f>
        <v>YT11@SMcQRd</v>
      </c>
      <c r="H51" s="5">
        <f t="shared" si="1"/>
        <v>446</v>
      </c>
    </row>
    <row r="52">
      <c r="A52" s="2" t="s">
        <v>58</v>
      </c>
      <c r="B52" s="4" t="str">
        <f>IFERROR(__xludf.DUMMYFUNCTION("SPLIT(A52, "" "")"),"USA-lower48-natl.tmg")</f>
        <v>USA-lower48-natl.tmg</v>
      </c>
      <c r="C52" s="5">
        <f>IFERROR(__xludf.DUMMYFUNCTION("""COMPUTED_VALUE"""),72804.0)</f>
        <v>72804</v>
      </c>
      <c r="D52" s="5">
        <f>IFERROR(__xludf.DUMMYFUNCTION("""COMPUTED_VALUE"""),78013.0)</f>
        <v>78013</v>
      </c>
      <c r="E52" s="5">
        <f>IFERROR(__xludf.DUMMYFUNCTION("""COMPUTED_VALUE"""),0.77)</f>
        <v>0.77</v>
      </c>
      <c r="F52" s="5" t="str">
        <f>IFERROR(__xludf.DUMMYFUNCTION("""COMPUTED_VALUE"""),"US18@77(151)&amp;US151@77&amp;WI69@US18/151")</f>
        <v>US18@77(151)&amp;US151@77&amp;WI69@US18/151</v>
      </c>
      <c r="G52" s="5" t="str">
        <f>IFERROR(__xludf.DUMMYFUNCTION("""COMPUTED_VALUE"""),"I-40@13")</f>
        <v>I-40@13</v>
      </c>
      <c r="H52" s="5">
        <f t="shared" si="1"/>
        <v>150817</v>
      </c>
    </row>
    <row r="53">
      <c r="A53" s="2" t="s">
        <v>59</v>
      </c>
      <c r="B53" s="4" t="str">
        <f>IFERROR(__xludf.DUMMYFUNCTION("SPLIT(A53, "" "")"),"USA-lower48-natl.tmg")</f>
        <v>USA-lower48-natl.tmg</v>
      </c>
      <c r="C53" s="5">
        <f>IFERROR(__xludf.DUMMYFUNCTION("""COMPUTED_VALUE"""),72804.0)</f>
        <v>72804</v>
      </c>
      <c r="D53" s="5">
        <f>IFERROR(__xludf.DUMMYFUNCTION("""COMPUTED_VALUE"""),78013.0)</f>
        <v>78013</v>
      </c>
      <c r="E53" s="5">
        <f>IFERROR(__xludf.DUMMYFUNCTION("""COMPUTED_VALUE"""),0.547)</f>
        <v>0.547</v>
      </c>
      <c r="F53" s="5" t="str">
        <f>IFERROR(__xludf.DUMMYFUNCTION("""COMPUTED_VALUE"""),"US50@SwaRd")</f>
        <v>US50@SwaRd</v>
      </c>
      <c r="G53" s="5" t="str">
        <f>IFERROR(__xludf.DUMMYFUNCTION("""COMPUTED_VALUE"""),"I-10BLWil@AriAve")</f>
        <v>I-10BLWil@AriAve</v>
      </c>
      <c r="H53" s="5">
        <f t="shared" si="1"/>
        <v>150817</v>
      </c>
    </row>
    <row r="54">
      <c r="A54" s="2" t="s">
        <v>60</v>
      </c>
      <c r="B54" s="4" t="str">
        <f>IFERROR(__xludf.DUMMYFUNCTION("SPLIT(A54, "" "")"),"USA-lower48-natl.tmg")</f>
        <v>USA-lower48-natl.tmg</v>
      </c>
      <c r="C54" s="5">
        <f>IFERROR(__xludf.DUMMYFUNCTION("""COMPUTED_VALUE"""),72804.0)</f>
        <v>72804</v>
      </c>
      <c r="D54" s="5">
        <f>IFERROR(__xludf.DUMMYFUNCTION("""COMPUTED_VALUE"""),78013.0)</f>
        <v>78013</v>
      </c>
      <c r="E54" s="5">
        <f>IFERROR(__xludf.DUMMYFUNCTION("""COMPUTED_VALUE"""),0.515)</f>
        <v>0.515</v>
      </c>
      <c r="F54" s="5" t="str">
        <f>IFERROR(__xludf.DUMMYFUNCTION("""COMPUTED_VALUE"""),"US95BusCra@5thAve")</f>
        <v>US95BusCra@5thAve</v>
      </c>
      <c r="G54" s="5" t="str">
        <f>IFERROR(__xludf.DUMMYFUNCTION("""COMPUTED_VALUE"""),"I-19@69")</f>
        <v>I-19@69</v>
      </c>
      <c r="H54" s="5">
        <f t="shared" si="1"/>
        <v>150817</v>
      </c>
    </row>
    <row r="55">
      <c r="A55" s="2" t="s">
        <v>61</v>
      </c>
      <c r="B55" s="4" t="str">
        <f>IFERROR(__xludf.DUMMYFUNCTION("SPLIT(A55, "" "")"),"USA-lower48-natl.tmg")</f>
        <v>USA-lower48-natl.tmg</v>
      </c>
      <c r="C55" s="5">
        <f>IFERROR(__xludf.DUMMYFUNCTION("""COMPUTED_VALUE"""),72804.0)</f>
        <v>72804</v>
      </c>
      <c r="D55" s="5">
        <f>IFERROR(__xludf.DUMMYFUNCTION("""COMPUTED_VALUE"""),78013.0)</f>
        <v>78013</v>
      </c>
      <c r="E55" s="5">
        <f>IFERROR(__xludf.DUMMYFUNCTION("""COMPUTED_VALUE"""),0.5)</f>
        <v>0.5</v>
      </c>
      <c r="F55" s="5" t="str">
        <f>IFERROR(__xludf.DUMMYFUNCTION("""COMPUTED_VALUE"""),"MI17_W/US12Bus_W")</f>
        <v>MI17_W/US12Bus_W</v>
      </c>
      <c r="G55" s="5" t="str">
        <f>IFERROR(__xludf.DUMMYFUNCTION("""COMPUTED_VALUE"""),"OH188_W/US22")</f>
        <v>OH188_W/US22</v>
      </c>
      <c r="H55" s="5">
        <f t="shared" si="1"/>
        <v>150817</v>
      </c>
    </row>
    <row r="56">
      <c r="A56" s="2" t="s">
        <v>62</v>
      </c>
      <c r="B56" s="4" t="str">
        <f>IFERROR(__xludf.DUMMYFUNCTION("SPLIT(A56, "" "")"),"USA-lower48-natl.tmg")</f>
        <v>USA-lower48-natl.tmg</v>
      </c>
      <c r="C56" s="5">
        <f>IFERROR(__xludf.DUMMYFUNCTION("""COMPUTED_VALUE"""),72804.0)</f>
        <v>72804</v>
      </c>
      <c r="D56" s="5">
        <f>IFERROR(__xludf.DUMMYFUNCTION("""COMPUTED_VALUE"""),78013.0)</f>
        <v>78013</v>
      </c>
      <c r="E56" s="5">
        <f>IFERROR(__xludf.DUMMYFUNCTION("""COMPUTED_VALUE"""),0.484)</f>
        <v>0.484</v>
      </c>
      <c r="F56" s="5" t="str">
        <f>IFERROR(__xludf.DUMMYFUNCTION("""COMPUTED_VALUE"""),"IL47/US52")</f>
        <v>IL47/US52</v>
      </c>
      <c r="G56" s="5" t="str">
        <f>IFERROR(__xludf.DUMMYFUNCTION("""COMPUTED_VALUE"""),"US63BusMob@MOsA")</f>
        <v>US63BusMob@MOsA</v>
      </c>
      <c r="H56" s="5">
        <f t="shared" si="1"/>
        <v>150817</v>
      </c>
    </row>
    <row r="57">
      <c r="A57" s="2" t="s">
        <v>63</v>
      </c>
      <c r="B57" s="4" t="str">
        <f>IFERROR(__xludf.DUMMYFUNCTION("SPLIT(A57, "" "")"),"USA-lower48-natl.tmg")</f>
        <v>USA-lower48-natl.tmg</v>
      </c>
      <c r="C57" s="5">
        <f>IFERROR(__xludf.DUMMYFUNCTION("""COMPUTED_VALUE"""),72804.0)</f>
        <v>72804</v>
      </c>
      <c r="D57" s="5">
        <f>IFERROR(__xludf.DUMMYFUNCTION("""COMPUTED_VALUE"""),78013.0)</f>
        <v>78013</v>
      </c>
      <c r="E57" s="5">
        <f>IFERROR(__xludf.DUMMYFUNCTION("""COMPUTED_VALUE"""),0.485)</f>
        <v>0.485</v>
      </c>
      <c r="F57" s="5" t="str">
        <f>IFERROR(__xludf.DUMMYFUNCTION("""COMPUTED_VALUE"""),"US78@SmoRd")</f>
        <v>US78@SmoRd</v>
      </c>
      <c r="G57" s="5" t="str">
        <f>IFERROR(__xludf.DUMMYFUNCTION("""COMPUTED_VALUE"""),"US119@TanRd")</f>
        <v>US119@TanRd</v>
      </c>
      <c r="H57" s="5">
        <f t="shared" si="1"/>
        <v>150817</v>
      </c>
    </row>
    <row r="58">
      <c r="A58" s="2" t="s">
        <v>64</v>
      </c>
      <c r="B58" s="4" t="str">
        <f>IFERROR(__xludf.DUMMYFUNCTION("SPLIT(A58, "" "")"),"USA-lower48-natl.tmg")</f>
        <v>USA-lower48-natl.tmg</v>
      </c>
      <c r="C58" s="5">
        <f>IFERROR(__xludf.DUMMYFUNCTION("""COMPUTED_VALUE"""),72804.0)</f>
        <v>72804</v>
      </c>
      <c r="D58" s="5">
        <f>IFERROR(__xludf.DUMMYFUNCTION("""COMPUTED_VALUE"""),78013.0)</f>
        <v>78013</v>
      </c>
      <c r="E58" s="5">
        <f>IFERROR(__xludf.DUMMYFUNCTION("""COMPUTED_VALUE"""),0.515)</f>
        <v>0.515</v>
      </c>
      <c r="F58" s="5" t="str">
        <f>IFERROR(__xludf.DUMMYFUNCTION("""COMPUTED_VALUE"""),"FL527Win_N/US17/US92")</f>
        <v>FL527Win_N/US17/US92</v>
      </c>
      <c r="G58" s="5" t="str">
        <f>IFERROR(__xludf.DUMMYFUNCTION("""COMPUTED_VALUE"""),"TN221/US70AltGib/US79")</f>
        <v>TN221/US70AltGib/US79</v>
      </c>
      <c r="H58" s="5">
        <f t="shared" si="1"/>
        <v>150817</v>
      </c>
    </row>
    <row r="59">
      <c r="A59" s="2" t="s">
        <v>65</v>
      </c>
      <c r="B59" s="4" t="str">
        <f>IFERROR(__xludf.DUMMYFUNCTION("SPLIT(A59, "" "")"),"USA-lower48-natl.tmg")</f>
        <v>USA-lower48-natl.tmg</v>
      </c>
      <c r="C59" s="5">
        <f>IFERROR(__xludf.DUMMYFUNCTION("""COMPUTED_VALUE"""),72804.0)</f>
        <v>72804</v>
      </c>
      <c r="D59" s="5">
        <f>IFERROR(__xludf.DUMMYFUNCTION("""COMPUTED_VALUE"""),78013.0)</f>
        <v>78013</v>
      </c>
      <c r="E59" s="5">
        <f>IFERROR(__xludf.DUMMYFUNCTION("""COMPUTED_VALUE"""),0.5)</f>
        <v>0.5</v>
      </c>
      <c r="F59" s="5" t="str">
        <f>IFERROR(__xludf.DUMMYFUNCTION("""COMPUTED_VALUE"""),"US63_N/US79_N")</f>
        <v>US63_N/US79_N</v>
      </c>
      <c r="G59" s="5" t="str">
        <f>IFERROR(__xludf.DUMMYFUNCTION("""COMPUTED_VALUE"""),"I-96(36)/MI37")</f>
        <v>I-96(36)/MI37</v>
      </c>
      <c r="H59" s="5">
        <f t="shared" si="1"/>
        <v>150817</v>
      </c>
    </row>
    <row r="60">
      <c r="A60" s="2" t="s">
        <v>66</v>
      </c>
      <c r="B60" s="4" t="str">
        <f>IFERROR(__xludf.DUMMYFUNCTION("SPLIT(A60, "" "")"),"USA-lower48-natl.tmg")</f>
        <v>USA-lower48-natl.tmg</v>
      </c>
      <c r="C60" s="5">
        <f>IFERROR(__xludf.DUMMYFUNCTION("""COMPUTED_VALUE"""),72804.0)</f>
        <v>72804</v>
      </c>
      <c r="D60" s="5">
        <f>IFERROR(__xludf.DUMMYFUNCTION("""COMPUTED_VALUE"""),78013.0)</f>
        <v>78013</v>
      </c>
      <c r="E60" s="5">
        <f>IFERROR(__xludf.DUMMYFUNCTION("""COMPUTED_VALUE"""),0.499)</f>
        <v>0.499</v>
      </c>
      <c r="F60" s="5" t="str">
        <f>IFERROR(__xludf.DUMMYFUNCTION("""COMPUTED_VALUE"""),"US6BusHas@ElmAve_N")</f>
        <v>US6BusHas@ElmAve_N</v>
      </c>
      <c r="G60" s="5" t="str">
        <f>IFERROR(__xludf.DUMMYFUNCTION("""COMPUTED_VALUE"""),"US1@CR522")</f>
        <v>US1@CR522</v>
      </c>
      <c r="H60" s="5">
        <f t="shared" si="1"/>
        <v>150817</v>
      </c>
    </row>
    <row r="61">
      <c r="A61" s="2" t="s">
        <v>67</v>
      </c>
      <c r="B61" s="4" t="str">
        <f>IFERROR(__xludf.DUMMYFUNCTION("SPLIT(A61, "" "")"),"USA-lower48-natl.tmg")</f>
        <v>USA-lower48-natl.tmg</v>
      </c>
      <c r="C61" s="5">
        <f>IFERROR(__xludf.DUMMYFUNCTION("""COMPUTED_VALUE"""),72804.0)</f>
        <v>72804</v>
      </c>
      <c r="D61" s="5">
        <f>IFERROR(__xludf.DUMMYFUNCTION("""COMPUTED_VALUE"""),78013.0)</f>
        <v>78013</v>
      </c>
      <c r="E61" s="5">
        <f>IFERROR(__xludf.DUMMYFUNCTION("""COMPUTED_VALUE"""),0.516)</f>
        <v>0.516</v>
      </c>
      <c r="F61" s="5" t="str">
        <f>IFERROR(__xludf.DUMMYFUNCTION("""COMPUTED_VALUE"""),"GA3/US19@ChiRd")</f>
        <v>GA3/US19@ChiRd</v>
      </c>
      <c r="G61" s="5" t="str">
        <f>IFERROR(__xludf.DUMMYFUNCTION("""COMPUTED_VALUE"""),"US18@282ndAve")</f>
        <v>US18@282ndAve</v>
      </c>
      <c r="H61" s="5">
        <f t="shared" si="1"/>
        <v>150817</v>
      </c>
    </row>
    <row r="62">
      <c r="A62" s="2" t="s">
        <v>68</v>
      </c>
      <c r="B62" s="4" t="str">
        <f>IFERROR(__xludf.DUMMYFUNCTION("SPLIT(A62, "" "")"),"DEU-country.tmg")</f>
        <v>DEU-country.tmg</v>
      </c>
      <c r="C62" s="5">
        <f>IFERROR(__xludf.DUMMYFUNCTION("""COMPUTED_VALUE"""),39522.0)</f>
        <v>39522</v>
      </c>
      <c r="D62" s="5">
        <f>IFERROR(__xludf.DUMMYFUNCTION("""COMPUTED_VALUE"""),50478.0)</f>
        <v>50478</v>
      </c>
      <c r="E62" s="5">
        <f>IFERROR(__xludf.DUMMYFUNCTION("""COMPUTED_VALUE"""),0.5)</f>
        <v>0.5</v>
      </c>
      <c r="F62" s="5" t="str">
        <f>IFERROR(__xludf.DUMMYFUNCTION("""COMPUTED_VALUE"""),"L300@AmJos")</f>
        <v>L300@AmJos</v>
      </c>
      <c r="G62" s="5" t="str">
        <f>IFERROR(__xludf.DUMMYFUNCTION("""COMPUTED_VALUE"""),"L74/L742")</f>
        <v>L74/L742</v>
      </c>
      <c r="H62" s="5">
        <f t="shared" si="1"/>
        <v>90000</v>
      </c>
    </row>
    <row r="63">
      <c r="A63" s="2" t="s">
        <v>69</v>
      </c>
      <c r="B63" s="4" t="str">
        <f>IFERROR(__xludf.DUMMYFUNCTION("SPLIT(A63, "" "")"),"DEU-country.tmg")</f>
        <v>DEU-country.tmg</v>
      </c>
      <c r="C63" s="5">
        <f>IFERROR(__xludf.DUMMYFUNCTION("""COMPUTED_VALUE"""),39522.0)</f>
        <v>39522</v>
      </c>
      <c r="D63" s="5">
        <f>IFERROR(__xludf.DUMMYFUNCTION("""COMPUTED_VALUE"""),50478.0)</f>
        <v>50478</v>
      </c>
      <c r="E63" s="5">
        <f>IFERROR(__xludf.DUMMYFUNCTION("""COMPUTED_VALUE"""),0.312)</f>
        <v>0.312</v>
      </c>
      <c r="F63" s="5" t="str">
        <f>IFERROR(__xludf.DUMMYFUNCTION("""COMPUTED_VALUE"""),"L12Nie@K2")</f>
        <v>L12Nie@K2</v>
      </c>
      <c r="G63" s="5" t="str">
        <f>IFERROR(__xludf.DUMMYFUNCTION("""COMPUTED_VALUE"""),"L472/L473|DEU-RP")</f>
        <v>L472/L473|DEU-RP</v>
      </c>
      <c r="H63" s="5">
        <f t="shared" si="1"/>
        <v>90000</v>
      </c>
    </row>
    <row r="64">
      <c r="A64" s="2" t="s">
        <v>70</v>
      </c>
      <c r="B64" s="4" t="str">
        <f>IFERROR(__xludf.DUMMYFUNCTION("SPLIT(A64, "" "")"),"DEU-country.tmg")</f>
        <v>DEU-country.tmg</v>
      </c>
      <c r="C64" s="5">
        <f>IFERROR(__xludf.DUMMYFUNCTION("""COMPUTED_VALUE"""),39522.0)</f>
        <v>39522</v>
      </c>
      <c r="D64" s="5">
        <f>IFERROR(__xludf.DUMMYFUNCTION("""COMPUTED_VALUE"""),50478.0)</f>
        <v>50478</v>
      </c>
      <c r="E64" s="5">
        <f>IFERROR(__xludf.DUMMYFUNCTION("""COMPUTED_VALUE"""),0.297)</f>
        <v>0.297</v>
      </c>
      <c r="F64" s="5" t="str">
        <f>IFERROR(__xludf.DUMMYFUNCTION("""COMPUTED_VALUE"""),"B51@NordRing")</f>
        <v>B51@NordRing</v>
      </c>
      <c r="G64" s="5" t="str">
        <f>IFERROR(__xludf.DUMMYFUNCTION("""COMPUTED_VALUE"""),"L1075@K3236")</f>
        <v>L1075@K3236</v>
      </c>
      <c r="H64" s="5">
        <f t="shared" si="1"/>
        <v>90000</v>
      </c>
    </row>
    <row r="65">
      <c r="A65" s="2" t="s">
        <v>71</v>
      </c>
      <c r="B65" s="4" t="str">
        <f>IFERROR(__xludf.DUMMYFUNCTION("SPLIT(A65, "" "")"),"DEU-country.tmg")</f>
        <v>DEU-country.tmg</v>
      </c>
      <c r="C65" s="5">
        <f>IFERROR(__xludf.DUMMYFUNCTION("""COMPUTED_VALUE"""),39522.0)</f>
        <v>39522</v>
      </c>
      <c r="D65" s="5">
        <f>IFERROR(__xludf.DUMMYFUNCTION("""COMPUTED_VALUE"""),50478.0)</f>
        <v>50478</v>
      </c>
      <c r="E65" s="5">
        <f>IFERROR(__xludf.DUMMYFUNCTION("""COMPUTED_VALUE"""),0.297)</f>
        <v>0.297</v>
      </c>
      <c r="F65" s="5" t="str">
        <f>IFERROR(__xludf.DUMMYFUNCTION("""COMPUTED_VALUE"""),"B304_W/St2093_S")</f>
        <v>B304_W/St2093_S</v>
      </c>
      <c r="G65" s="5" t="str">
        <f>IFERROR(__xludf.DUMMYFUNCTION("""COMPUTED_VALUE"""),"St2173@TIR1")</f>
        <v>St2173@TIR1</v>
      </c>
      <c r="H65" s="5">
        <f t="shared" si="1"/>
        <v>90000</v>
      </c>
    </row>
    <row r="66">
      <c r="A66" s="2" t="s">
        <v>72</v>
      </c>
      <c r="B66" s="4" t="str">
        <f>IFERROR(__xludf.DUMMYFUNCTION("SPLIT(A66, "" "")"),"DEU-country.tmg")</f>
        <v>DEU-country.tmg</v>
      </c>
      <c r="C66" s="5">
        <f>IFERROR(__xludf.DUMMYFUNCTION("""COMPUTED_VALUE"""),39522.0)</f>
        <v>39522</v>
      </c>
      <c r="D66" s="5">
        <f>IFERROR(__xludf.DUMMYFUNCTION("""COMPUTED_VALUE"""),50478.0)</f>
        <v>50478</v>
      </c>
      <c r="E66" s="5">
        <f>IFERROR(__xludf.DUMMYFUNCTION("""COMPUTED_VALUE"""),0.281)</f>
        <v>0.281</v>
      </c>
      <c r="F66" s="5" t="str">
        <f>IFERROR(__xludf.DUMMYFUNCTION("""COMPUTED_VALUE"""),"L383@K39")</f>
        <v>L383@K39</v>
      </c>
      <c r="G66" s="5" t="str">
        <f>IFERROR(__xludf.DUMMYFUNCTION("""COMPUTED_VALUE"""),"St2079@St2359")</f>
        <v>St2079@St2359</v>
      </c>
      <c r="H66" s="5">
        <f t="shared" si="1"/>
        <v>90000</v>
      </c>
    </row>
    <row r="67">
      <c r="A67" s="2" t="s">
        <v>73</v>
      </c>
      <c r="B67" s="4" t="str">
        <f>IFERROR(__xludf.DUMMYFUNCTION("SPLIT(A67, "" "")"),"DEU-country.tmg")</f>
        <v>DEU-country.tmg</v>
      </c>
      <c r="C67" s="5">
        <f>IFERROR(__xludf.DUMMYFUNCTION("""COMPUTED_VALUE"""),39522.0)</f>
        <v>39522</v>
      </c>
      <c r="D67" s="5">
        <f>IFERROR(__xludf.DUMMYFUNCTION("""COMPUTED_VALUE"""),50478.0)</f>
        <v>50478</v>
      </c>
      <c r="E67" s="5">
        <f>IFERROR(__xludf.DUMMYFUNCTION("""COMPUTED_VALUE"""),0.281)</f>
        <v>0.281</v>
      </c>
      <c r="F67" s="5" t="str">
        <f>IFERROR(__xludf.DUMMYFUNCTION("""COMPUTED_VALUE"""),"St2190@BA16_S")</f>
        <v>St2190@BA16_S</v>
      </c>
      <c r="G67" s="5" t="str">
        <f>IFERROR(__xludf.DUMMYFUNCTION("""COMPUTED_VALUE"""),"St2127@Kre")</f>
        <v>St2127@Kre</v>
      </c>
      <c r="H67" s="5">
        <f t="shared" si="1"/>
        <v>90000</v>
      </c>
    </row>
    <row r="68">
      <c r="A68" s="2" t="s">
        <v>74</v>
      </c>
      <c r="B68" s="4" t="str">
        <f>IFERROR(__xludf.DUMMYFUNCTION("SPLIT(A68, "" "")"),"DEU-country.tmg")</f>
        <v>DEU-country.tmg</v>
      </c>
      <c r="C68" s="5">
        <f>IFERROR(__xludf.DUMMYFUNCTION("""COMPUTED_VALUE"""),39522.0)</f>
        <v>39522</v>
      </c>
      <c r="D68" s="5">
        <f>IFERROR(__xludf.DUMMYFUNCTION("""COMPUTED_VALUE"""),50478.0)</f>
        <v>50478</v>
      </c>
      <c r="E68" s="5">
        <f>IFERROR(__xludf.DUMMYFUNCTION("""COMPUTED_VALUE"""),0.281)</f>
        <v>0.281</v>
      </c>
      <c r="F68" s="5" t="str">
        <f>IFERROR(__xludf.DUMMYFUNCTION("""COMPUTED_VALUE"""),"B3@K5342_E")</f>
        <v>B3@K5342_E</v>
      </c>
      <c r="G68" s="5" t="str">
        <f>IFERROR(__xludf.DUMMYFUNCTION("""COMPUTED_VALUE"""),"B453_N/L3288_W")</f>
        <v>B453_N/L3288_W</v>
      </c>
      <c r="H68" s="5">
        <f t="shared" si="1"/>
        <v>90000</v>
      </c>
    </row>
    <row r="69">
      <c r="A69" s="2" t="s">
        <v>75</v>
      </c>
      <c r="B69" s="4" t="str">
        <f>IFERROR(__xludf.DUMMYFUNCTION("SPLIT(A69, "" "")"),"DEU-country.tmg")</f>
        <v>DEU-country.tmg</v>
      </c>
      <c r="C69" s="5">
        <f>IFERROR(__xludf.DUMMYFUNCTION("""COMPUTED_VALUE"""),39522.0)</f>
        <v>39522</v>
      </c>
      <c r="D69" s="5">
        <f>IFERROR(__xludf.DUMMYFUNCTION("""COMPUTED_VALUE"""),50478.0)</f>
        <v>50478</v>
      </c>
      <c r="E69" s="5">
        <f>IFERROR(__xludf.DUMMYFUNCTION("""COMPUTED_VALUE"""),0.297)</f>
        <v>0.297</v>
      </c>
      <c r="F69" s="5" t="str">
        <f>IFERROR(__xludf.DUMMYFUNCTION("""COMPUTED_VALUE"""),"L115/L124")</f>
        <v>L115/L124</v>
      </c>
      <c r="G69" s="5" t="str">
        <f>IFERROR(__xludf.DUMMYFUNCTION("""COMPUTED_VALUE"""),"St2290@Kap")</f>
        <v>St2290@Kap</v>
      </c>
      <c r="H69" s="5">
        <f t="shared" si="1"/>
        <v>90000</v>
      </c>
    </row>
    <row r="70">
      <c r="A70" s="2" t="s">
        <v>76</v>
      </c>
      <c r="B70" s="4" t="str">
        <f>IFERROR(__xludf.DUMMYFUNCTION("SPLIT(A70, "" "")"),"DEU-country.tmg")</f>
        <v>DEU-country.tmg</v>
      </c>
      <c r="C70" s="5">
        <f>IFERROR(__xludf.DUMMYFUNCTION("""COMPUTED_VALUE"""),39522.0)</f>
        <v>39522</v>
      </c>
      <c r="D70" s="5">
        <f>IFERROR(__xludf.DUMMYFUNCTION("""COMPUTED_VALUE"""),50478.0)</f>
        <v>50478</v>
      </c>
      <c r="E70" s="5">
        <f>IFERROR(__xludf.DUMMYFUNCTION("""COMPUTED_VALUE"""),0.297)</f>
        <v>0.297</v>
      </c>
      <c r="F70" s="5" t="str">
        <f>IFERROR(__xludf.DUMMYFUNCTION("""COMPUTED_VALUE"""),"B58@WesStr_E")</f>
        <v>B58@WesStr_E</v>
      </c>
      <c r="G70" s="5" t="str">
        <f>IFERROR(__xludf.DUMMYFUNCTION("""COMPUTED_VALUE"""),"L1131@K581")</f>
        <v>L1131@K581</v>
      </c>
      <c r="H70" s="5">
        <f t="shared" si="1"/>
        <v>90000</v>
      </c>
    </row>
    <row r="71">
      <c r="A71" s="2" t="s">
        <v>77</v>
      </c>
      <c r="B71" s="4" t="str">
        <f>IFERROR(__xludf.DUMMYFUNCTION("SPLIT(A71, "" "")"),"DEU-country.tmg")</f>
        <v>DEU-country.tmg</v>
      </c>
      <c r="C71" s="5">
        <f>IFERROR(__xludf.DUMMYFUNCTION("""COMPUTED_VALUE"""),39522.0)</f>
        <v>39522</v>
      </c>
      <c r="D71" s="5">
        <f>IFERROR(__xludf.DUMMYFUNCTION("""COMPUTED_VALUE"""),50478.0)</f>
        <v>50478</v>
      </c>
      <c r="E71" s="5">
        <f>IFERROR(__xludf.DUMMYFUNCTION("""COMPUTED_VALUE"""),0.265)</f>
        <v>0.265</v>
      </c>
      <c r="F71" s="5" t="str">
        <f>IFERROR(__xludf.DUMMYFUNCTION("""COMPUTED_VALUE"""),"L32@K113")</f>
        <v>L32@K113</v>
      </c>
      <c r="G71" s="5" t="str">
        <f>IFERROR(__xludf.DUMMYFUNCTION("""COMPUTED_VALUE"""),"B461/L10")</f>
        <v>B461/L10</v>
      </c>
      <c r="H71" s="5">
        <f t="shared" si="1"/>
        <v>90000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78</v>
      </c>
      <c r="B1" s="2" t="s">
        <v>79</v>
      </c>
    </row>
    <row r="2">
      <c r="A2" s="6">
        <v>191.0</v>
      </c>
      <c r="B2" s="6">
        <f>AVERAGEIF(Times!H$2:H$71, A2,Times!E$2:E$71)</f>
        <v>0.0079</v>
      </c>
    </row>
    <row r="3">
      <c r="A3" s="6">
        <v>446.0</v>
      </c>
      <c r="B3" s="6">
        <f>AVERAGEIF(Times!H$2:H$71, A3,Times!E$2:E$71)</f>
        <v>0.0142</v>
      </c>
    </row>
    <row r="4">
      <c r="A4" s="6">
        <v>2694.0</v>
      </c>
      <c r="B4" s="6">
        <f>AVERAGEIF(Times!H$2:H$71, A4,Times!E$2:E$71)</f>
        <v>0.0249</v>
      </c>
    </row>
    <row r="5">
      <c r="A5" s="6">
        <v>14833.0</v>
      </c>
      <c r="B5" s="6">
        <f>AVERAGEIF(Times!H$2:H$71, A5,Times!E$2:E$71)</f>
        <v>0.075</v>
      </c>
    </row>
    <row r="6">
      <c r="A6" s="6">
        <v>90000.0</v>
      </c>
      <c r="B6" s="6">
        <f>AVERAGEIF(Times!H$2:H$71, A6,Times!E$2:E$71)</f>
        <v>0.3108</v>
      </c>
    </row>
    <row r="7">
      <c r="A7" s="6">
        <v>150817.0</v>
      </c>
      <c r="B7" s="6">
        <f>AVERAGEIF(Times!H$2:H$71, A7,Times!E$2:E$71)</f>
        <v>0.5331</v>
      </c>
    </row>
    <row r="8">
      <c r="A8" s="6">
        <v>398951.0</v>
      </c>
      <c r="B8" s="6">
        <f>AVERAGEIF(Times!H$2:H$71, A8,Times!E$2:E$71)</f>
        <v>1.3715</v>
      </c>
    </row>
  </sheetData>
  <drawing r:id="rId1"/>
</worksheet>
</file>